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3.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tables/table4.xml" ContentType="application/vnd.openxmlformats-officedocument.spreadsheetml.table+xml"/>
  <Override PartName="/xl/comments3.xml" ContentType="application/vnd.openxmlformats-officedocument.spreadsheetml.comments+xml"/>
  <Override PartName="/xl/threadedComments/threadedComment3.xml" ContentType="application/vnd.ms-excel.threadedcomments+xml"/>
  <Override PartName="/xl/documenttasks/documenttask1.xml" ContentType="application/vnd.ms-excel.documenttasks+xml"/>
  <Override PartName="/xl/comments4.xml" ContentType="application/vnd.openxmlformats-officedocument.spreadsheetml.comments+xml"/>
  <Override PartName="/xl/threadedComments/threadedComment4.xml" ContentType="application/vnd.ms-excel.threadedcomments+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5.xml" ContentType="application/vnd.openxmlformats-officedocument.spreadsheetml.table+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documenttasks/documenttask2.xml" ContentType="application/vnd.ms-excel.documenttasks+xml"/>
  <Override PartName="/xl/tables/table6.xml" ContentType="application/vnd.openxmlformats-officedocument.spreadsheetml.table+xml"/>
  <Override PartName="/xl/tables/table7.xml" ContentType="application/vnd.openxmlformats-officedocument.spreadsheetml.table+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tables/table1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hidePivotFieldList="1" defaultThemeVersion="166925"/>
  <mc:AlternateContent xmlns:mc="http://schemas.openxmlformats.org/markup-compatibility/2006">
    <mc:Choice Requires="x15">
      <x15ac:absPath xmlns:x15ac="http://schemas.microsoft.com/office/spreadsheetml/2010/11/ac" url="https://apcdeloitte-my.sharepoint.com/personal/pbaksi_deloitte_com/Documents/Desktop/BEZA Master Plan/Deliverables/ez Prioritisation- Revised Dec 24/"/>
    </mc:Choice>
  </mc:AlternateContent>
  <xr:revisionPtr revIDLastSave="40" documentId="8_{739B4607-7205-4694-9C85-385F102E0634}" xr6:coauthVersionLast="47" xr6:coauthVersionMax="47" xr10:uidLastSave="{EF30A0C1-0CB2-4142-B267-FB3A566B823E}"/>
  <bookViews>
    <workbookView xWindow="-110" yWindow="-110" windowWidth="19420" windowHeight="10300" tabRatio="826" xr2:uid="{625131BB-693D-44B9-8ECF-0FFA27A5F40D}"/>
  </bookViews>
  <sheets>
    <sheet name="EZ Shortlist" sheetId="17" r:id="rId1"/>
    <sheet name="EZ Prioritization V3" sheetId="16" r:id="rId2"/>
    <sheet name="Report Table 1" sheetId="30" state="hidden" r:id="rId3"/>
    <sheet name="Report Table 2" sheetId="29" state="hidden" r:id="rId4"/>
    <sheet name="Pivot" sheetId="19" state="hidden" r:id="rId5"/>
    <sheet name="EZ Radar V3" sheetId="23" state="hidden" r:id="rId6"/>
    <sheet name="Shortlist-Parameter Scores" sheetId="28" state="hidden" r:id="rId7"/>
    <sheet name="Priority-Feasibility (DD)" sheetId="25" state="hidden" r:id="rId8"/>
    <sheet name="Land Grade (MM)" sheetId="26" state="hidden" r:id="rId9"/>
    <sheet name="Detailed Rubric V3" sheetId="15" r:id="rId10"/>
    <sheet name="Rubric &amp; Source V3" sheetId="20" state="hidden" r:id="rId11"/>
    <sheet name="EZ Radar V1" sheetId="21" state="hidden" r:id="rId12"/>
    <sheet name="EZ Data" sheetId="8" state="hidden" r:id="rId13"/>
    <sheet name="Land Cost Rationale" sheetId="24" state="hidden" r:id="rId14"/>
    <sheet name="EZ Names V2" sheetId="22" state="hidden" r:id="rId15"/>
    <sheet name="Sources (Not Updated)" sheetId="18" state="hidden" r:id="rId16"/>
    <sheet name="To be deleted" sheetId="2" state="hidden" r:id="rId17"/>
    <sheet name="EZ Prioritization V1" sheetId="14" state="hidden" r:id="rId18"/>
    <sheet name="Website EZ List" sheetId="7" state="hidden" r:id="rId19"/>
    <sheet name="EZ Priority List" sheetId="5" state="hidden" r:id="rId20"/>
    <sheet name="OSS Data" sheetId="10" state="hidden" r:id="rId21"/>
    <sheet name="PEZ Data" sheetId="9" state="hidden" r:id="rId22"/>
    <sheet name="PEZ License Status" sheetId="11" state="hidden" r:id="rId23"/>
    <sheet name="Beza Website data" sheetId="1" state="hidden" r:id="rId24"/>
    <sheet name="Sheet1" sheetId="4" state="hidden" r:id="rId25"/>
    <sheet name="Demand Forecast" sheetId="3" state="hidden" r:id="rId26"/>
    <sheet name="Analysis" sheetId="6" state="hidden" r:id="rId27"/>
    <sheet name="List of Concerns" sheetId="13" state="hidden" r:id="rId28"/>
  </sheets>
  <definedNames>
    <definedName name="_xlnm._FilterDatabase" localSheetId="23" hidden="1">'Beza Website data'!$B$3:$E$71</definedName>
    <definedName name="_xlnm._FilterDatabase" localSheetId="14" hidden="1">'EZ Names V2'!$B$2:$C$103</definedName>
    <definedName name="_xlnm._FilterDatabase" localSheetId="17" hidden="1">'EZ Prioritization V1'!$B$3:$Z$105</definedName>
    <definedName name="_xlnm._FilterDatabase" localSheetId="0" hidden="1">Pivot!#REF!</definedName>
    <definedName name="_xlnm._FilterDatabase" localSheetId="4" hidden="1">Pivot!$B$2:$P$103</definedName>
    <definedName name="_xlnm._FilterDatabase" localSheetId="24" hidden="1">Sheet1!$A$2:$F$70</definedName>
  </definedNames>
  <calcPr calcId="191028"/>
  <pivotCaches>
    <pivotCache cacheId="0" r:id="rId29"/>
    <pivotCache cacheId="1" r:id="rId30"/>
    <pivotCache cacheId="2" r:id="rId31"/>
    <pivotCache cacheId="3" r:id="rId3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2" i="16" l="1" a="1"/>
  <c r="AK22" i="16" s="1"/>
  <c r="B16" i="17" a="1"/>
  <c r="B16" i="17" s="1"/>
  <c r="B22" i="17" a="1"/>
  <c r="B22" i="17" s="1"/>
  <c r="B9" i="17" a="1"/>
  <c r="B9" i="17" s="1"/>
  <c r="B8" i="17" a="1"/>
  <c r="B8" i="17" s="1"/>
  <c r="B10" i="17" a="1"/>
  <c r="B10" i="17" s="1"/>
  <c r="B11" i="17" a="1"/>
  <c r="B11" i="17" s="1"/>
  <c r="B12" i="17" a="1"/>
  <c r="B12" i="17" s="1"/>
  <c r="B23" i="17" a="1"/>
  <c r="B23" i="17" s="1"/>
  <c r="B20" i="17" a="1"/>
  <c r="B20" i="17" s="1"/>
  <c r="B13" i="17" a="1"/>
  <c r="B13" i="17" s="1"/>
  <c r="B14" i="17" a="1"/>
  <c r="B14" i="17" s="1"/>
  <c r="B18" i="17" a="1"/>
  <c r="B18" i="17" s="1"/>
  <c r="B19" i="17" a="1"/>
  <c r="B19" i="17" s="1"/>
  <c r="B17" i="17" a="1"/>
  <c r="B17" i="17" s="1"/>
  <c r="B33" i="17" a="1"/>
  <c r="B33" i="17" s="1"/>
  <c r="B24" i="17" a="1"/>
  <c r="B24" i="17" s="1"/>
  <c r="B25" i="17" a="1"/>
  <c r="B25" i="17" s="1"/>
  <c r="B32" i="17" a="1"/>
  <c r="B32" i="17" s="1"/>
  <c r="B26" i="17" a="1"/>
  <c r="B26" i="17" s="1"/>
  <c r="B34" i="17" a="1"/>
  <c r="B34" i="17" s="1"/>
  <c r="B21" i="17" a="1"/>
  <c r="B21" i="17" s="1"/>
  <c r="B27" i="17" a="1"/>
  <c r="B27" i="17" s="1"/>
  <c r="B15" i="17" a="1"/>
  <c r="B15" i="17" s="1"/>
  <c r="B29" i="17" a="1"/>
  <c r="B29" i="17" s="1"/>
  <c r="B28" i="17" a="1"/>
  <c r="B28" i="17" s="1"/>
  <c r="B30" i="17" a="1"/>
  <c r="B30" i="17" s="1"/>
  <c r="B31" i="17" a="1"/>
  <c r="B31" i="17" s="1"/>
  <c r="B36" i="17" a="1"/>
  <c r="B36" i="17" s="1"/>
  <c r="B35" i="17" a="1"/>
  <c r="B35" i="17" s="1"/>
  <c r="B37" i="17" a="1"/>
  <c r="B37" i="17" s="1"/>
  <c r="B38" i="17" a="1"/>
  <c r="B38" i="17" s="1"/>
  <c r="B39" i="17" a="1"/>
  <c r="B39" i="17" s="1"/>
  <c r="B40" i="17" a="1"/>
  <c r="B40" i="17" s="1"/>
  <c r="B41" i="17" a="1"/>
  <c r="B41" i="17" s="1"/>
  <c r="B42" i="17" a="1"/>
  <c r="B42" i="17" s="1"/>
  <c r="B43" i="17" a="1"/>
  <c r="B43" i="17" s="1"/>
  <c r="B44" i="17" a="1"/>
  <c r="B44" i="17" s="1"/>
  <c r="B45" i="17" a="1"/>
  <c r="B45" i="17" s="1"/>
  <c r="B46" i="17" a="1"/>
  <c r="B46" i="17" s="1"/>
  <c r="B48" i="17" a="1"/>
  <c r="B48" i="17" s="1"/>
  <c r="B47" i="17" a="1"/>
  <c r="B47" i="17" s="1"/>
  <c r="B49" i="17" a="1"/>
  <c r="B49" i="17" s="1"/>
  <c r="B50" i="17" a="1"/>
  <c r="B50" i="17" s="1"/>
  <c r="B51" i="17" a="1"/>
  <c r="B51" i="17" s="1"/>
  <c r="B52" i="17" a="1"/>
  <c r="B52" i="17" s="1"/>
  <c r="B53" i="17" a="1"/>
  <c r="B53" i="17" s="1"/>
  <c r="B54" i="17" a="1"/>
  <c r="B54" i="17" s="1"/>
  <c r="B55" i="17" a="1"/>
  <c r="B55" i="17" s="1"/>
  <c r="B56" i="17" a="1"/>
  <c r="B56" i="17" s="1"/>
  <c r="U15" i="16"/>
  <c r="E16" i="17" l="1"/>
  <c r="H16" i="17"/>
  <c r="J16" i="17"/>
  <c r="D16" i="17"/>
  <c r="F16" i="17"/>
  <c r="G16" i="17"/>
  <c r="I16" i="17"/>
  <c r="J22" i="17"/>
  <c r="D22" i="17"/>
  <c r="E22" i="17"/>
  <c r="F22" i="17"/>
  <c r="G22" i="17"/>
  <c r="H22" i="17"/>
  <c r="I22" i="17"/>
  <c r="L12" i="30"/>
  <c r="L13" i="30" s="1"/>
  <c r="L14" i="30" s="1"/>
  <c r="L15" i="30" s="1"/>
  <c r="L16" i="30" s="1"/>
  <c r="L17" i="30" s="1"/>
  <c r="L18" i="30" s="1"/>
  <c r="L19" i="30" s="1"/>
  <c r="L20" i="30" s="1"/>
  <c r="L21" i="30" s="1"/>
  <c r="L22" i="30" s="1"/>
  <c r="L23" i="30" s="1"/>
  <c r="L24" i="30" s="1"/>
  <c r="L25" i="30" s="1"/>
  <c r="L26" i="30" s="1"/>
  <c r="L27" i="30" s="1"/>
  <c r="L28" i="30" s="1"/>
  <c r="L29" i="30" s="1"/>
  <c r="L30" i="30" s="1"/>
  <c r="L31" i="30" s="1"/>
  <c r="L32" i="30" s="1"/>
  <c r="L33" i="30" s="1"/>
  <c r="L34" i="30" s="1"/>
  <c r="L35" i="30" s="1"/>
  <c r="L36" i="30" s="1"/>
  <c r="L37" i="30" s="1"/>
  <c r="L38" i="30" s="1"/>
  <c r="L39" i="30" s="1"/>
  <c r="L40" i="30" s="1"/>
  <c r="L41" i="30" s="1"/>
  <c r="L42" i="30" s="1"/>
  <c r="L43" i="30" s="1"/>
  <c r="L44" i="30" s="1"/>
  <c r="L45" i="30" s="1"/>
  <c r="L46" i="30" s="1"/>
  <c r="L47" i="30" s="1"/>
  <c r="L48" i="30" s="1"/>
  <c r="L49" i="30" s="1"/>
  <c r="P21" i="16"/>
  <c r="R5" i="16" l="1" a="1"/>
  <c r="R5" i="16" s="1"/>
  <c r="V5" i="16" a="1"/>
  <c r="V5" i="16" s="1"/>
  <c r="Q6" i="16"/>
  <c r="Q7" i="16"/>
  <c r="Q14" i="16"/>
  <c r="Q13" i="16"/>
  <c r="Q16" i="16"/>
  <c r="Q8" i="16"/>
  <c r="Q12" i="16"/>
  <c r="Q31" i="16"/>
  <c r="Q32" i="16"/>
  <c r="Q33" i="16"/>
  <c r="Q34" i="16"/>
  <c r="Q9" i="16"/>
  <c r="Q23" i="16"/>
  <c r="Q35" i="16"/>
  <c r="Q36" i="16"/>
  <c r="Q37" i="16"/>
  <c r="Q28" i="16"/>
  <c r="Q17" i="16"/>
  <c r="Q11" i="16"/>
  <c r="Q18" i="16"/>
  <c r="Q39" i="16"/>
  <c r="Q42" i="16"/>
  <c r="Q43" i="16"/>
  <c r="Q44" i="16"/>
  <c r="Q45" i="16"/>
  <c r="Q19" i="16"/>
  <c r="Q48" i="16"/>
  <c r="Q24" i="16"/>
  <c r="Q20" i="16"/>
  <c r="Q50" i="16"/>
  <c r="Q22" i="16"/>
  <c r="Q27" i="16"/>
  <c r="Q26" i="16"/>
  <c r="Q29" i="16"/>
  <c r="Q25" i="16"/>
  <c r="Q38" i="16"/>
  <c r="Q40" i="16"/>
  <c r="Q52" i="16"/>
  <c r="Q30" i="16"/>
  <c r="Q47" i="16"/>
  <c r="Q41" i="16"/>
  <c r="Q51" i="16"/>
  <c r="Q46" i="16"/>
  <c r="Q49" i="16"/>
  <c r="Q53" i="16"/>
  <c r="Q54" i="16"/>
  <c r="Q15" i="16"/>
  <c r="Q63" i="16"/>
  <c r="Q64" i="16"/>
  <c r="Q65" i="16"/>
  <c r="Q10" i="16"/>
  <c r="Q56" i="16"/>
  <c r="Q58" i="16"/>
  <c r="Q55" i="16"/>
  <c r="Q60" i="16"/>
  <c r="Q61" i="16"/>
  <c r="Q72" i="16"/>
  <c r="Q73" i="16"/>
  <c r="Q74" i="16"/>
  <c r="Q57" i="16"/>
  <c r="Q59" i="16"/>
  <c r="Q75" i="16"/>
  <c r="Q62" i="16"/>
  <c r="Q78" i="16"/>
  <c r="Q81" i="16"/>
  <c r="Q66" i="16"/>
  <c r="Q82" i="16"/>
  <c r="Q83" i="16"/>
  <c r="Q84" i="16"/>
  <c r="Q67" i="16"/>
  <c r="Q85" i="16"/>
  <c r="Q90" i="16"/>
  <c r="Q91" i="16"/>
  <c r="Q89" i="16"/>
  <c r="Q92" i="16"/>
  <c r="Q69" i="16"/>
  <c r="Q70" i="16"/>
  <c r="Q71" i="16"/>
  <c r="Q95" i="16"/>
  <c r="Q68" i="16"/>
  <c r="Q76" i="16"/>
  <c r="Q77" i="16"/>
  <c r="Q101" i="16"/>
  <c r="Q79" i="16"/>
  <c r="Q80" i="16"/>
  <c r="Q86" i="16"/>
  <c r="Q87" i="16"/>
  <c r="Q88" i="16"/>
  <c r="Q93" i="16"/>
  <c r="Q102" i="16"/>
  <c r="Q94" i="16"/>
  <c r="Q96" i="16"/>
  <c r="Q97" i="16"/>
  <c r="Q21" i="16"/>
  <c r="Q98" i="16"/>
  <c r="Q99" i="16"/>
  <c r="Q103" i="16"/>
  <c r="Q100" i="16"/>
  <c r="CY5" i="16"/>
  <c r="CY3" i="16"/>
  <c r="U5" i="16"/>
  <c r="U3" i="16"/>
  <c r="V3" i="16" s="1" a="1"/>
  <c r="V3" i="16" s="1"/>
  <c r="U4" i="16"/>
  <c r="V4" i="16" s="1" a="1"/>
  <c r="V4" i="16" s="1"/>
  <c r="Q5" i="16"/>
  <c r="Q3" i="16"/>
  <c r="R3" i="16" s="1" a="1"/>
  <c r="R3" i="16" s="1"/>
  <c r="Q4" i="16"/>
  <c r="R4" i="16" s="1" a="1"/>
  <c r="R4" i="16" s="1"/>
  <c r="U7" i="16"/>
  <c r="U6" i="16"/>
  <c r="U14" i="16"/>
  <c r="U13" i="16"/>
  <c r="U16" i="16"/>
  <c r="U8" i="16"/>
  <c r="U12" i="16"/>
  <c r="U9" i="16"/>
  <c r="U28" i="16"/>
  <c r="U31" i="16"/>
  <c r="U32" i="16"/>
  <c r="U33" i="16"/>
  <c r="U17" i="16"/>
  <c r="U11" i="16"/>
  <c r="U34" i="16"/>
  <c r="U23" i="16"/>
  <c r="U35" i="16"/>
  <c r="U36" i="16"/>
  <c r="U37" i="16"/>
  <c r="U18" i="16"/>
  <c r="U39" i="16"/>
  <c r="U19" i="16"/>
  <c r="U42" i="16"/>
  <c r="U43" i="16"/>
  <c r="U44" i="16"/>
  <c r="U45" i="16"/>
  <c r="U20" i="16"/>
  <c r="U22" i="16"/>
  <c r="U48" i="16"/>
  <c r="U27" i="16"/>
  <c r="U24" i="16"/>
  <c r="U50" i="16"/>
  <c r="U29" i="16"/>
  <c r="U26" i="16"/>
  <c r="U25" i="16"/>
  <c r="U38" i="16"/>
  <c r="U40" i="16"/>
  <c r="U52" i="16"/>
  <c r="U30" i="16"/>
  <c r="U47" i="16"/>
  <c r="U41" i="16"/>
  <c r="U46" i="16"/>
  <c r="U51" i="16"/>
  <c r="U49" i="16"/>
  <c r="U53" i="16"/>
  <c r="U54" i="16"/>
  <c r="U63" i="16"/>
  <c r="U64" i="16"/>
  <c r="U65" i="16"/>
  <c r="U10" i="16"/>
  <c r="U56" i="16"/>
  <c r="U58" i="16"/>
  <c r="U55" i="16"/>
  <c r="U60" i="16"/>
  <c r="U61" i="16"/>
  <c r="U72" i="16"/>
  <c r="U73" i="16"/>
  <c r="U74" i="16"/>
  <c r="U57" i="16"/>
  <c r="U59" i="16"/>
  <c r="U75" i="16"/>
  <c r="U62" i="16"/>
  <c r="U78" i="16"/>
  <c r="U81" i="16"/>
  <c r="U66" i="16"/>
  <c r="U82" i="16"/>
  <c r="U83" i="16"/>
  <c r="U84" i="16"/>
  <c r="U67" i="16"/>
  <c r="U85" i="16"/>
  <c r="U90" i="16"/>
  <c r="U91" i="16"/>
  <c r="U92" i="16"/>
  <c r="U69" i="16"/>
  <c r="U70" i="16"/>
  <c r="U71" i="16"/>
  <c r="U95" i="16"/>
  <c r="U68" i="16"/>
  <c r="U76" i="16"/>
  <c r="U77" i="16"/>
  <c r="U101" i="16"/>
  <c r="U79" i="16"/>
  <c r="U80" i="16"/>
  <c r="U86" i="16"/>
  <c r="U87" i="16"/>
  <c r="U88" i="16"/>
  <c r="U89" i="16"/>
  <c r="U93" i="16"/>
  <c r="U102" i="16"/>
  <c r="U94" i="16"/>
  <c r="U96" i="16"/>
  <c r="U21" i="16"/>
  <c r="U97" i="16"/>
  <c r="U98" i="16"/>
  <c r="U103" i="16"/>
  <c r="U99" i="16"/>
  <c r="U100" i="16"/>
  <c r="V99" i="16" l="1" a="1"/>
  <c r="V99" i="16" s="1"/>
  <c r="V91" i="16" a="1"/>
  <c r="V91" i="16" s="1"/>
  <c r="V72" i="16" a="1"/>
  <c r="V72" i="16" s="1"/>
  <c r="V28" i="16" a="1"/>
  <c r="V28" i="16" s="1"/>
  <c r="R82" i="16" a="1"/>
  <c r="R82" i="16" s="1"/>
  <c r="R10" i="16" a="1"/>
  <c r="R10" i="16" s="1"/>
  <c r="R11" i="16" a="1"/>
  <c r="R11" i="16" s="1"/>
  <c r="R14" i="16" a="1"/>
  <c r="R14" i="16" s="1"/>
  <c r="V103" i="16" a="1"/>
  <c r="V103" i="16" s="1"/>
  <c r="V89" i="16" a="1"/>
  <c r="V89" i="16" s="1"/>
  <c r="V90" i="16" a="1"/>
  <c r="V90" i="16" s="1"/>
  <c r="V78" i="16" a="1"/>
  <c r="V78" i="16" s="1"/>
  <c r="V63" i="16" a="1"/>
  <c r="V63" i="16" s="1"/>
  <c r="V47" i="16" a="1"/>
  <c r="V47" i="16" s="1"/>
  <c r="V50" i="16" a="1"/>
  <c r="V50" i="16" s="1"/>
  <c r="V43" i="16" a="1"/>
  <c r="V43" i="16" s="1"/>
  <c r="V23" i="16" a="1"/>
  <c r="V23" i="16" s="1"/>
  <c r="V9" i="16" a="1"/>
  <c r="V9" i="16" s="1"/>
  <c r="R102" i="16" a="1"/>
  <c r="R102" i="16" s="1"/>
  <c r="R89" i="16" a="1"/>
  <c r="R89" i="16" s="1"/>
  <c r="R66" i="16" a="1"/>
  <c r="R66" i="16" s="1"/>
  <c r="R65" i="16" a="1"/>
  <c r="R65" i="16" s="1"/>
  <c r="R29" i="16" a="1"/>
  <c r="R29" i="16" s="1"/>
  <c r="R17" i="16" a="1"/>
  <c r="R17" i="16" s="1"/>
  <c r="V98" i="16" a="1"/>
  <c r="V98" i="16" s="1"/>
  <c r="V88" i="16" a="1"/>
  <c r="V88" i="16" s="1"/>
  <c r="V68" i="16" a="1"/>
  <c r="V68" i="16" s="1"/>
  <c r="V85" i="16" a="1"/>
  <c r="V85" i="16" s="1"/>
  <c r="V62" i="16" a="1"/>
  <c r="V62" i="16" s="1"/>
  <c r="V60" i="16" a="1"/>
  <c r="V60" i="16" s="1"/>
  <c r="V15" i="16" a="1"/>
  <c r="V15" i="16" s="1"/>
  <c r="V30" i="16" a="1"/>
  <c r="V30" i="16" s="1"/>
  <c r="V24" i="16" a="1"/>
  <c r="V24" i="16" s="1"/>
  <c r="V42" i="16" a="1"/>
  <c r="V42" i="16" s="1"/>
  <c r="V34" i="16" a="1"/>
  <c r="V34" i="16" s="1"/>
  <c r="V12" i="16" a="1"/>
  <c r="V12" i="16" s="1"/>
  <c r="R103" i="16" a="1"/>
  <c r="R103" i="16" s="1"/>
  <c r="R93" i="16" a="1"/>
  <c r="R93" i="16" s="1"/>
  <c r="R76" i="16" a="1"/>
  <c r="R76" i="16" s="1"/>
  <c r="R91" i="16" a="1"/>
  <c r="R91" i="16" s="1"/>
  <c r="R81" i="16" a="1"/>
  <c r="R81" i="16" s="1"/>
  <c r="R72" i="16" a="1"/>
  <c r="R72" i="16" s="1"/>
  <c r="R64" i="16" a="1"/>
  <c r="R64" i="16" s="1"/>
  <c r="R41" i="16" a="1"/>
  <c r="R41" i="16" s="1"/>
  <c r="R26" i="16" a="1"/>
  <c r="R26" i="16" s="1"/>
  <c r="R45" i="16" a="1"/>
  <c r="R45" i="16" s="1"/>
  <c r="R28" i="16" a="1"/>
  <c r="R28" i="16" s="1"/>
  <c r="R32" i="16" a="1"/>
  <c r="R32" i="16" s="1"/>
  <c r="R6" i="16" a="1"/>
  <c r="R6" i="16" s="1"/>
  <c r="V86" i="16" a="1"/>
  <c r="V86" i="16" s="1"/>
  <c r="V81" i="16" a="1"/>
  <c r="V81" i="16" s="1"/>
  <c r="V64" i="16" a="1"/>
  <c r="V64" i="16" s="1"/>
  <c r="V44" i="16" a="1"/>
  <c r="V44" i="16" s="1"/>
  <c r="V7" i="16" a="1"/>
  <c r="V7" i="16" s="1"/>
  <c r="R92" i="16" a="1"/>
  <c r="R92" i="16" s="1"/>
  <c r="R74" i="16" a="1"/>
  <c r="R74" i="16" s="1"/>
  <c r="R25" i="16" a="1"/>
  <c r="R25" i="16" s="1"/>
  <c r="R34" i="16" a="1"/>
  <c r="R34" i="16" s="1"/>
  <c r="V76" i="16" a="1"/>
  <c r="V76" i="16" s="1"/>
  <c r="V61" i="16" a="1"/>
  <c r="V61" i="16" s="1"/>
  <c r="R100" i="16" a="1"/>
  <c r="R100" i="16" s="1"/>
  <c r="R77" i="16" a="1"/>
  <c r="R77" i="16" s="1"/>
  <c r="R73" i="16" a="1"/>
  <c r="R73" i="16" s="1"/>
  <c r="R51" i="16" a="1"/>
  <c r="R51" i="16" s="1"/>
  <c r="R19" i="16" a="1"/>
  <c r="R19" i="16" s="1"/>
  <c r="R7" i="16" a="1"/>
  <c r="R7" i="16" s="1"/>
  <c r="V97" i="16" a="1"/>
  <c r="V97" i="16" s="1"/>
  <c r="V87" i="16" a="1"/>
  <c r="V87" i="16" s="1"/>
  <c r="V95" i="16" a="1"/>
  <c r="V95" i="16" s="1"/>
  <c r="V67" i="16" a="1"/>
  <c r="V67" i="16" s="1"/>
  <c r="V75" i="16" a="1"/>
  <c r="V75" i="16" s="1"/>
  <c r="V55" i="16" a="1"/>
  <c r="V55" i="16" s="1"/>
  <c r="V54" i="16" a="1"/>
  <c r="V54" i="16" s="1"/>
  <c r="V52" i="16" a="1"/>
  <c r="V52" i="16" s="1"/>
  <c r="V27" i="16" a="1"/>
  <c r="V27" i="16" s="1"/>
  <c r="V19" i="16" a="1"/>
  <c r="V19" i="16" s="1"/>
  <c r="V11" i="16" a="1"/>
  <c r="V11" i="16" s="1"/>
  <c r="V8" i="16" a="1"/>
  <c r="V8" i="16" s="1"/>
  <c r="R99" i="16" a="1"/>
  <c r="R99" i="16" s="1"/>
  <c r="R88" i="16" a="1"/>
  <c r="R88" i="16" s="1"/>
  <c r="R68" i="16" a="1"/>
  <c r="R68" i="16" s="1"/>
  <c r="R90" i="16" a="1"/>
  <c r="R90" i="16" s="1"/>
  <c r="R78" i="16" a="1"/>
  <c r="R78" i="16" s="1"/>
  <c r="R61" i="16" a="1"/>
  <c r="R61" i="16" s="1"/>
  <c r="R63" i="16" a="1"/>
  <c r="R63" i="16" s="1"/>
  <c r="R47" i="16" a="1"/>
  <c r="R47" i="16" s="1"/>
  <c r="R27" i="16" a="1"/>
  <c r="R27" i="16" s="1"/>
  <c r="R44" i="16" a="1"/>
  <c r="R44" i="16" s="1"/>
  <c r="R37" i="16" a="1"/>
  <c r="R37" i="16" s="1"/>
  <c r="R31" i="16" a="1"/>
  <c r="R31" i="16" s="1"/>
  <c r="V21" i="16" a="1"/>
  <c r="V21" i="16" s="1"/>
  <c r="V59" i="16" a="1"/>
  <c r="V59" i="16" s="1"/>
  <c r="V39" i="16" a="1"/>
  <c r="V39" i="16" s="1"/>
  <c r="R62" i="16" a="1"/>
  <c r="R62" i="16" s="1"/>
  <c r="R12" i="16" a="1"/>
  <c r="R12" i="16" s="1"/>
  <c r="V84" i="16" a="1"/>
  <c r="V84" i="16" s="1"/>
  <c r="V53" i="16" a="1"/>
  <c r="V53" i="16" s="1"/>
  <c r="V40" i="16" a="1"/>
  <c r="V40" i="16" s="1"/>
  <c r="V17" i="16" a="1"/>
  <c r="V17" i="16" s="1"/>
  <c r="R98" i="16" a="1"/>
  <c r="R98" i="16" s="1"/>
  <c r="R85" i="16" a="1"/>
  <c r="R85" i="16" s="1"/>
  <c r="R43" i="16" a="1"/>
  <c r="R43" i="16" s="1"/>
  <c r="R42" i="16" a="1"/>
  <c r="R42" i="16" s="1"/>
  <c r="V71" i="16" a="1"/>
  <c r="V71" i="16" s="1"/>
  <c r="V58" i="16" a="1"/>
  <c r="V58" i="16" s="1"/>
  <c r="V48" i="16" a="1"/>
  <c r="V48" i="16" s="1"/>
  <c r="V16" i="16" a="1"/>
  <c r="V16" i="16" s="1"/>
  <c r="R87" i="16" a="1"/>
  <c r="R87" i="16" s="1"/>
  <c r="R15" i="16" a="1"/>
  <c r="R15" i="16" s="1"/>
  <c r="V96" i="16" a="1"/>
  <c r="V96" i="16" s="1"/>
  <c r="V83" i="16" a="1"/>
  <c r="V83" i="16" s="1"/>
  <c r="V56" i="16" a="1"/>
  <c r="V56" i="16" s="1"/>
  <c r="R86" i="16" a="1"/>
  <c r="R86" i="16" s="1"/>
  <c r="R67" i="16" a="1"/>
  <c r="R67" i="16" s="1"/>
  <c r="R54" i="16" a="1"/>
  <c r="R54" i="16" s="1"/>
  <c r="R50" i="16" a="1"/>
  <c r="R50" i="16" s="1"/>
  <c r="R8" i="16" a="1"/>
  <c r="R8" i="16" s="1"/>
  <c r="V94" i="16" a="1"/>
  <c r="V94" i="16" s="1"/>
  <c r="V79" i="16" a="1"/>
  <c r="V79" i="16" s="1"/>
  <c r="V69" i="16" a="1"/>
  <c r="V69" i="16" s="1"/>
  <c r="V82" i="16" a="1"/>
  <c r="V82" i="16" s="1"/>
  <c r="V74" i="16" a="1"/>
  <c r="V74" i="16" s="1"/>
  <c r="V10" i="16" a="1"/>
  <c r="V10" i="16" s="1"/>
  <c r="V51" i="16" a="1"/>
  <c r="V51" i="16" s="1"/>
  <c r="V25" i="16" a="1"/>
  <c r="V25" i="16" s="1"/>
  <c r="V20" i="16" a="1"/>
  <c r="V20" i="16" s="1"/>
  <c r="V37" i="16" a="1"/>
  <c r="V37" i="16" s="1"/>
  <c r="V32" i="16" a="1"/>
  <c r="V32" i="16" s="1"/>
  <c r="V14" i="16" a="1"/>
  <c r="V14" i="16" s="1"/>
  <c r="R97" i="16" a="1"/>
  <c r="R97" i="16" s="1"/>
  <c r="R80" i="16" a="1"/>
  <c r="R80" i="16" s="1"/>
  <c r="R70" i="16" a="1"/>
  <c r="R70" i="16" s="1"/>
  <c r="R84" i="16" a="1"/>
  <c r="R84" i="16" s="1"/>
  <c r="R59" i="16" a="1"/>
  <c r="R59" i="16" s="1"/>
  <c r="R58" i="16" a="1"/>
  <c r="R58" i="16" s="1"/>
  <c r="R53" i="16" a="1"/>
  <c r="R53" i="16" s="1"/>
  <c r="R40" i="16" a="1"/>
  <c r="R40" i="16" s="1"/>
  <c r="R20" i="16" a="1"/>
  <c r="R20" i="16" s="1"/>
  <c r="R39" i="16" a="1"/>
  <c r="R39" i="16" s="1"/>
  <c r="R23" i="16" a="1"/>
  <c r="R23" i="16" s="1"/>
  <c r="R16" i="16" a="1"/>
  <c r="R16" i="16" s="1"/>
  <c r="R95" i="16" a="1"/>
  <c r="R95" i="16" s="1"/>
  <c r="R60" i="16" a="1"/>
  <c r="R60" i="16" s="1"/>
  <c r="R30" i="16" a="1"/>
  <c r="R30" i="16" s="1"/>
  <c r="R22" i="16" a="1"/>
  <c r="R22" i="16" s="1"/>
  <c r="R36" i="16" a="1"/>
  <c r="R36" i="16" s="1"/>
  <c r="V80" i="16" a="1"/>
  <c r="V80" i="16" s="1"/>
  <c r="V70" i="16" a="1"/>
  <c r="V70" i="16" s="1"/>
  <c r="V57" i="16" a="1"/>
  <c r="V57" i="16" s="1"/>
  <c r="V49" i="16" a="1"/>
  <c r="V49" i="16" s="1"/>
  <c r="V38" i="16" a="1"/>
  <c r="V38" i="16" s="1"/>
  <c r="V22" i="16" a="1"/>
  <c r="V22" i="16" s="1"/>
  <c r="V18" i="16" a="1"/>
  <c r="V18" i="16" s="1"/>
  <c r="V33" i="16" a="1"/>
  <c r="V33" i="16" s="1"/>
  <c r="V13" i="16" a="1"/>
  <c r="V13" i="16" s="1"/>
  <c r="R21" i="16" a="1"/>
  <c r="R21" i="16" s="1"/>
  <c r="R71" i="16" a="1"/>
  <c r="R71" i="16" s="1"/>
  <c r="R75" i="16" a="1"/>
  <c r="R75" i="16" s="1"/>
  <c r="R55" i="16" a="1"/>
  <c r="R55" i="16" s="1"/>
  <c r="R52" i="16" a="1"/>
  <c r="R52" i="16" s="1"/>
  <c r="R35" i="16" a="1"/>
  <c r="R35" i="16" s="1"/>
  <c r="V100" i="16" a="1"/>
  <c r="V100" i="16" s="1"/>
  <c r="V102" i="16" a="1"/>
  <c r="V102" i="16" s="1"/>
  <c r="V101" i="16" a="1"/>
  <c r="V101" i="16" s="1"/>
  <c r="V92" i="16" a="1"/>
  <c r="V92" i="16" s="1"/>
  <c r="V66" i="16" a="1"/>
  <c r="V66" i="16" s="1"/>
  <c r="V73" i="16" a="1"/>
  <c r="V73" i="16" s="1"/>
  <c r="V65" i="16" a="1"/>
  <c r="V65" i="16" s="1"/>
  <c r="V46" i="16" a="1"/>
  <c r="V46" i="16" s="1"/>
  <c r="V26" i="16" a="1"/>
  <c r="V26" i="16" s="1"/>
  <c r="V45" i="16" a="1"/>
  <c r="V45" i="16" s="1"/>
  <c r="V36" i="16" a="1"/>
  <c r="V36" i="16" s="1"/>
  <c r="V31" i="16" a="1"/>
  <c r="V31" i="16" s="1"/>
  <c r="V6" i="16" a="1"/>
  <c r="V6" i="16" s="1"/>
  <c r="R96" i="16" a="1"/>
  <c r="R96" i="16" s="1"/>
  <c r="R79" i="16" a="1"/>
  <c r="R79" i="16" s="1"/>
  <c r="R69" i="16" a="1"/>
  <c r="R69" i="16" s="1"/>
  <c r="R83" i="16" a="1"/>
  <c r="R83" i="16" s="1"/>
  <c r="R57" i="16" a="1"/>
  <c r="R57" i="16" s="1"/>
  <c r="R56" i="16" a="1"/>
  <c r="R56" i="16" s="1"/>
  <c r="R49" i="16" a="1"/>
  <c r="R49" i="16" s="1"/>
  <c r="R38" i="16" a="1"/>
  <c r="R38" i="16" s="1"/>
  <c r="R24" i="16" a="1"/>
  <c r="R24" i="16" s="1"/>
  <c r="R18" i="16" a="1"/>
  <c r="R18" i="16" s="1"/>
  <c r="R9" i="16" a="1"/>
  <c r="R9" i="16" s="1"/>
  <c r="R13" i="16" a="1"/>
  <c r="R13" i="16" s="1"/>
  <c r="V93" i="16" a="1"/>
  <c r="V93" i="16" s="1"/>
  <c r="V29" i="16" a="1"/>
  <c r="V29" i="16" s="1"/>
  <c r="R101" i="16" a="1"/>
  <c r="R101" i="16" s="1"/>
  <c r="R48" i="16" a="1"/>
  <c r="R48" i="16" s="1"/>
  <c r="V77" i="16" a="1"/>
  <c r="V77" i="16" s="1"/>
  <c r="V41" i="16" a="1"/>
  <c r="V41" i="16" s="1"/>
  <c r="V35" i="16" a="1"/>
  <c r="V35" i="16" s="1"/>
  <c r="R94" i="16" a="1"/>
  <c r="R94" i="16" s="1"/>
  <c r="R46" i="16" a="1"/>
  <c r="R46" i="16" s="1"/>
  <c r="R33" i="16" a="1"/>
  <c r="R33" i="16" s="1"/>
  <c r="H9" i="17"/>
  <c r="H8" i="17"/>
  <c r="H10" i="17"/>
  <c r="H11" i="17"/>
  <c r="H20" i="17"/>
  <c r="H17" i="17"/>
  <c r="H12" i="17"/>
  <c r="H37" i="17"/>
  <c r="H33" i="17"/>
  <c r="H47" i="17"/>
  <c r="H36" i="17"/>
  <c r="H39" i="17"/>
  <c r="H19" i="17"/>
  <c r="H42" i="17"/>
  <c r="H15" i="17"/>
  <c r="H26" i="17"/>
  <c r="H38" i="17"/>
  <c r="H23" i="17"/>
  <c r="H32" i="17"/>
  <c r="H53" i="17"/>
  <c r="H28" i="17"/>
  <c r="H31" i="17"/>
  <c r="H24" i="17"/>
  <c r="H40" i="17"/>
  <c r="H29" i="17"/>
  <c r="H41" i="17"/>
  <c r="H14" i="17"/>
  <c r="H25" i="17"/>
  <c r="H13" i="17"/>
  <c r="H48" i="17"/>
  <c r="H44" i="17"/>
  <c r="H21" i="17"/>
  <c r="H18" i="17"/>
  <c r="H49" i="17"/>
  <c r="H30" i="17"/>
  <c r="H50" i="17"/>
  <c r="H27" i="17"/>
  <c r="H55" i="17"/>
  <c r="H34" i="17"/>
  <c r="H43" i="17"/>
  <c r="H54" i="17"/>
  <c r="H46" i="17"/>
  <c r="H52" i="17"/>
  <c r="H35" i="17"/>
  <c r="H45" i="17"/>
  <c r="H51" i="17"/>
  <c r="H56" i="17"/>
  <c r="G9" i="17"/>
  <c r="G8" i="17"/>
  <c r="G10" i="17"/>
  <c r="G11" i="17"/>
  <c r="G20" i="17"/>
  <c r="G17" i="17"/>
  <c r="G12" i="17"/>
  <c r="G37" i="17"/>
  <c r="G33" i="17"/>
  <c r="G47" i="17"/>
  <c r="G36" i="17"/>
  <c r="G39" i="17"/>
  <c r="G19" i="17"/>
  <c r="G42" i="17"/>
  <c r="G15" i="17"/>
  <c r="G26" i="17"/>
  <c r="G38" i="17"/>
  <c r="G23" i="17"/>
  <c r="G32" i="17"/>
  <c r="G53" i="17"/>
  <c r="G28" i="17"/>
  <c r="G31" i="17"/>
  <c r="G24" i="17"/>
  <c r="G40" i="17"/>
  <c r="G29" i="17"/>
  <c r="G41" i="17"/>
  <c r="G14" i="17"/>
  <c r="G25" i="17"/>
  <c r="G13" i="17"/>
  <c r="G48" i="17"/>
  <c r="G44" i="17"/>
  <c r="G21" i="17"/>
  <c r="G18" i="17"/>
  <c r="G49" i="17"/>
  <c r="G30" i="17"/>
  <c r="G50" i="17"/>
  <c r="G27" i="17"/>
  <c r="G55" i="17"/>
  <c r="G34" i="17"/>
  <c r="G43" i="17"/>
  <c r="G54" i="17"/>
  <c r="G46" i="17"/>
  <c r="G52" i="17"/>
  <c r="G35" i="17"/>
  <c r="G45" i="17"/>
  <c r="G51" i="17"/>
  <c r="G56" i="17"/>
  <c r="F9" i="17"/>
  <c r="F8" i="17"/>
  <c r="F10" i="17"/>
  <c r="F11" i="17"/>
  <c r="F20" i="17"/>
  <c r="F17" i="17"/>
  <c r="F12" i="17"/>
  <c r="F37" i="17"/>
  <c r="F33" i="17"/>
  <c r="F47" i="17"/>
  <c r="F36" i="17"/>
  <c r="F39" i="17"/>
  <c r="F19" i="17"/>
  <c r="F42" i="17"/>
  <c r="F15" i="17"/>
  <c r="F26" i="17"/>
  <c r="F38" i="17"/>
  <c r="F23" i="17"/>
  <c r="F32" i="17"/>
  <c r="F53" i="17"/>
  <c r="F28" i="17"/>
  <c r="F31" i="17"/>
  <c r="F24" i="17"/>
  <c r="F40" i="17"/>
  <c r="F29" i="17"/>
  <c r="F41" i="17"/>
  <c r="F14" i="17"/>
  <c r="F25" i="17"/>
  <c r="F13" i="17"/>
  <c r="F48" i="17"/>
  <c r="F44" i="17"/>
  <c r="F21" i="17"/>
  <c r="F18" i="17"/>
  <c r="F49" i="17"/>
  <c r="F30" i="17"/>
  <c r="F50" i="17"/>
  <c r="F27" i="17"/>
  <c r="F55" i="17"/>
  <c r="F34" i="17"/>
  <c r="F43" i="17"/>
  <c r="F54" i="17"/>
  <c r="F46" i="17"/>
  <c r="F52" i="17"/>
  <c r="F35" i="17"/>
  <c r="F45" i="17"/>
  <c r="F51" i="17"/>
  <c r="F56" i="17"/>
  <c r="E8" i="17"/>
  <c r="E19" i="17"/>
  <c r="I26" i="17"/>
  <c r="E15" i="17"/>
  <c r="E13" i="17"/>
  <c r="D21" i="17"/>
  <c r="D44" i="17"/>
  <c r="I30" i="17"/>
  <c r="E31" i="17"/>
  <c r="I53" i="17"/>
  <c r="D28" i="17"/>
  <c r="D46" i="17"/>
  <c r="E56" i="17"/>
  <c r="E9" i="17"/>
  <c r="I12" i="17"/>
  <c r="D10" i="17"/>
  <c r="E37" i="17"/>
  <c r="D36" i="17"/>
  <c r="I41" i="17"/>
  <c r="E42" i="17"/>
  <c r="D14" i="17"/>
  <c r="E27" i="17"/>
  <c r="D18" i="17"/>
  <c r="I43" i="17"/>
  <c r="E35" i="17"/>
  <c r="G62" i="25"/>
  <c r="G18" i="25"/>
  <c r="CQ4" i="16" a="1"/>
  <c r="CQ4" i="16" s="1"/>
  <c r="CQ7" i="16" a="1"/>
  <c r="CQ7" i="16" s="1"/>
  <c r="CQ6" i="16" a="1"/>
  <c r="CQ6" i="16" s="1"/>
  <c r="CQ14" i="16" a="1"/>
  <c r="CQ14" i="16" s="1"/>
  <c r="CQ17" i="16" a="1"/>
  <c r="CQ17" i="16" s="1"/>
  <c r="CQ28" i="16" a="1"/>
  <c r="CQ28" i="16" s="1"/>
  <c r="CQ8" i="16" a="1"/>
  <c r="CQ8" i="16" s="1"/>
  <c r="CQ16" i="16" a="1"/>
  <c r="CQ16" i="16" s="1"/>
  <c r="CQ9" i="16" a="1"/>
  <c r="CQ9" i="16" s="1"/>
  <c r="CQ18" i="16" a="1"/>
  <c r="CQ18" i="16" s="1"/>
  <c r="CQ11" i="16" a="1"/>
  <c r="CQ11" i="16" s="1"/>
  <c r="CQ22" i="16" a="1"/>
  <c r="CQ22" i="16" s="1"/>
  <c r="CQ23" i="16" a="1"/>
  <c r="CQ23" i="16" s="1"/>
  <c r="CQ32" i="16" a="1"/>
  <c r="CQ32" i="16" s="1"/>
  <c r="CQ13" i="16" a="1"/>
  <c r="CQ13" i="16" s="1"/>
  <c r="CQ33" i="16" a="1"/>
  <c r="CQ33" i="16" s="1"/>
  <c r="CQ31" i="16" a="1"/>
  <c r="CQ31" i="16" s="1"/>
  <c r="CQ12" i="16" a="1"/>
  <c r="CQ12" i="16" s="1"/>
  <c r="CQ37" i="16" a="1"/>
  <c r="CQ37" i="16" s="1"/>
  <c r="CQ35" i="16" a="1"/>
  <c r="CQ35" i="16" s="1"/>
  <c r="CQ36" i="16" a="1"/>
  <c r="CQ36" i="16" s="1"/>
  <c r="CQ34" i="16" a="1"/>
  <c r="CQ34" i="16" s="1"/>
  <c r="CQ29" i="16" a="1"/>
  <c r="CQ29" i="16" s="1"/>
  <c r="CQ39" i="16" a="1"/>
  <c r="CQ39" i="16" s="1"/>
  <c r="CQ26" i="16" a="1"/>
  <c r="CQ26" i="16" s="1"/>
  <c r="CQ27" i="16" a="1"/>
  <c r="CQ27" i="16" s="1"/>
  <c r="CQ44" i="16" a="1"/>
  <c r="CQ44" i="16" s="1"/>
  <c r="CQ43" i="16" a="1"/>
  <c r="CQ43" i="16" s="1"/>
  <c r="CQ48" i="16" a="1"/>
  <c r="CQ48" i="16" s="1"/>
  <c r="CQ20" i="16" a="1"/>
  <c r="CQ20" i="16" s="1"/>
  <c r="CQ25" i="16" a="1"/>
  <c r="CQ25" i="16" s="1"/>
  <c r="CQ30" i="16" a="1"/>
  <c r="CQ30" i="16" s="1"/>
  <c r="CQ45" i="16" a="1"/>
  <c r="CQ45" i="16" s="1"/>
  <c r="CQ19" i="16" a="1"/>
  <c r="CQ19" i="16" s="1"/>
  <c r="CQ42" i="16" a="1"/>
  <c r="CQ42" i="16" s="1"/>
  <c r="CQ50" i="16" a="1"/>
  <c r="CQ50" i="16" s="1"/>
  <c r="CQ52" i="16" a="1"/>
  <c r="CQ52" i="16" s="1"/>
  <c r="CQ24" i="16" a="1"/>
  <c r="CQ24" i="16" s="1"/>
  <c r="CQ38" i="16" a="1"/>
  <c r="CQ38" i="16" s="1"/>
  <c r="CQ46" i="16" a="1"/>
  <c r="CQ46" i="16" s="1"/>
  <c r="CQ40" i="16" a="1"/>
  <c r="CQ40" i="16" s="1"/>
  <c r="CQ41" i="16" a="1"/>
  <c r="CQ41" i="16" s="1"/>
  <c r="CQ47" i="16" a="1"/>
  <c r="CQ47" i="16" s="1"/>
  <c r="CQ49" i="16" a="1"/>
  <c r="CQ49" i="16" s="1"/>
  <c r="CQ51" i="16" a="1"/>
  <c r="CQ51" i="16" s="1"/>
  <c r="CQ63" i="16" a="1"/>
  <c r="CQ63" i="16" s="1"/>
  <c r="CQ65" i="16" a="1"/>
  <c r="CQ65" i="16" s="1"/>
  <c r="CQ10" i="16" a="1"/>
  <c r="CQ10" i="16" s="1"/>
  <c r="CQ56" i="16" a="1"/>
  <c r="CQ56" i="16" s="1"/>
  <c r="CQ85" i="16" a="1"/>
  <c r="CQ85" i="16" s="1"/>
  <c r="CQ72" i="16" a="1"/>
  <c r="CQ72" i="16" s="1"/>
  <c r="CQ73" i="16" a="1"/>
  <c r="CQ73" i="16" s="1"/>
  <c r="CQ71" i="16" a="1"/>
  <c r="CQ71" i="16" s="1"/>
  <c r="CQ74" i="16" a="1"/>
  <c r="CQ74" i="16" s="1"/>
  <c r="CQ57" i="16" a="1"/>
  <c r="CQ57" i="16" s="1"/>
  <c r="CQ59" i="16" a="1"/>
  <c r="CQ59" i="16" s="1"/>
  <c r="CQ64" i="16" a="1"/>
  <c r="CQ64" i="16" s="1"/>
  <c r="CQ75" i="16" a="1"/>
  <c r="CQ75" i="16" s="1"/>
  <c r="CQ53" i="16" a="1"/>
  <c r="CQ53" i="16" s="1"/>
  <c r="CQ62" i="16" a="1"/>
  <c r="CQ62" i="16" s="1"/>
  <c r="CQ54" i="16" a="1"/>
  <c r="CQ54" i="16" s="1"/>
  <c r="CQ78" i="16" a="1"/>
  <c r="CQ78" i="16" s="1"/>
  <c r="CQ55" i="16" a="1"/>
  <c r="CQ55" i="16" s="1"/>
  <c r="CQ58" i="16" a="1"/>
  <c r="CQ58" i="16" s="1"/>
  <c r="CQ66" i="16" a="1"/>
  <c r="CQ66" i="16" s="1"/>
  <c r="CQ67" i="16" a="1"/>
  <c r="CQ67" i="16" s="1"/>
  <c r="CQ83" i="16" a="1"/>
  <c r="CQ83" i="16" s="1"/>
  <c r="CQ84" i="16" a="1"/>
  <c r="CQ84" i="16" s="1"/>
  <c r="CQ15" i="16" a="1"/>
  <c r="CQ15" i="16" s="1"/>
  <c r="CQ90" i="16" a="1"/>
  <c r="CQ90" i="16" s="1"/>
  <c r="CQ91" i="16" a="1"/>
  <c r="CQ91" i="16" s="1"/>
  <c r="CQ69" i="16" a="1"/>
  <c r="CQ69" i="16" s="1"/>
  <c r="CQ92" i="16" a="1"/>
  <c r="CQ92" i="16" s="1"/>
  <c r="CQ70" i="16" a="1"/>
  <c r="CQ70" i="16" s="1"/>
  <c r="CQ82" i="16" a="1"/>
  <c r="CQ82" i="16" s="1"/>
  <c r="CQ95" i="16" a="1"/>
  <c r="CQ95" i="16" s="1"/>
  <c r="CQ68" i="16" a="1"/>
  <c r="CQ68" i="16" s="1"/>
  <c r="CQ21" i="16" a="1"/>
  <c r="CQ21" i="16" s="1"/>
  <c r="CQ77" i="16" a="1"/>
  <c r="CQ77" i="16" s="1"/>
  <c r="CQ101" i="16" a="1"/>
  <c r="CQ101" i="16" s="1"/>
  <c r="CQ76" i="16" a="1"/>
  <c r="CQ76" i="16" s="1"/>
  <c r="CQ60" i="16" a="1"/>
  <c r="CQ60" i="16" s="1"/>
  <c r="CQ79" i="16" a="1"/>
  <c r="CQ79" i="16" s="1"/>
  <c r="CQ80" i="16" a="1"/>
  <c r="CQ80" i="16" s="1"/>
  <c r="CQ61" i="16" a="1"/>
  <c r="CQ61" i="16" s="1"/>
  <c r="CQ100" i="16" a="1"/>
  <c r="CQ100" i="16" s="1"/>
  <c r="CQ89" i="16" a="1"/>
  <c r="CQ89" i="16" s="1"/>
  <c r="CQ86" i="16" a="1"/>
  <c r="CQ86" i="16" s="1"/>
  <c r="CQ87" i="16" a="1"/>
  <c r="CQ87" i="16" s="1"/>
  <c r="CQ88" i="16" a="1"/>
  <c r="CQ88" i="16" s="1"/>
  <c r="CQ93" i="16" a="1"/>
  <c r="CQ93" i="16" s="1"/>
  <c r="CQ81" i="16" a="1"/>
  <c r="CQ81" i="16" s="1"/>
  <c r="CQ102" i="16" a="1"/>
  <c r="CQ102" i="16" s="1"/>
  <c r="CQ94" i="16" a="1"/>
  <c r="CQ94" i="16" s="1"/>
  <c r="CQ96" i="16" a="1"/>
  <c r="CQ96" i="16" s="1"/>
  <c r="CQ97" i="16" a="1"/>
  <c r="CQ97" i="16" s="1"/>
  <c r="CQ103" i="16" a="1"/>
  <c r="CQ103" i="16" s="1"/>
  <c r="CQ98" i="16" a="1"/>
  <c r="CQ98" i="16" s="1"/>
  <c r="CQ99" i="16" a="1"/>
  <c r="CQ99" i="16" s="1"/>
  <c r="CT4" i="16" a="1"/>
  <c r="CT4" i="16" s="1"/>
  <c r="CT7" i="16" a="1"/>
  <c r="CT7" i="16" s="1"/>
  <c r="CT6" i="16" a="1"/>
  <c r="CT6" i="16" s="1"/>
  <c r="CT14" i="16" a="1"/>
  <c r="CT14" i="16" s="1"/>
  <c r="CT17" i="16" a="1"/>
  <c r="CT17" i="16" s="1"/>
  <c r="CT28" i="16" a="1"/>
  <c r="CT28" i="16" s="1"/>
  <c r="CT8" i="16" a="1"/>
  <c r="CT8" i="16" s="1"/>
  <c r="CT16" i="16" a="1"/>
  <c r="CT16" i="16" s="1"/>
  <c r="CT9" i="16" a="1"/>
  <c r="CT9" i="16" s="1"/>
  <c r="CT18" i="16" a="1"/>
  <c r="CT18" i="16" s="1"/>
  <c r="CT11" i="16" a="1"/>
  <c r="CT11" i="16" s="1"/>
  <c r="CT22" i="16" a="1"/>
  <c r="CT22" i="16" s="1"/>
  <c r="CT23" i="16" a="1"/>
  <c r="CT23" i="16" s="1"/>
  <c r="CT32" i="16" a="1"/>
  <c r="CT32" i="16" s="1"/>
  <c r="CT13" i="16" a="1"/>
  <c r="CT13" i="16" s="1"/>
  <c r="CT33" i="16" a="1"/>
  <c r="CT33" i="16" s="1"/>
  <c r="CT31" i="16" a="1"/>
  <c r="CT31" i="16" s="1"/>
  <c r="CT12" i="16" a="1"/>
  <c r="CT12" i="16" s="1"/>
  <c r="CT37" i="16" a="1"/>
  <c r="CT37" i="16" s="1"/>
  <c r="CT35" i="16" a="1"/>
  <c r="CT35" i="16" s="1"/>
  <c r="CT36" i="16" a="1"/>
  <c r="CT36" i="16" s="1"/>
  <c r="CT34" i="16" a="1"/>
  <c r="CT34" i="16" s="1"/>
  <c r="CT29" i="16" a="1"/>
  <c r="CT29" i="16" s="1"/>
  <c r="CT39" i="16" a="1"/>
  <c r="CT39" i="16" s="1"/>
  <c r="CT26" i="16" a="1"/>
  <c r="CT26" i="16" s="1"/>
  <c r="CT27" i="16" a="1"/>
  <c r="CT27" i="16" s="1"/>
  <c r="CT44" i="16" a="1"/>
  <c r="CT44" i="16" s="1"/>
  <c r="CT43" i="16" a="1"/>
  <c r="CT43" i="16" s="1"/>
  <c r="CT48" i="16" a="1"/>
  <c r="CT48" i="16" s="1"/>
  <c r="CT20" i="16" a="1"/>
  <c r="CT20" i="16" s="1"/>
  <c r="CT25" i="16" a="1"/>
  <c r="CT25" i="16" s="1"/>
  <c r="CT30" i="16" a="1"/>
  <c r="CT30" i="16" s="1"/>
  <c r="CT45" i="16" a="1"/>
  <c r="CT45" i="16" s="1"/>
  <c r="CT19" i="16" a="1"/>
  <c r="CT19" i="16" s="1"/>
  <c r="CT42" i="16" a="1"/>
  <c r="CT42" i="16" s="1"/>
  <c r="CT50" i="16" a="1"/>
  <c r="CT50" i="16" s="1"/>
  <c r="CT52" i="16" a="1"/>
  <c r="CT52" i="16" s="1"/>
  <c r="CT24" i="16" a="1"/>
  <c r="CT24" i="16" s="1"/>
  <c r="CT38" i="16" a="1"/>
  <c r="CT38" i="16" s="1"/>
  <c r="CT46" i="16" a="1"/>
  <c r="CT46" i="16" s="1"/>
  <c r="CT40" i="16" a="1"/>
  <c r="CT40" i="16" s="1"/>
  <c r="CT41" i="16" a="1"/>
  <c r="CT41" i="16" s="1"/>
  <c r="CT47" i="16" a="1"/>
  <c r="CT47" i="16" s="1"/>
  <c r="CT49" i="16" a="1"/>
  <c r="CT49" i="16" s="1"/>
  <c r="CT51" i="16" a="1"/>
  <c r="CT51" i="16" s="1"/>
  <c r="CT63" i="16" a="1"/>
  <c r="CT63" i="16" s="1"/>
  <c r="CT65" i="16" a="1"/>
  <c r="CT65" i="16" s="1"/>
  <c r="CT10" i="16" a="1"/>
  <c r="CT10" i="16" s="1"/>
  <c r="CT56" i="16" a="1"/>
  <c r="CT56" i="16" s="1"/>
  <c r="CT85" i="16" a="1"/>
  <c r="CT85" i="16" s="1"/>
  <c r="CT72" i="16" a="1"/>
  <c r="CT72" i="16" s="1"/>
  <c r="CT73" i="16" a="1"/>
  <c r="CT73" i="16" s="1"/>
  <c r="CT71" i="16" a="1"/>
  <c r="CT71" i="16" s="1"/>
  <c r="CT74" i="16" a="1"/>
  <c r="CT74" i="16" s="1"/>
  <c r="CT57" i="16" a="1"/>
  <c r="CT57" i="16" s="1"/>
  <c r="CT59" i="16" a="1"/>
  <c r="CT59" i="16" s="1"/>
  <c r="CT64" i="16" a="1"/>
  <c r="CT64" i="16" s="1"/>
  <c r="CT75" i="16" a="1"/>
  <c r="CT75" i="16" s="1"/>
  <c r="CT53" i="16" a="1"/>
  <c r="CT53" i="16" s="1"/>
  <c r="CT62" i="16" a="1"/>
  <c r="CT62" i="16" s="1"/>
  <c r="CT54" i="16" a="1"/>
  <c r="CT54" i="16" s="1"/>
  <c r="CT78" i="16" a="1"/>
  <c r="CT78" i="16" s="1"/>
  <c r="CT55" i="16" a="1"/>
  <c r="CT55" i="16" s="1"/>
  <c r="CT58" i="16" a="1"/>
  <c r="CT58" i="16" s="1"/>
  <c r="CT66" i="16" a="1"/>
  <c r="CT66" i="16" s="1"/>
  <c r="CT67" i="16" a="1"/>
  <c r="CT67" i="16" s="1"/>
  <c r="CT83" i="16" a="1"/>
  <c r="CT83" i="16" s="1"/>
  <c r="CT84" i="16" a="1"/>
  <c r="CT84" i="16" s="1"/>
  <c r="CT15" i="16" a="1"/>
  <c r="CT15" i="16" s="1"/>
  <c r="CT90" i="16" a="1"/>
  <c r="CT90" i="16" s="1"/>
  <c r="CT91" i="16" a="1"/>
  <c r="CT91" i="16" s="1"/>
  <c r="CT69" i="16" a="1"/>
  <c r="CT69" i="16" s="1"/>
  <c r="CT92" i="16" a="1"/>
  <c r="CT92" i="16" s="1"/>
  <c r="CT70" i="16" a="1"/>
  <c r="CT70" i="16" s="1"/>
  <c r="CT82" i="16" a="1"/>
  <c r="CT82" i="16" s="1"/>
  <c r="CT95" i="16" a="1"/>
  <c r="CT95" i="16" s="1"/>
  <c r="CT68" i="16" a="1"/>
  <c r="CT68" i="16" s="1"/>
  <c r="CT21" i="16" a="1"/>
  <c r="CT21" i="16" s="1"/>
  <c r="CT77" i="16" a="1"/>
  <c r="CT77" i="16" s="1"/>
  <c r="CT101" i="16" a="1"/>
  <c r="CT101" i="16" s="1"/>
  <c r="CT76" i="16" a="1"/>
  <c r="CT76" i="16" s="1"/>
  <c r="CT60" i="16" a="1"/>
  <c r="CT60" i="16" s="1"/>
  <c r="CT79" i="16" a="1"/>
  <c r="CT79" i="16" s="1"/>
  <c r="CT80" i="16" a="1"/>
  <c r="CT80" i="16" s="1"/>
  <c r="CT61" i="16" a="1"/>
  <c r="CT61" i="16" s="1"/>
  <c r="CT100" i="16" a="1"/>
  <c r="CT100" i="16" s="1"/>
  <c r="CT89" i="16" a="1"/>
  <c r="CT89" i="16" s="1"/>
  <c r="CT86" i="16" a="1"/>
  <c r="CT86" i="16" s="1"/>
  <c r="CT87" i="16" a="1"/>
  <c r="CT87" i="16" s="1"/>
  <c r="CT88" i="16" a="1"/>
  <c r="CT88" i="16" s="1"/>
  <c r="CT93" i="16" a="1"/>
  <c r="CT93" i="16" s="1"/>
  <c r="CT81" i="16" a="1"/>
  <c r="CT81" i="16" s="1"/>
  <c r="CT102" i="16" a="1"/>
  <c r="CT102" i="16" s="1"/>
  <c r="CT94" i="16" a="1"/>
  <c r="CT94" i="16" s="1"/>
  <c r="CT96" i="16" a="1"/>
  <c r="CT96" i="16" s="1"/>
  <c r="CT97" i="16" a="1"/>
  <c r="CT97" i="16" s="1"/>
  <c r="CT103" i="16" a="1"/>
  <c r="CT103" i="16" s="1"/>
  <c r="CT98" i="16" a="1"/>
  <c r="CT98" i="16" s="1"/>
  <c r="CT99" i="16" a="1"/>
  <c r="CT99" i="16" s="1"/>
  <c r="AW4" i="16" a="1"/>
  <c r="AW4" i="16" s="1"/>
  <c r="AW7" i="16" a="1"/>
  <c r="AW7" i="16" s="1"/>
  <c r="AW6" i="16" a="1"/>
  <c r="AW6" i="16" s="1"/>
  <c r="AW14" i="16" a="1"/>
  <c r="AW14" i="16" s="1"/>
  <c r="AW17" i="16" a="1"/>
  <c r="AW17" i="16" s="1"/>
  <c r="AW28" i="16" a="1"/>
  <c r="AW28" i="16" s="1"/>
  <c r="AW8" i="16" a="1"/>
  <c r="AW8" i="16" s="1"/>
  <c r="AW16" i="16" a="1"/>
  <c r="AW16" i="16" s="1"/>
  <c r="AW9" i="16" a="1"/>
  <c r="AW9" i="16" s="1"/>
  <c r="AW18" i="16" a="1"/>
  <c r="AW18" i="16" s="1"/>
  <c r="AW11" i="16" a="1"/>
  <c r="AW11" i="16" s="1"/>
  <c r="AW22" i="16" a="1"/>
  <c r="AW22" i="16" s="1"/>
  <c r="AW23" i="16" a="1"/>
  <c r="AW23" i="16" s="1"/>
  <c r="AW32" i="16" a="1"/>
  <c r="AW32" i="16" s="1"/>
  <c r="AW13" i="16" a="1"/>
  <c r="AW13" i="16" s="1"/>
  <c r="AW33" i="16" a="1"/>
  <c r="AW33" i="16" s="1"/>
  <c r="AW31" i="16" a="1"/>
  <c r="AW31" i="16" s="1"/>
  <c r="AW12" i="16" a="1"/>
  <c r="AW12" i="16" s="1"/>
  <c r="AW37" i="16" a="1"/>
  <c r="AW37" i="16" s="1"/>
  <c r="AW35" i="16" a="1"/>
  <c r="AW35" i="16" s="1"/>
  <c r="AW36" i="16" a="1"/>
  <c r="AW36" i="16" s="1"/>
  <c r="AW34" i="16" a="1"/>
  <c r="AW34" i="16" s="1"/>
  <c r="AW29" i="16" a="1"/>
  <c r="AW29" i="16" s="1"/>
  <c r="AW39" i="16" a="1"/>
  <c r="AW39" i="16" s="1"/>
  <c r="AW26" i="16" a="1"/>
  <c r="AW26" i="16" s="1"/>
  <c r="AW27" i="16" a="1"/>
  <c r="AW27" i="16" s="1"/>
  <c r="AW44" i="16" a="1"/>
  <c r="AW44" i="16" s="1"/>
  <c r="AW43" i="16" a="1"/>
  <c r="AW43" i="16" s="1"/>
  <c r="AW48" i="16" a="1"/>
  <c r="AW48" i="16" s="1"/>
  <c r="AW20" i="16" a="1"/>
  <c r="AW20" i="16" s="1"/>
  <c r="AW25" i="16" a="1"/>
  <c r="AW25" i="16" s="1"/>
  <c r="AW30" i="16" a="1"/>
  <c r="AW30" i="16" s="1"/>
  <c r="AW45" i="16" a="1"/>
  <c r="AW45" i="16" s="1"/>
  <c r="AW19" i="16" a="1"/>
  <c r="AW19" i="16" s="1"/>
  <c r="AW42" i="16" a="1"/>
  <c r="AW42" i="16" s="1"/>
  <c r="AW50" i="16" a="1"/>
  <c r="AW50" i="16" s="1"/>
  <c r="AW52" i="16" a="1"/>
  <c r="AW52" i="16" s="1"/>
  <c r="AW24" i="16" a="1"/>
  <c r="AW24" i="16" s="1"/>
  <c r="AW38" i="16" a="1"/>
  <c r="AW38" i="16" s="1"/>
  <c r="AW46" i="16" a="1"/>
  <c r="AW46" i="16" s="1"/>
  <c r="AW40" i="16" a="1"/>
  <c r="AW40" i="16" s="1"/>
  <c r="AW41" i="16" a="1"/>
  <c r="AW41" i="16" s="1"/>
  <c r="AW47" i="16" a="1"/>
  <c r="AW47" i="16" s="1"/>
  <c r="AW49" i="16" a="1"/>
  <c r="AW49" i="16" s="1"/>
  <c r="AW51" i="16" a="1"/>
  <c r="AW51" i="16" s="1"/>
  <c r="AW63" i="16" a="1"/>
  <c r="AW63" i="16" s="1"/>
  <c r="AW65" i="16" a="1"/>
  <c r="AW65" i="16" s="1"/>
  <c r="AW10" i="16" a="1"/>
  <c r="AW10" i="16" s="1"/>
  <c r="AW56" i="16" a="1"/>
  <c r="AW56" i="16" s="1"/>
  <c r="AW85" i="16" a="1"/>
  <c r="AW85" i="16" s="1"/>
  <c r="AW72" i="16" a="1"/>
  <c r="AW72" i="16" s="1"/>
  <c r="AW73" i="16" a="1"/>
  <c r="AW73" i="16" s="1"/>
  <c r="AW71" i="16" a="1"/>
  <c r="AW71" i="16" s="1"/>
  <c r="AW74" i="16" a="1"/>
  <c r="AW74" i="16" s="1"/>
  <c r="AW57" i="16" a="1"/>
  <c r="AW57" i="16" s="1"/>
  <c r="AW59" i="16" a="1"/>
  <c r="AW59" i="16" s="1"/>
  <c r="AW64" i="16" a="1"/>
  <c r="AW64" i="16" s="1"/>
  <c r="AW75" i="16" a="1"/>
  <c r="AW75" i="16" s="1"/>
  <c r="AW53" i="16" a="1"/>
  <c r="AW53" i="16" s="1"/>
  <c r="AW62" i="16" a="1"/>
  <c r="AW62" i="16" s="1"/>
  <c r="AW54" i="16" a="1"/>
  <c r="AW54" i="16" s="1"/>
  <c r="AW78" i="16" a="1"/>
  <c r="AW78" i="16" s="1"/>
  <c r="AW55" i="16" a="1"/>
  <c r="AW55" i="16" s="1"/>
  <c r="AW58" i="16" a="1"/>
  <c r="AW58" i="16" s="1"/>
  <c r="AW66" i="16" a="1"/>
  <c r="AW66" i="16" s="1"/>
  <c r="AW67" i="16" a="1"/>
  <c r="AW67" i="16" s="1"/>
  <c r="AW83" i="16" a="1"/>
  <c r="AW83" i="16" s="1"/>
  <c r="AW84" i="16" a="1"/>
  <c r="AW84" i="16" s="1"/>
  <c r="AW15" i="16" a="1"/>
  <c r="AW15" i="16" s="1"/>
  <c r="AW90" i="16" a="1"/>
  <c r="AW90" i="16" s="1"/>
  <c r="AW91" i="16" a="1"/>
  <c r="AW91" i="16" s="1"/>
  <c r="AW69" i="16" a="1"/>
  <c r="AW69" i="16" s="1"/>
  <c r="AW92" i="16" a="1"/>
  <c r="AW92" i="16" s="1"/>
  <c r="AW70" i="16" a="1"/>
  <c r="AW70" i="16" s="1"/>
  <c r="AW82" i="16" a="1"/>
  <c r="AW82" i="16" s="1"/>
  <c r="AW95" i="16" a="1"/>
  <c r="AW95" i="16" s="1"/>
  <c r="AW68" i="16" a="1"/>
  <c r="AW68" i="16" s="1"/>
  <c r="AW21" i="16" a="1"/>
  <c r="AW21" i="16" s="1"/>
  <c r="AW77" i="16" a="1"/>
  <c r="AW77" i="16" s="1"/>
  <c r="AW101" i="16" a="1"/>
  <c r="AW101" i="16" s="1"/>
  <c r="AW76" i="16" a="1"/>
  <c r="AW76" i="16" s="1"/>
  <c r="AW60" i="16" a="1"/>
  <c r="AW60" i="16" s="1"/>
  <c r="AW79" i="16" a="1"/>
  <c r="AW79" i="16" s="1"/>
  <c r="AW80" i="16" a="1"/>
  <c r="AW80" i="16" s="1"/>
  <c r="AW61" i="16" a="1"/>
  <c r="AW61" i="16" s="1"/>
  <c r="AW100" i="16" a="1"/>
  <c r="AW100" i="16" s="1"/>
  <c r="AW89" i="16" a="1"/>
  <c r="AW89" i="16" s="1"/>
  <c r="AW86" i="16" a="1"/>
  <c r="AW86" i="16" s="1"/>
  <c r="AW87" i="16" a="1"/>
  <c r="AW87" i="16" s="1"/>
  <c r="AW88" i="16" a="1"/>
  <c r="AW88" i="16" s="1"/>
  <c r="AW93" i="16" a="1"/>
  <c r="AW93" i="16" s="1"/>
  <c r="AW81" i="16" a="1"/>
  <c r="AW81" i="16" s="1"/>
  <c r="AW102" i="16" a="1"/>
  <c r="AW102" i="16" s="1"/>
  <c r="AW94" i="16" a="1"/>
  <c r="AW94" i="16" s="1"/>
  <c r="AW96" i="16" a="1"/>
  <c r="AW96" i="16" s="1"/>
  <c r="AW97" i="16" a="1"/>
  <c r="AW97" i="16" s="1"/>
  <c r="AW103" i="16" a="1"/>
  <c r="AW103" i="16" s="1"/>
  <c r="AW98" i="16" a="1"/>
  <c r="AW98" i="16" s="1"/>
  <c r="AW99" i="16" a="1"/>
  <c r="AW99" i="16" s="1"/>
  <c r="AQ4" i="16" a="1"/>
  <c r="AQ4" i="16" s="1"/>
  <c r="AQ7" i="16" a="1"/>
  <c r="AQ7" i="16" s="1"/>
  <c r="AQ6" i="16" a="1"/>
  <c r="AQ6" i="16" s="1"/>
  <c r="AQ14" i="16" a="1"/>
  <c r="AQ14" i="16" s="1"/>
  <c r="AQ17" i="16" a="1"/>
  <c r="AQ17" i="16" s="1"/>
  <c r="AQ28" i="16" a="1"/>
  <c r="AQ28" i="16" s="1"/>
  <c r="AQ8" i="16" a="1"/>
  <c r="AQ8" i="16" s="1"/>
  <c r="AQ16" i="16" a="1"/>
  <c r="AQ16" i="16" s="1"/>
  <c r="AQ9" i="16" a="1"/>
  <c r="AQ9" i="16" s="1"/>
  <c r="AQ18" i="16" a="1"/>
  <c r="AQ18" i="16" s="1"/>
  <c r="AQ11" i="16" a="1"/>
  <c r="AQ11" i="16" s="1"/>
  <c r="AQ22" i="16" a="1"/>
  <c r="AQ22" i="16" s="1"/>
  <c r="AQ23" i="16" a="1"/>
  <c r="AQ23" i="16" s="1"/>
  <c r="AQ32" i="16" a="1"/>
  <c r="AQ32" i="16" s="1"/>
  <c r="AQ13" i="16" a="1"/>
  <c r="AQ13" i="16" s="1"/>
  <c r="AQ33" i="16" a="1"/>
  <c r="AQ33" i="16" s="1"/>
  <c r="AQ31" i="16" a="1"/>
  <c r="AQ31" i="16" s="1"/>
  <c r="AQ12" i="16" a="1"/>
  <c r="AQ12" i="16" s="1"/>
  <c r="AQ37" i="16" a="1"/>
  <c r="AQ37" i="16" s="1"/>
  <c r="AQ35" i="16" a="1"/>
  <c r="AQ35" i="16" s="1"/>
  <c r="AQ36" i="16" a="1"/>
  <c r="AQ36" i="16" s="1"/>
  <c r="AQ34" i="16" a="1"/>
  <c r="AQ34" i="16" s="1"/>
  <c r="AQ29" i="16" a="1"/>
  <c r="AQ29" i="16" s="1"/>
  <c r="AQ39" i="16" a="1"/>
  <c r="AQ39" i="16" s="1"/>
  <c r="AQ26" i="16" a="1"/>
  <c r="AQ26" i="16" s="1"/>
  <c r="AQ27" i="16" a="1"/>
  <c r="AQ27" i="16" s="1"/>
  <c r="AQ44" i="16" a="1"/>
  <c r="AQ44" i="16" s="1"/>
  <c r="AQ43" i="16" a="1"/>
  <c r="AQ43" i="16" s="1"/>
  <c r="AQ48" i="16" a="1"/>
  <c r="AQ48" i="16" s="1"/>
  <c r="AQ20" i="16" a="1"/>
  <c r="AQ20" i="16" s="1"/>
  <c r="AQ25" i="16" a="1"/>
  <c r="AQ25" i="16" s="1"/>
  <c r="AQ30" i="16" a="1"/>
  <c r="AQ30" i="16" s="1"/>
  <c r="AQ45" i="16" a="1"/>
  <c r="AQ45" i="16" s="1"/>
  <c r="AQ19" i="16" a="1"/>
  <c r="AQ19" i="16" s="1"/>
  <c r="AQ42" i="16" a="1"/>
  <c r="AQ42" i="16" s="1"/>
  <c r="AQ50" i="16" a="1"/>
  <c r="AQ50" i="16" s="1"/>
  <c r="AQ52" i="16" a="1"/>
  <c r="AQ52" i="16" s="1"/>
  <c r="AQ24" i="16" a="1"/>
  <c r="AQ24" i="16" s="1"/>
  <c r="AQ38" i="16" a="1"/>
  <c r="AQ38" i="16" s="1"/>
  <c r="AQ46" i="16" a="1"/>
  <c r="AQ46" i="16" s="1"/>
  <c r="AQ40" i="16" a="1"/>
  <c r="AQ40" i="16" s="1"/>
  <c r="AQ41" i="16" a="1"/>
  <c r="AQ41" i="16" s="1"/>
  <c r="AQ47" i="16" a="1"/>
  <c r="AQ47" i="16" s="1"/>
  <c r="AQ49" i="16" a="1"/>
  <c r="AQ49" i="16" s="1"/>
  <c r="AQ51" i="16" a="1"/>
  <c r="AQ51" i="16" s="1"/>
  <c r="AQ63" i="16" a="1"/>
  <c r="AQ63" i="16" s="1"/>
  <c r="AQ65" i="16" a="1"/>
  <c r="AQ65" i="16" s="1"/>
  <c r="AQ10" i="16" a="1"/>
  <c r="AQ10" i="16" s="1"/>
  <c r="AQ56" i="16" a="1"/>
  <c r="AQ56" i="16" s="1"/>
  <c r="AQ85" i="16" a="1"/>
  <c r="AQ85" i="16" s="1"/>
  <c r="AQ72" i="16" a="1"/>
  <c r="AQ72" i="16" s="1"/>
  <c r="AQ73" i="16" a="1"/>
  <c r="AQ73" i="16" s="1"/>
  <c r="AQ71" i="16" a="1"/>
  <c r="AQ71" i="16" s="1"/>
  <c r="AQ74" i="16" a="1"/>
  <c r="AQ74" i="16" s="1"/>
  <c r="AQ57" i="16" a="1"/>
  <c r="AQ57" i="16" s="1"/>
  <c r="AQ59" i="16" a="1"/>
  <c r="AQ59" i="16" s="1"/>
  <c r="AQ64" i="16" a="1"/>
  <c r="AQ64" i="16" s="1"/>
  <c r="AQ75" i="16" a="1"/>
  <c r="AQ75" i="16" s="1"/>
  <c r="AQ53" i="16" a="1"/>
  <c r="AQ53" i="16" s="1"/>
  <c r="AQ62" i="16" a="1"/>
  <c r="AQ62" i="16" s="1"/>
  <c r="AQ54" i="16" a="1"/>
  <c r="AQ54" i="16" s="1"/>
  <c r="AQ78" i="16" a="1"/>
  <c r="AQ78" i="16" s="1"/>
  <c r="AQ55" i="16" a="1"/>
  <c r="AQ55" i="16" s="1"/>
  <c r="AQ58" i="16" a="1"/>
  <c r="AQ58" i="16" s="1"/>
  <c r="AQ66" i="16" a="1"/>
  <c r="AQ66" i="16" s="1"/>
  <c r="AQ67" i="16" a="1"/>
  <c r="AQ67" i="16" s="1"/>
  <c r="AQ83" i="16" a="1"/>
  <c r="AQ83" i="16" s="1"/>
  <c r="AQ84" i="16" a="1"/>
  <c r="AQ84" i="16" s="1"/>
  <c r="AQ15" i="16" a="1"/>
  <c r="AQ15" i="16" s="1"/>
  <c r="AQ90" i="16" a="1"/>
  <c r="AQ90" i="16" s="1"/>
  <c r="AQ91" i="16" a="1"/>
  <c r="AQ91" i="16" s="1"/>
  <c r="AQ69" i="16" a="1"/>
  <c r="AQ69" i="16" s="1"/>
  <c r="AQ92" i="16" a="1"/>
  <c r="AQ92" i="16" s="1"/>
  <c r="AQ70" i="16" a="1"/>
  <c r="AQ70" i="16" s="1"/>
  <c r="AQ82" i="16" a="1"/>
  <c r="AQ82" i="16" s="1"/>
  <c r="AQ95" i="16" a="1"/>
  <c r="AQ95" i="16" s="1"/>
  <c r="AQ68" i="16" a="1"/>
  <c r="AQ68" i="16" s="1"/>
  <c r="AQ21" i="16" a="1"/>
  <c r="AQ21" i="16" s="1"/>
  <c r="AQ77" i="16" a="1"/>
  <c r="AQ77" i="16" s="1"/>
  <c r="AQ101" i="16" a="1"/>
  <c r="AQ101" i="16" s="1"/>
  <c r="AQ76" i="16" a="1"/>
  <c r="AQ76" i="16" s="1"/>
  <c r="AQ60" i="16" a="1"/>
  <c r="AQ60" i="16" s="1"/>
  <c r="AQ79" i="16" a="1"/>
  <c r="AQ79" i="16" s="1"/>
  <c r="AQ80" i="16" a="1"/>
  <c r="AQ80" i="16" s="1"/>
  <c r="AQ61" i="16" a="1"/>
  <c r="AQ61" i="16" s="1"/>
  <c r="AQ100" i="16" a="1"/>
  <c r="AQ100" i="16" s="1"/>
  <c r="AQ89" i="16" a="1"/>
  <c r="AQ89" i="16" s="1"/>
  <c r="AQ86" i="16" a="1"/>
  <c r="AQ86" i="16" s="1"/>
  <c r="AQ87" i="16" a="1"/>
  <c r="AQ87" i="16" s="1"/>
  <c r="AQ88" i="16" a="1"/>
  <c r="AQ88" i="16" s="1"/>
  <c r="AQ93" i="16" a="1"/>
  <c r="AQ93" i="16" s="1"/>
  <c r="AQ81" i="16" a="1"/>
  <c r="AQ81" i="16" s="1"/>
  <c r="AQ102" i="16" a="1"/>
  <c r="AQ102" i="16" s="1"/>
  <c r="AQ94" i="16" a="1"/>
  <c r="AQ94" i="16" s="1"/>
  <c r="AQ96" i="16" a="1"/>
  <c r="AQ96" i="16" s="1"/>
  <c r="AQ97" i="16" a="1"/>
  <c r="AQ97" i="16" s="1"/>
  <c r="AQ103" i="16" a="1"/>
  <c r="AQ103" i="16" s="1"/>
  <c r="AQ98" i="16" a="1"/>
  <c r="AQ98" i="16" s="1"/>
  <c r="AQ99" i="16" a="1"/>
  <c r="AQ99" i="16" s="1"/>
  <c r="I50" i="17" l="1"/>
  <c r="I19" i="17"/>
  <c r="J27" i="17"/>
  <c r="J42" i="17"/>
  <c r="I24" i="17"/>
  <c r="I15" i="17"/>
  <c r="J53" i="17"/>
  <c r="J41" i="17"/>
  <c r="J52" i="17"/>
  <c r="J48" i="17"/>
  <c r="J39" i="17"/>
  <c r="I31" i="17"/>
  <c r="I33" i="17"/>
  <c r="J46" i="17"/>
  <c r="J44" i="17"/>
  <c r="J36" i="17"/>
  <c r="I34" i="17"/>
  <c r="I17" i="17"/>
  <c r="J35" i="17"/>
  <c r="J13" i="17"/>
  <c r="J37" i="17"/>
  <c r="I56" i="17"/>
  <c r="I47" i="17"/>
  <c r="I9" i="17"/>
  <c r="J43" i="17"/>
  <c r="J30" i="17"/>
  <c r="J26" i="17"/>
  <c r="I45" i="17"/>
  <c r="I21" i="17"/>
  <c r="J23" i="17"/>
  <c r="J32" i="17"/>
  <c r="I54" i="17"/>
  <c r="I29" i="17"/>
  <c r="J28" i="17"/>
  <c r="J14" i="17"/>
  <c r="J12" i="17"/>
  <c r="I18" i="17"/>
  <c r="I40" i="17"/>
  <c r="I38" i="17"/>
  <c r="J45" i="17"/>
  <c r="J24" i="17"/>
  <c r="J34" i="17"/>
  <c r="J29" i="17"/>
  <c r="J19" i="17"/>
  <c r="J9" i="17"/>
  <c r="I52" i="17"/>
  <c r="I23" i="17"/>
  <c r="I48" i="17"/>
  <c r="I39" i="17"/>
  <c r="I8" i="17"/>
  <c r="I55" i="17"/>
  <c r="I10" i="17"/>
  <c r="J54" i="17"/>
  <c r="J50" i="17"/>
  <c r="J47" i="17"/>
  <c r="J40" i="17"/>
  <c r="J33" i="17"/>
  <c r="I46" i="17"/>
  <c r="I28" i="17"/>
  <c r="I44" i="17"/>
  <c r="I14" i="17"/>
  <c r="I36" i="17"/>
  <c r="J11" i="17"/>
  <c r="I51" i="17"/>
  <c r="I25" i="17"/>
  <c r="J56" i="17"/>
  <c r="J18" i="17"/>
  <c r="J31" i="17"/>
  <c r="J21" i="17"/>
  <c r="J15" i="17"/>
  <c r="J17" i="17"/>
  <c r="I35" i="17"/>
  <c r="I27" i="17"/>
  <c r="I13" i="17"/>
  <c r="I42" i="17"/>
  <c r="I37" i="17"/>
  <c r="I20" i="17"/>
  <c r="J20" i="17"/>
  <c r="I49" i="17"/>
  <c r="J51" i="17"/>
  <c r="J55" i="17"/>
  <c r="J49" i="17"/>
  <c r="J25" i="17"/>
  <c r="J38" i="17"/>
  <c r="I11" i="17"/>
  <c r="D15" i="17"/>
  <c r="D37" i="17"/>
  <c r="E45" i="17"/>
  <c r="E24" i="17"/>
  <c r="D56" i="17"/>
  <c r="E34" i="17"/>
  <c r="D35" i="17"/>
  <c r="E29" i="17"/>
  <c r="D31" i="17"/>
  <c r="D13" i="17"/>
  <c r="D50" i="17"/>
  <c r="D40" i="17"/>
  <c r="E51" i="17"/>
  <c r="E49" i="17"/>
  <c r="E38" i="17"/>
  <c r="D51" i="17"/>
  <c r="D49" i="17"/>
  <c r="D38" i="17"/>
  <c r="E52" i="17"/>
  <c r="E48" i="17"/>
  <c r="E39" i="17"/>
  <c r="D54" i="17"/>
  <c r="D47" i="17"/>
  <c r="D33" i="17"/>
  <c r="E18" i="17"/>
  <c r="E21" i="17"/>
  <c r="E17" i="17"/>
  <c r="D17" i="17"/>
  <c r="E55" i="17"/>
  <c r="E25" i="17"/>
  <c r="E20" i="17"/>
  <c r="D55" i="17"/>
  <c r="D25" i="17"/>
  <c r="D20" i="17"/>
  <c r="E23" i="17"/>
  <c r="E32" i="17"/>
  <c r="E11" i="17"/>
  <c r="D27" i="17"/>
  <c r="D42" i="17"/>
  <c r="D8" i="17"/>
  <c r="E43" i="17"/>
  <c r="E53" i="17"/>
  <c r="E30" i="17"/>
  <c r="E41" i="17"/>
  <c r="E26" i="17"/>
  <c r="E12" i="17"/>
  <c r="D43" i="17"/>
  <c r="D53" i="17"/>
  <c r="D30" i="17"/>
  <c r="D41" i="17"/>
  <c r="D26" i="17"/>
  <c r="D12" i="17"/>
  <c r="D45" i="17"/>
  <c r="D24" i="17"/>
  <c r="D34" i="17"/>
  <c r="D29" i="17"/>
  <c r="D19" i="17"/>
  <c r="D9" i="17"/>
  <c r="E54" i="17"/>
  <c r="E50" i="17"/>
  <c r="E47" i="17"/>
  <c r="E40" i="17"/>
  <c r="E33" i="17"/>
  <c r="D52" i="17"/>
  <c r="D23" i="17"/>
  <c r="D48" i="17"/>
  <c r="D32" i="17"/>
  <c r="D39" i="17"/>
  <c r="D11" i="17"/>
  <c r="E46" i="17"/>
  <c r="E28" i="17"/>
  <c r="E44" i="17"/>
  <c r="E14" i="17"/>
  <c r="E36" i="17"/>
  <c r="E10" i="17"/>
  <c r="BP4" i="16" a="1"/>
  <c r="BP4" i="16" s="1"/>
  <c r="BP6" i="16" a="1"/>
  <c r="BP6" i="16" s="1"/>
  <c r="BP7" i="16" a="1"/>
  <c r="BP7" i="16" s="1"/>
  <c r="BP14" i="16" a="1"/>
  <c r="BP14" i="16" s="1"/>
  <c r="BP8" i="16" a="1"/>
  <c r="BP8" i="16" s="1"/>
  <c r="BP16" i="16" a="1"/>
  <c r="BP16" i="16" s="1"/>
  <c r="BP18" i="16" a="1"/>
  <c r="BP18" i="16" s="1"/>
  <c r="BP17" i="16" a="1"/>
  <c r="BP17" i="16" s="1"/>
  <c r="BP11" i="16" a="1"/>
  <c r="BP11" i="16" s="1"/>
  <c r="BP22" i="16" a="1"/>
  <c r="BP22" i="16" s="1"/>
  <c r="BP23" i="16" a="1"/>
  <c r="BP23" i="16" s="1"/>
  <c r="BP28" i="16" a="1"/>
  <c r="BP28" i="16" s="1"/>
  <c r="BP9" i="16" a="1"/>
  <c r="BP9" i="16" s="1"/>
  <c r="BP13" i="16" a="1"/>
  <c r="BP13" i="16" s="1"/>
  <c r="BP20" i="16" a="1"/>
  <c r="BP20" i="16" s="1"/>
  <c r="BP32" i="16" a="1"/>
  <c r="BP32" i="16" s="1"/>
  <c r="BP33" i="16" a="1"/>
  <c r="BP33" i="16" s="1"/>
  <c r="BP31" i="16" a="1"/>
  <c r="BP31" i="16" s="1"/>
  <c r="BP12" i="16" a="1"/>
  <c r="BP12" i="16" s="1"/>
  <c r="BP39" i="16" a="1"/>
  <c r="BP39" i="16" s="1"/>
  <c r="BP35" i="16" a="1"/>
  <c r="BP35" i="16" s="1"/>
  <c r="BP36" i="16" a="1"/>
  <c r="BP36" i="16" s="1"/>
  <c r="BP34" i="16" a="1"/>
  <c r="BP34" i="16" s="1"/>
  <c r="BP25" i="16" a="1"/>
  <c r="BP25" i="16" s="1"/>
  <c r="BP26" i="16" a="1"/>
  <c r="BP26" i="16" s="1"/>
  <c r="BP43" i="16" a="1"/>
  <c r="BP43" i="16" s="1"/>
  <c r="BP37" i="16" a="1"/>
  <c r="BP37" i="16" s="1"/>
  <c r="BP27" i="16" a="1"/>
  <c r="BP27" i="16" s="1"/>
  <c r="BP24" i="16" a="1"/>
  <c r="BP24" i="16" s="1"/>
  <c r="BP29" i="16" a="1"/>
  <c r="BP29" i="16" s="1"/>
  <c r="BP44" i="16" a="1"/>
  <c r="BP44" i="16" s="1"/>
  <c r="BP45" i="16" a="1"/>
  <c r="BP45" i="16" s="1"/>
  <c r="BP42" i="16" a="1"/>
  <c r="BP42" i="16" s="1"/>
  <c r="BP48" i="16" a="1"/>
  <c r="BP48" i="16" s="1"/>
  <c r="BP52" i="16" a="1"/>
  <c r="BP52" i="16" s="1"/>
  <c r="BP19" i="16" a="1"/>
  <c r="BP19" i="16" s="1"/>
  <c r="BP50" i="16" a="1"/>
  <c r="BP50" i="16" s="1"/>
  <c r="BP38" i="16" a="1"/>
  <c r="BP38" i="16" s="1"/>
  <c r="BP47" i="16" a="1"/>
  <c r="BP47" i="16" s="1"/>
  <c r="BP30" i="16" a="1"/>
  <c r="BP30" i="16" s="1"/>
  <c r="BP46" i="16" a="1"/>
  <c r="BP46" i="16" s="1"/>
  <c r="BP40" i="16" a="1"/>
  <c r="BP40" i="16" s="1"/>
  <c r="BP41" i="16" a="1"/>
  <c r="BP41" i="16" s="1"/>
  <c r="BP49" i="16" a="1"/>
  <c r="BP49" i="16" s="1"/>
  <c r="BP51" i="16" a="1"/>
  <c r="BP51" i="16" s="1"/>
  <c r="BP63" i="16" a="1"/>
  <c r="BP63" i="16" s="1"/>
  <c r="BP65" i="16" a="1"/>
  <c r="BP65" i="16" s="1"/>
  <c r="BP10" i="16" a="1"/>
  <c r="BP10" i="16" s="1"/>
  <c r="BP56" i="16" a="1"/>
  <c r="BP56" i="16" s="1"/>
  <c r="BP85" i="16" a="1"/>
  <c r="BP85" i="16" s="1"/>
  <c r="BP72" i="16" a="1"/>
  <c r="BP72" i="16" s="1"/>
  <c r="BP73" i="16" a="1"/>
  <c r="BP73" i="16" s="1"/>
  <c r="BP71" i="16" a="1"/>
  <c r="BP71" i="16" s="1"/>
  <c r="BP74" i="16" a="1"/>
  <c r="BP74" i="16" s="1"/>
  <c r="BP57" i="16" a="1"/>
  <c r="BP57" i="16" s="1"/>
  <c r="BP59" i="16" a="1"/>
  <c r="BP59" i="16" s="1"/>
  <c r="BP64" i="16" a="1"/>
  <c r="BP64" i="16" s="1"/>
  <c r="BP75" i="16" a="1"/>
  <c r="BP75" i="16" s="1"/>
  <c r="BP53" i="16" a="1"/>
  <c r="BP53" i="16" s="1"/>
  <c r="BP62" i="16" a="1"/>
  <c r="BP62" i="16" s="1"/>
  <c r="BP54" i="16" a="1"/>
  <c r="BP54" i="16" s="1"/>
  <c r="BP78" i="16" a="1"/>
  <c r="BP78" i="16" s="1"/>
  <c r="BP55" i="16" a="1"/>
  <c r="BP55" i="16" s="1"/>
  <c r="BP58" i="16" a="1"/>
  <c r="BP58" i="16" s="1"/>
  <c r="BP66" i="16" a="1"/>
  <c r="BP66" i="16" s="1"/>
  <c r="BP83" i="16" a="1"/>
  <c r="BP83" i="16" s="1"/>
  <c r="BP84" i="16" a="1"/>
  <c r="BP84" i="16" s="1"/>
  <c r="BP67" i="16" a="1"/>
  <c r="BP67" i="16" s="1"/>
  <c r="BP15" i="16" a="1"/>
  <c r="BP15" i="16" s="1"/>
  <c r="BP90" i="16" a="1"/>
  <c r="BP90" i="16" s="1"/>
  <c r="BP91" i="16" a="1"/>
  <c r="BP91" i="16" s="1"/>
  <c r="BP92" i="16" a="1"/>
  <c r="BP92" i="16" s="1"/>
  <c r="BP69" i="16" a="1"/>
  <c r="BP69" i="16" s="1"/>
  <c r="BP70" i="16" a="1"/>
  <c r="BP70" i="16" s="1"/>
  <c r="BP82" i="16" a="1"/>
  <c r="BP82" i="16" s="1"/>
  <c r="BP95" i="16" a="1"/>
  <c r="BP95" i="16" s="1"/>
  <c r="BP68" i="16" a="1"/>
  <c r="BP68" i="16" s="1"/>
  <c r="BP21" i="16" a="1"/>
  <c r="BP21" i="16" s="1"/>
  <c r="BP77" i="16" a="1"/>
  <c r="BP77" i="16" s="1"/>
  <c r="BP101" i="16" a="1"/>
  <c r="BP101" i="16" s="1"/>
  <c r="BP76" i="16" a="1"/>
  <c r="BP76" i="16" s="1"/>
  <c r="BP60" i="16" a="1"/>
  <c r="BP60" i="16" s="1"/>
  <c r="BP79" i="16" a="1"/>
  <c r="BP79" i="16" s="1"/>
  <c r="BP80" i="16" a="1"/>
  <c r="BP80" i="16" s="1"/>
  <c r="BP61" i="16" a="1"/>
  <c r="BP61" i="16" s="1"/>
  <c r="BP100" i="16" a="1"/>
  <c r="BP100" i="16" s="1"/>
  <c r="BP89" i="16" a="1"/>
  <c r="BP89" i="16" s="1"/>
  <c r="BP86" i="16" a="1"/>
  <c r="BP86" i="16" s="1"/>
  <c r="BP87" i="16" a="1"/>
  <c r="BP87" i="16" s="1"/>
  <c r="BP88" i="16" a="1"/>
  <c r="BP88" i="16" s="1"/>
  <c r="BP93" i="16" a="1"/>
  <c r="BP93" i="16" s="1"/>
  <c r="BP81" i="16" a="1"/>
  <c r="BP81" i="16" s="1"/>
  <c r="BP102" i="16" a="1"/>
  <c r="BP102" i="16" s="1"/>
  <c r="BP94" i="16" a="1"/>
  <c r="BP94" i="16" s="1"/>
  <c r="BP96" i="16" a="1"/>
  <c r="BP96" i="16" s="1"/>
  <c r="BP103" i="16" a="1"/>
  <c r="BP103" i="16" s="1"/>
  <c r="BP97" i="16" a="1"/>
  <c r="BP97" i="16" s="1"/>
  <c r="BP98" i="16" a="1"/>
  <c r="BP98" i="16" s="1"/>
  <c r="BP99" i="16" a="1"/>
  <c r="BP99" i="16" s="1"/>
  <c r="BM4" i="16" a="1"/>
  <c r="BM4" i="16" s="1"/>
  <c r="BM6" i="16" a="1"/>
  <c r="BM6" i="16" s="1"/>
  <c r="BM7" i="16" a="1"/>
  <c r="BM7" i="16" s="1"/>
  <c r="BM14" i="16" a="1"/>
  <c r="BM14" i="16" s="1"/>
  <c r="BM8" i="16" a="1"/>
  <c r="BM8" i="16" s="1"/>
  <c r="BM16" i="16" a="1"/>
  <c r="BM16" i="16" s="1"/>
  <c r="BM18" i="16" a="1"/>
  <c r="BM18" i="16" s="1"/>
  <c r="BM17" i="16" a="1"/>
  <c r="BM17" i="16" s="1"/>
  <c r="BM11" i="16" a="1"/>
  <c r="BM11" i="16" s="1"/>
  <c r="BM22" i="16" a="1"/>
  <c r="BM22" i="16" s="1"/>
  <c r="BM23" i="16" a="1"/>
  <c r="BM23" i="16" s="1"/>
  <c r="BM28" i="16" a="1"/>
  <c r="BM28" i="16" s="1"/>
  <c r="BM9" i="16" a="1"/>
  <c r="BM9" i="16" s="1"/>
  <c r="BM13" i="16" a="1"/>
  <c r="BM13" i="16" s="1"/>
  <c r="BM20" i="16" a="1"/>
  <c r="BM20" i="16" s="1"/>
  <c r="BM32" i="16" a="1"/>
  <c r="BM32" i="16" s="1"/>
  <c r="BM33" i="16" a="1"/>
  <c r="BM33" i="16" s="1"/>
  <c r="BM31" i="16" a="1"/>
  <c r="BM31" i="16" s="1"/>
  <c r="BM12" i="16" a="1"/>
  <c r="BM12" i="16" s="1"/>
  <c r="BM39" i="16" a="1"/>
  <c r="BM39" i="16" s="1"/>
  <c r="BM35" i="16" a="1"/>
  <c r="BM35" i="16" s="1"/>
  <c r="BM36" i="16" a="1"/>
  <c r="BM36" i="16" s="1"/>
  <c r="BM34" i="16" a="1"/>
  <c r="BM34" i="16" s="1"/>
  <c r="BM25" i="16" a="1"/>
  <c r="BM25" i="16" s="1"/>
  <c r="BM26" i="16" a="1"/>
  <c r="BM26" i="16" s="1"/>
  <c r="BM43" i="16" a="1"/>
  <c r="BM43" i="16" s="1"/>
  <c r="BM37" i="16" a="1"/>
  <c r="BM37" i="16" s="1"/>
  <c r="BM27" i="16" a="1"/>
  <c r="BM27" i="16" s="1"/>
  <c r="BM24" i="16" a="1"/>
  <c r="BM24" i="16" s="1"/>
  <c r="BM29" i="16" a="1"/>
  <c r="BM29" i="16" s="1"/>
  <c r="BM44" i="16" a="1"/>
  <c r="BM44" i="16" s="1"/>
  <c r="BM45" i="16" a="1"/>
  <c r="BM45" i="16" s="1"/>
  <c r="BM42" i="16" a="1"/>
  <c r="BM42" i="16" s="1"/>
  <c r="BM48" i="16" a="1"/>
  <c r="BM48" i="16" s="1"/>
  <c r="BM52" i="16" a="1"/>
  <c r="BM52" i="16" s="1"/>
  <c r="BM19" i="16" a="1"/>
  <c r="BM19" i="16" s="1"/>
  <c r="BM50" i="16" a="1"/>
  <c r="BM50" i="16" s="1"/>
  <c r="BM38" i="16" a="1"/>
  <c r="BM38" i="16" s="1"/>
  <c r="BM47" i="16" a="1"/>
  <c r="BM47" i="16" s="1"/>
  <c r="BM30" i="16" a="1"/>
  <c r="BM30" i="16" s="1"/>
  <c r="BM46" i="16" a="1"/>
  <c r="BM46" i="16" s="1"/>
  <c r="BM40" i="16" a="1"/>
  <c r="BM40" i="16" s="1"/>
  <c r="BM41" i="16" a="1"/>
  <c r="BM41" i="16" s="1"/>
  <c r="BM49" i="16" a="1"/>
  <c r="BM49" i="16" s="1"/>
  <c r="BM51" i="16" a="1"/>
  <c r="BM51" i="16" s="1"/>
  <c r="BM63" i="16" a="1"/>
  <c r="BM63" i="16" s="1"/>
  <c r="BM65" i="16" a="1"/>
  <c r="BM65" i="16" s="1"/>
  <c r="BM10" i="16" a="1"/>
  <c r="BM10" i="16" s="1"/>
  <c r="BM56" i="16" a="1"/>
  <c r="BM56" i="16" s="1"/>
  <c r="BM85" i="16" a="1"/>
  <c r="BM85" i="16" s="1"/>
  <c r="BM72" i="16" a="1"/>
  <c r="BM72" i="16" s="1"/>
  <c r="BM73" i="16" a="1"/>
  <c r="BM73" i="16" s="1"/>
  <c r="BM71" i="16" a="1"/>
  <c r="BM71" i="16" s="1"/>
  <c r="BM74" i="16" a="1"/>
  <c r="BM74" i="16" s="1"/>
  <c r="BM57" i="16" a="1"/>
  <c r="BM57" i="16" s="1"/>
  <c r="BM59" i="16" a="1"/>
  <c r="BM59" i="16" s="1"/>
  <c r="BM64" i="16" a="1"/>
  <c r="BM64" i="16" s="1"/>
  <c r="BM75" i="16" a="1"/>
  <c r="BM75" i="16" s="1"/>
  <c r="BM53" i="16" a="1"/>
  <c r="BM53" i="16" s="1"/>
  <c r="BM62" i="16" a="1"/>
  <c r="BM62" i="16" s="1"/>
  <c r="BM54" i="16" a="1"/>
  <c r="BM54" i="16" s="1"/>
  <c r="BM78" i="16" a="1"/>
  <c r="BM78" i="16" s="1"/>
  <c r="BM55" i="16" a="1"/>
  <c r="BM55" i="16" s="1"/>
  <c r="BM58" i="16" a="1"/>
  <c r="BM58" i="16" s="1"/>
  <c r="BM66" i="16" a="1"/>
  <c r="BM66" i="16" s="1"/>
  <c r="BM83" i="16" a="1"/>
  <c r="BM83" i="16" s="1"/>
  <c r="BM84" i="16" a="1"/>
  <c r="BM84" i="16" s="1"/>
  <c r="BM67" i="16" a="1"/>
  <c r="BM67" i="16" s="1"/>
  <c r="BM15" i="16" a="1"/>
  <c r="BM15" i="16" s="1"/>
  <c r="BM90" i="16" a="1"/>
  <c r="BM90" i="16" s="1"/>
  <c r="BM91" i="16" a="1"/>
  <c r="BM91" i="16" s="1"/>
  <c r="BM92" i="16" a="1"/>
  <c r="BM92" i="16" s="1"/>
  <c r="BM69" i="16" a="1"/>
  <c r="BM69" i="16" s="1"/>
  <c r="BM70" i="16" a="1"/>
  <c r="BM70" i="16" s="1"/>
  <c r="BM82" i="16" a="1"/>
  <c r="BM82" i="16" s="1"/>
  <c r="BM95" i="16" a="1"/>
  <c r="BM95" i="16" s="1"/>
  <c r="BM68" i="16" a="1"/>
  <c r="BM68" i="16" s="1"/>
  <c r="BM21" i="16" a="1"/>
  <c r="BM21" i="16" s="1"/>
  <c r="BM77" i="16" a="1"/>
  <c r="BM77" i="16" s="1"/>
  <c r="BM101" i="16" a="1"/>
  <c r="BM101" i="16" s="1"/>
  <c r="BM76" i="16" a="1"/>
  <c r="BM76" i="16" s="1"/>
  <c r="BM60" i="16" a="1"/>
  <c r="BM60" i="16" s="1"/>
  <c r="BM79" i="16" a="1"/>
  <c r="BM79" i="16" s="1"/>
  <c r="BM80" i="16" a="1"/>
  <c r="BM80" i="16" s="1"/>
  <c r="BM61" i="16" a="1"/>
  <c r="BM61" i="16" s="1"/>
  <c r="BM100" i="16" a="1"/>
  <c r="BM100" i="16" s="1"/>
  <c r="BM89" i="16" a="1"/>
  <c r="BM89" i="16" s="1"/>
  <c r="BM86" i="16" a="1"/>
  <c r="BM86" i="16" s="1"/>
  <c r="BM87" i="16" a="1"/>
  <c r="BM87" i="16" s="1"/>
  <c r="BM88" i="16" a="1"/>
  <c r="BM88" i="16" s="1"/>
  <c r="BM93" i="16" a="1"/>
  <c r="BM93" i="16" s="1"/>
  <c r="BM81" i="16" a="1"/>
  <c r="BM81" i="16" s="1"/>
  <c r="BM102" i="16" a="1"/>
  <c r="BM102" i="16" s="1"/>
  <c r="BM94" i="16" a="1"/>
  <c r="BM94" i="16" s="1"/>
  <c r="BM96" i="16" a="1"/>
  <c r="BM96" i="16" s="1"/>
  <c r="BM103" i="16" a="1"/>
  <c r="BM103" i="16" s="1"/>
  <c r="BM97" i="16" a="1"/>
  <c r="BM97" i="16" s="1"/>
  <c r="BM98" i="16" a="1"/>
  <c r="BM98" i="16" s="1"/>
  <c r="BM99" i="16" a="1"/>
  <c r="BM99" i="16" s="1"/>
  <c r="BJ4" i="16" a="1"/>
  <c r="BJ4" i="16" s="1"/>
  <c r="BJ6" i="16" a="1"/>
  <c r="BJ6" i="16" s="1"/>
  <c r="BJ7" i="16" a="1"/>
  <c r="BJ7" i="16" s="1"/>
  <c r="BJ14" i="16" a="1"/>
  <c r="BJ14" i="16" s="1"/>
  <c r="BJ8" i="16" a="1"/>
  <c r="BJ8" i="16" s="1"/>
  <c r="BJ16" i="16" a="1"/>
  <c r="BJ16" i="16" s="1"/>
  <c r="BJ18" i="16" a="1"/>
  <c r="BJ18" i="16" s="1"/>
  <c r="BJ17" i="16" a="1"/>
  <c r="BJ17" i="16" s="1"/>
  <c r="BJ11" i="16" a="1"/>
  <c r="BJ11" i="16" s="1"/>
  <c r="BJ22" i="16" a="1"/>
  <c r="BJ22" i="16" s="1"/>
  <c r="BJ23" i="16" a="1"/>
  <c r="BJ23" i="16" s="1"/>
  <c r="BJ28" i="16" a="1"/>
  <c r="BJ28" i="16" s="1"/>
  <c r="BJ9" i="16" a="1"/>
  <c r="BJ9" i="16" s="1"/>
  <c r="BJ13" i="16" a="1"/>
  <c r="BJ13" i="16" s="1"/>
  <c r="BJ20" i="16" a="1"/>
  <c r="BJ20" i="16" s="1"/>
  <c r="BJ32" i="16" a="1"/>
  <c r="BJ32" i="16" s="1"/>
  <c r="BJ33" i="16" a="1"/>
  <c r="BJ33" i="16" s="1"/>
  <c r="BJ31" i="16" a="1"/>
  <c r="BJ31" i="16" s="1"/>
  <c r="BJ12" i="16" a="1"/>
  <c r="BJ12" i="16" s="1"/>
  <c r="BJ39" i="16" a="1"/>
  <c r="BJ39" i="16" s="1"/>
  <c r="BJ35" i="16" a="1"/>
  <c r="BJ35" i="16" s="1"/>
  <c r="BJ36" i="16" a="1"/>
  <c r="BJ36" i="16" s="1"/>
  <c r="BJ34" i="16" a="1"/>
  <c r="BJ34" i="16" s="1"/>
  <c r="BJ25" i="16" a="1"/>
  <c r="BJ25" i="16" s="1"/>
  <c r="BJ26" i="16" a="1"/>
  <c r="BJ26" i="16" s="1"/>
  <c r="BJ43" i="16" a="1"/>
  <c r="BJ43" i="16" s="1"/>
  <c r="BJ37" i="16" a="1"/>
  <c r="BJ37" i="16" s="1"/>
  <c r="BJ27" i="16" a="1"/>
  <c r="BJ27" i="16" s="1"/>
  <c r="BJ24" i="16" a="1"/>
  <c r="BJ24" i="16" s="1"/>
  <c r="BJ29" i="16" a="1"/>
  <c r="BJ29" i="16" s="1"/>
  <c r="BJ44" i="16" a="1"/>
  <c r="BJ44" i="16" s="1"/>
  <c r="BJ45" i="16" a="1"/>
  <c r="BJ45" i="16" s="1"/>
  <c r="BJ42" i="16" a="1"/>
  <c r="BJ42" i="16" s="1"/>
  <c r="BJ48" i="16" a="1"/>
  <c r="BJ48" i="16" s="1"/>
  <c r="BJ52" i="16" a="1"/>
  <c r="BJ52" i="16" s="1"/>
  <c r="BJ19" i="16" a="1"/>
  <c r="BJ19" i="16" s="1"/>
  <c r="BJ50" i="16" a="1"/>
  <c r="BJ50" i="16" s="1"/>
  <c r="BJ38" i="16" a="1"/>
  <c r="BJ38" i="16" s="1"/>
  <c r="BJ47" i="16" a="1"/>
  <c r="BJ47" i="16" s="1"/>
  <c r="BJ30" i="16" a="1"/>
  <c r="BJ30" i="16" s="1"/>
  <c r="BJ46" i="16" a="1"/>
  <c r="BJ46" i="16" s="1"/>
  <c r="BJ40" i="16" a="1"/>
  <c r="BJ40" i="16" s="1"/>
  <c r="BJ41" i="16" a="1"/>
  <c r="BJ41" i="16" s="1"/>
  <c r="BJ49" i="16" a="1"/>
  <c r="BJ49" i="16" s="1"/>
  <c r="BJ51" i="16" a="1"/>
  <c r="BJ51" i="16" s="1"/>
  <c r="BJ63" i="16" a="1"/>
  <c r="BJ63" i="16" s="1"/>
  <c r="BJ65" i="16" a="1"/>
  <c r="BJ65" i="16" s="1"/>
  <c r="BJ10" i="16" a="1"/>
  <c r="BJ10" i="16" s="1"/>
  <c r="BJ56" i="16" a="1"/>
  <c r="BJ56" i="16" s="1"/>
  <c r="BJ85" i="16" a="1"/>
  <c r="BJ85" i="16" s="1"/>
  <c r="BJ72" i="16" a="1"/>
  <c r="BJ72" i="16" s="1"/>
  <c r="BJ73" i="16" a="1"/>
  <c r="BJ73" i="16" s="1"/>
  <c r="BJ71" i="16" a="1"/>
  <c r="BJ71" i="16" s="1"/>
  <c r="BJ74" i="16" a="1"/>
  <c r="BJ74" i="16" s="1"/>
  <c r="BJ57" i="16" a="1"/>
  <c r="BJ57" i="16" s="1"/>
  <c r="BJ59" i="16" a="1"/>
  <c r="BJ59" i="16" s="1"/>
  <c r="BJ64" i="16" a="1"/>
  <c r="BJ64" i="16" s="1"/>
  <c r="BJ75" i="16" a="1"/>
  <c r="BJ75" i="16" s="1"/>
  <c r="BJ53" i="16" a="1"/>
  <c r="BJ53" i="16" s="1"/>
  <c r="BJ62" i="16" a="1"/>
  <c r="BJ62" i="16" s="1"/>
  <c r="BJ54" i="16" a="1"/>
  <c r="BJ54" i="16" s="1"/>
  <c r="BJ78" i="16" a="1"/>
  <c r="BJ78" i="16" s="1"/>
  <c r="BJ55" i="16" a="1"/>
  <c r="BJ55" i="16" s="1"/>
  <c r="BJ58" i="16" a="1"/>
  <c r="BJ58" i="16" s="1"/>
  <c r="BJ66" i="16" a="1"/>
  <c r="BJ66" i="16" s="1"/>
  <c r="BJ83" i="16" a="1"/>
  <c r="BJ83" i="16" s="1"/>
  <c r="BJ84" i="16" a="1"/>
  <c r="BJ84" i="16" s="1"/>
  <c r="BJ67" i="16" a="1"/>
  <c r="BJ67" i="16" s="1"/>
  <c r="BJ15" i="16" a="1"/>
  <c r="BJ15" i="16" s="1"/>
  <c r="BJ90" i="16" a="1"/>
  <c r="BJ90" i="16" s="1"/>
  <c r="BJ91" i="16" a="1"/>
  <c r="BJ91" i="16" s="1"/>
  <c r="BJ92" i="16" a="1"/>
  <c r="BJ92" i="16" s="1"/>
  <c r="BJ69" i="16" a="1"/>
  <c r="BJ69" i="16" s="1"/>
  <c r="BJ70" i="16" a="1"/>
  <c r="BJ70" i="16" s="1"/>
  <c r="BJ82" i="16" a="1"/>
  <c r="BJ82" i="16" s="1"/>
  <c r="BJ95" i="16" a="1"/>
  <c r="BJ95" i="16" s="1"/>
  <c r="BJ68" i="16" a="1"/>
  <c r="BJ68" i="16" s="1"/>
  <c r="BJ21" i="16" a="1"/>
  <c r="BJ21" i="16" s="1"/>
  <c r="BJ77" i="16" a="1"/>
  <c r="BJ77" i="16" s="1"/>
  <c r="BJ101" i="16" a="1"/>
  <c r="BJ101" i="16" s="1"/>
  <c r="BJ76" i="16" a="1"/>
  <c r="BJ76" i="16" s="1"/>
  <c r="BJ60" i="16" a="1"/>
  <c r="BJ60" i="16" s="1"/>
  <c r="BJ79" i="16" a="1"/>
  <c r="BJ79" i="16" s="1"/>
  <c r="BJ80" i="16" a="1"/>
  <c r="BJ80" i="16" s="1"/>
  <c r="BJ61" i="16" a="1"/>
  <c r="BJ61" i="16" s="1"/>
  <c r="BJ100" i="16" a="1"/>
  <c r="BJ100" i="16" s="1"/>
  <c r="BJ89" i="16" a="1"/>
  <c r="BJ89" i="16" s="1"/>
  <c r="BJ86" i="16" a="1"/>
  <c r="BJ86" i="16" s="1"/>
  <c r="BJ87" i="16" a="1"/>
  <c r="BJ87" i="16" s="1"/>
  <c r="BJ88" i="16" a="1"/>
  <c r="BJ88" i="16" s="1"/>
  <c r="BJ93" i="16" a="1"/>
  <c r="BJ93" i="16" s="1"/>
  <c r="BJ81" i="16" a="1"/>
  <c r="BJ81" i="16" s="1"/>
  <c r="BJ102" i="16" a="1"/>
  <c r="BJ102" i="16" s="1"/>
  <c r="BJ94" i="16" a="1"/>
  <c r="BJ94" i="16" s="1"/>
  <c r="BJ96" i="16" a="1"/>
  <c r="BJ96" i="16" s="1"/>
  <c r="BJ103" i="16" a="1"/>
  <c r="BJ103" i="16" s="1"/>
  <c r="BJ97" i="16" a="1"/>
  <c r="BJ97" i="16" s="1"/>
  <c r="BJ98" i="16" a="1"/>
  <c r="BJ98" i="16" s="1"/>
  <c r="BJ99" i="16" a="1"/>
  <c r="BJ99" i="16" s="1"/>
  <c r="BF4" i="16" a="1"/>
  <c r="BF4" i="16" s="1"/>
  <c r="BF6" i="16" a="1"/>
  <c r="BF6" i="16" s="1"/>
  <c r="BF7" i="16" a="1"/>
  <c r="BF7" i="16" s="1"/>
  <c r="BF14" i="16" a="1"/>
  <c r="BF14" i="16" s="1"/>
  <c r="BF8" i="16" a="1"/>
  <c r="BF8" i="16" s="1"/>
  <c r="BF16" i="16" a="1"/>
  <c r="BF16" i="16" s="1"/>
  <c r="BF18" i="16" a="1"/>
  <c r="BF18" i="16" s="1"/>
  <c r="BF17" i="16" a="1"/>
  <c r="BF17" i="16" s="1"/>
  <c r="BF11" i="16" a="1"/>
  <c r="BF11" i="16" s="1"/>
  <c r="BF22" i="16" a="1"/>
  <c r="BF22" i="16" s="1"/>
  <c r="BF23" i="16" a="1"/>
  <c r="BF23" i="16" s="1"/>
  <c r="BF28" i="16" a="1"/>
  <c r="BF28" i="16" s="1"/>
  <c r="BF9" i="16" a="1"/>
  <c r="BF9" i="16" s="1"/>
  <c r="BF13" i="16" a="1"/>
  <c r="BF13" i="16" s="1"/>
  <c r="BF20" i="16" a="1"/>
  <c r="BF20" i="16" s="1"/>
  <c r="BF32" i="16" a="1"/>
  <c r="BF32" i="16" s="1"/>
  <c r="BF33" i="16" a="1"/>
  <c r="BF33" i="16" s="1"/>
  <c r="BF31" i="16" a="1"/>
  <c r="BF31" i="16" s="1"/>
  <c r="BF12" i="16" a="1"/>
  <c r="BF12" i="16" s="1"/>
  <c r="BF39" i="16" a="1"/>
  <c r="BF39" i="16" s="1"/>
  <c r="BF35" i="16" a="1"/>
  <c r="BF35" i="16" s="1"/>
  <c r="BF36" i="16" a="1"/>
  <c r="BF36" i="16" s="1"/>
  <c r="BF34" i="16" a="1"/>
  <c r="BF34" i="16" s="1"/>
  <c r="BF25" i="16" a="1"/>
  <c r="BF25" i="16" s="1"/>
  <c r="BF26" i="16" a="1"/>
  <c r="BF26" i="16" s="1"/>
  <c r="BF43" i="16" a="1"/>
  <c r="BF43" i="16" s="1"/>
  <c r="BF37" i="16" a="1"/>
  <c r="BF37" i="16" s="1"/>
  <c r="BF27" i="16" a="1"/>
  <c r="BF27" i="16" s="1"/>
  <c r="BF24" i="16" a="1"/>
  <c r="BF24" i="16" s="1"/>
  <c r="BF29" i="16" a="1"/>
  <c r="BF29" i="16" s="1"/>
  <c r="BF44" i="16" a="1"/>
  <c r="BF44" i="16" s="1"/>
  <c r="BF45" i="16" a="1"/>
  <c r="BF45" i="16" s="1"/>
  <c r="BF42" i="16" a="1"/>
  <c r="BF42" i="16" s="1"/>
  <c r="BF48" i="16" a="1"/>
  <c r="BF48" i="16" s="1"/>
  <c r="BF52" i="16" a="1"/>
  <c r="BF52" i="16" s="1"/>
  <c r="BF19" i="16" a="1"/>
  <c r="BF19" i="16" s="1"/>
  <c r="BF50" i="16" a="1"/>
  <c r="BF50" i="16" s="1"/>
  <c r="BF38" i="16" a="1"/>
  <c r="BF38" i="16" s="1"/>
  <c r="BF47" i="16" a="1"/>
  <c r="BF47" i="16" s="1"/>
  <c r="BF30" i="16" a="1"/>
  <c r="BF30" i="16" s="1"/>
  <c r="BF46" i="16" a="1"/>
  <c r="BF46" i="16" s="1"/>
  <c r="BF40" i="16" a="1"/>
  <c r="BF40" i="16" s="1"/>
  <c r="BF41" i="16" a="1"/>
  <c r="BF41" i="16" s="1"/>
  <c r="BF49" i="16" a="1"/>
  <c r="BF49" i="16" s="1"/>
  <c r="BF51" i="16" a="1"/>
  <c r="BF51" i="16" s="1"/>
  <c r="BF63" i="16" a="1"/>
  <c r="BF63" i="16" s="1"/>
  <c r="BF65" i="16" a="1"/>
  <c r="BF65" i="16" s="1"/>
  <c r="BF10" i="16" a="1"/>
  <c r="BF10" i="16" s="1"/>
  <c r="BF56" i="16" a="1"/>
  <c r="BF56" i="16" s="1"/>
  <c r="BF85" i="16" a="1"/>
  <c r="BF85" i="16" s="1"/>
  <c r="BF72" i="16" a="1"/>
  <c r="BF72" i="16" s="1"/>
  <c r="BF73" i="16" a="1"/>
  <c r="BF73" i="16" s="1"/>
  <c r="BF71" i="16" a="1"/>
  <c r="BF71" i="16" s="1"/>
  <c r="BF74" i="16" a="1"/>
  <c r="BF74" i="16" s="1"/>
  <c r="BF57" i="16" a="1"/>
  <c r="BF57" i="16" s="1"/>
  <c r="BF59" i="16" a="1"/>
  <c r="BF59" i="16" s="1"/>
  <c r="BF64" i="16" a="1"/>
  <c r="BF64" i="16" s="1"/>
  <c r="BF75" i="16" a="1"/>
  <c r="BF75" i="16" s="1"/>
  <c r="BF53" i="16" a="1"/>
  <c r="BF53" i="16" s="1"/>
  <c r="BF62" i="16" a="1"/>
  <c r="BF62" i="16" s="1"/>
  <c r="BF54" i="16" a="1"/>
  <c r="BF54" i="16" s="1"/>
  <c r="BF78" i="16" a="1"/>
  <c r="BF78" i="16" s="1"/>
  <c r="BF55" i="16" a="1"/>
  <c r="BF55" i="16" s="1"/>
  <c r="BF58" i="16" a="1"/>
  <c r="BF58" i="16" s="1"/>
  <c r="BF66" i="16" a="1"/>
  <c r="BF66" i="16" s="1"/>
  <c r="BF83" i="16" a="1"/>
  <c r="BF83" i="16" s="1"/>
  <c r="BF84" i="16" a="1"/>
  <c r="BF84" i="16" s="1"/>
  <c r="BF67" i="16" a="1"/>
  <c r="BF67" i="16" s="1"/>
  <c r="BF15" i="16" a="1"/>
  <c r="BF15" i="16" s="1"/>
  <c r="BF90" i="16" a="1"/>
  <c r="BF90" i="16" s="1"/>
  <c r="BF91" i="16" a="1"/>
  <c r="BF91" i="16" s="1"/>
  <c r="BF92" i="16" a="1"/>
  <c r="BF92" i="16" s="1"/>
  <c r="BF69" i="16" a="1"/>
  <c r="BF69" i="16" s="1"/>
  <c r="BF70" i="16" a="1"/>
  <c r="BF70" i="16" s="1"/>
  <c r="BF82" i="16" a="1"/>
  <c r="BF82" i="16" s="1"/>
  <c r="BF95" i="16" a="1"/>
  <c r="BF95" i="16" s="1"/>
  <c r="BF68" i="16" a="1"/>
  <c r="BF68" i="16" s="1"/>
  <c r="BF21" i="16" a="1"/>
  <c r="BF21" i="16" s="1"/>
  <c r="BF77" i="16" a="1"/>
  <c r="BF77" i="16" s="1"/>
  <c r="BF101" i="16" a="1"/>
  <c r="BF101" i="16" s="1"/>
  <c r="BF76" i="16" a="1"/>
  <c r="BF76" i="16" s="1"/>
  <c r="BF60" i="16" a="1"/>
  <c r="BF60" i="16" s="1"/>
  <c r="BF79" i="16" a="1"/>
  <c r="BF79" i="16" s="1"/>
  <c r="BF80" i="16" a="1"/>
  <c r="BF80" i="16" s="1"/>
  <c r="BF61" i="16" a="1"/>
  <c r="BF61" i="16" s="1"/>
  <c r="BF100" i="16" a="1"/>
  <c r="BF100" i="16" s="1"/>
  <c r="BF89" i="16" a="1"/>
  <c r="BF89" i="16" s="1"/>
  <c r="BF86" i="16" a="1"/>
  <c r="BF86" i="16" s="1"/>
  <c r="BF87" i="16" a="1"/>
  <c r="BF87" i="16" s="1"/>
  <c r="BF88" i="16" a="1"/>
  <c r="BF88" i="16" s="1"/>
  <c r="BF93" i="16" a="1"/>
  <c r="BF93" i="16" s="1"/>
  <c r="BF81" i="16" a="1"/>
  <c r="BF81" i="16" s="1"/>
  <c r="BF102" i="16" a="1"/>
  <c r="BF102" i="16" s="1"/>
  <c r="BF94" i="16" a="1"/>
  <c r="BF94" i="16" s="1"/>
  <c r="BF96" i="16" a="1"/>
  <c r="BF96" i="16" s="1"/>
  <c r="BF103" i="16" a="1"/>
  <c r="BF103" i="16" s="1"/>
  <c r="BF97" i="16" a="1"/>
  <c r="BF97" i="16" s="1"/>
  <c r="BF98" i="16" a="1"/>
  <c r="BF98" i="16" s="1"/>
  <c r="BF99" i="16" a="1"/>
  <c r="BF99" i="16" s="1"/>
  <c r="BC4" i="16" a="1"/>
  <c r="BC4" i="16" s="1"/>
  <c r="BC6" i="16" a="1"/>
  <c r="BC6" i="16" s="1"/>
  <c r="BC7" i="16" a="1"/>
  <c r="BC7" i="16" s="1"/>
  <c r="BC14" i="16" a="1"/>
  <c r="BC14" i="16" s="1"/>
  <c r="BC8" i="16" a="1"/>
  <c r="BC8" i="16" s="1"/>
  <c r="BC16" i="16" a="1"/>
  <c r="BC16" i="16" s="1"/>
  <c r="BC18" i="16" a="1"/>
  <c r="BC18" i="16" s="1"/>
  <c r="BC17" i="16" a="1"/>
  <c r="BC17" i="16" s="1"/>
  <c r="BC11" i="16" a="1"/>
  <c r="BC11" i="16" s="1"/>
  <c r="BC22" i="16" a="1"/>
  <c r="BC22" i="16" s="1"/>
  <c r="BC23" i="16" a="1"/>
  <c r="BC23" i="16" s="1"/>
  <c r="BC28" i="16" a="1"/>
  <c r="BC28" i="16" s="1"/>
  <c r="BC9" i="16" a="1"/>
  <c r="BC9" i="16" s="1"/>
  <c r="BC13" i="16" a="1"/>
  <c r="BC13" i="16" s="1"/>
  <c r="BC20" i="16" a="1"/>
  <c r="BC20" i="16" s="1"/>
  <c r="BC32" i="16" a="1"/>
  <c r="BC32" i="16" s="1"/>
  <c r="BC33" i="16" a="1"/>
  <c r="BC33" i="16" s="1"/>
  <c r="BC31" i="16" a="1"/>
  <c r="BC31" i="16" s="1"/>
  <c r="BC12" i="16" a="1"/>
  <c r="BC12" i="16" s="1"/>
  <c r="BC39" i="16" a="1"/>
  <c r="BC39" i="16" s="1"/>
  <c r="BC35" i="16" a="1"/>
  <c r="BC35" i="16" s="1"/>
  <c r="BC36" i="16" a="1"/>
  <c r="BC36" i="16" s="1"/>
  <c r="BC34" i="16" a="1"/>
  <c r="BC34" i="16" s="1"/>
  <c r="BC25" i="16" a="1"/>
  <c r="BC25" i="16" s="1"/>
  <c r="BC26" i="16" a="1"/>
  <c r="BC26" i="16" s="1"/>
  <c r="BC43" i="16" a="1"/>
  <c r="BC43" i="16" s="1"/>
  <c r="BC37" i="16" a="1"/>
  <c r="BC37" i="16" s="1"/>
  <c r="BC27" i="16" a="1"/>
  <c r="BC27" i="16" s="1"/>
  <c r="BC24" i="16" a="1"/>
  <c r="BC24" i="16" s="1"/>
  <c r="BC29" i="16" a="1"/>
  <c r="BC29" i="16" s="1"/>
  <c r="BC44" i="16" a="1"/>
  <c r="BC44" i="16" s="1"/>
  <c r="BC45" i="16" a="1"/>
  <c r="BC45" i="16" s="1"/>
  <c r="BC42" i="16" a="1"/>
  <c r="BC42" i="16" s="1"/>
  <c r="BC48" i="16" a="1"/>
  <c r="BC48" i="16" s="1"/>
  <c r="BC52" i="16" a="1"/>
  <c r="BC52" i="16" s="1"/>
  <c r="BC19" i="16" a="1"/>
  <c r="BC19" i="16" s="1"/>
  <c r="BC50" i="16" a="1"/>
  <c r="BC50" i="16" s="1"/>
  <c r="BC38" i="16" a="1"/>
  <c r="BC38" i="16" s="1"/>
  <c r="BC47" i="16" a="1"/>
  <c r="BC47" i="16" s="1"/>
  <c r="BC30" i="16" a="1"/>
  <c r="BC30" i="16" s="1"/>
  <c r="BC46" i="16" a="1"/>
  <c r="BC46" i="16" s="1"/>
  <c r="BC40" i="16" a="1"/>
  <c r="BC40" i="16" s="1"/>
  <c r="BC41" i="16" a="1"/>
  <c r="BC41" i="16" s="1"/>
  <c r="BC49" i="16" a="1"/>
  <c r="BC49" i="16" s="1"/>
  <c r="BC51" i="16" a="1"/>
  <c r="BC51" i="16" s="1"/>
  <c r="BC63" i="16" a="1"/>
  <c r="BC63" i="16" s="1"/>
  <c r="BC65" i="16" a="1"/>
  <c r="BC65" i="16" s="1"/>
  <c r="BC10" i="16" a="1"/>
  <c r="BC10" i="16" s="1"/>
  <c r="BC56" i="16" a="1"/>
  <c r="BC56" i="16" s="1"/>
  <c r="BC85" i="16" a="1"/>
  <c r="BC85" i="16" s="1"/>
  <c r="BC72" i="16" a="1"/>
  <c r="BC72" i="16" s="1"/>
  <c r="BC73" i="16" a="1"/>
  <c r="BC73" i="16" s="1"/>
  <c r="BC71" i="16" a="1"/>
  <c r="BC71" i="16" s="1"/>
  <c r="BC74" i="16" a="1"/>
  <c r="BC74" i="16" s="1"/>
  <c r="BC57" i="16" a="1"/>
  <c r="BC57" i="16" s="1"/>
  <c r="BC59" i="16" a="1"/>
  <c r="BC59" i="16" s="1"/>
  <c r="BC64" i="16" a="1"/>
  <c r="BC64" i="16" s="1"/>
  <c r="BC75" i="16" a="1"/>
  <c r="BC75" i="16" s="1"/>
  <c r="BC53" i="16" a="1"/>
  <c r="BC53" i="16" s="1"/>
  <c r="BC62" i="16" a="1"/>
  <c r="BC62" i="16" s="1"/>
  <c r="BC54" i="16" a="1"/>
  <c r="BC54" i="16" s="1"/>
  <c r="BC78" i="16" a="1"/>
  <c r="BC78" i="16" s="1"/>
  <c r="BC55" i="16" a="1"/>
  <c r="BC55" i="16" s="1"/>
  <c r="BC58" i="16" a="1"/>
  <c r="BC58" i="16" s="1"/>
  <c r="BC66" i="16" a="1"/>
  <c r="BC66" i="16" s="1"/>
  <c r="BC83" i="16" a="1"/>
  <c r="BC83" i="16" s="1"/>
  <c r="BC84" i="16" a="1"/>
  <c r="BC84" i="16" s="1"/>
  <c r="BC67" i="16" a="1"/>
  <c r="BC67" i="16" s="1"/>
  <c r="BC15" i="16" a="1"/>
  <c r="BC15" i="16" s="1"/>
  <c r="BC90" i="16" a="1"/>
  <c r="BC90" i="16" s="1"/>
  <c r="BC91" i="16" a="1"/>
  <c r="BC91" i="16" s="1"/>
  <c r="BC92" i="16" a="1"/>
  <c r="BC92" i="16" s="1"/>
  <c r="BC69" i="16" a="1"/>
  <c r="BC69" i="16" s="1"/>
  <c r="BC70" i="16" a="1"/>
  <c r="BC70" i="16" s="1"/>
  <c r="BC82" i="16" a="1"/>
  <c r="BC82" i="16" s="1"/>
  <c r="BC95" i="16" a="1"/>
  <c r="BC95" i="16" s="1"/>
  <c r="BC68" i="16" a="1"/>
  <c r="BC68" i="16" s="1"/>
  <c r="BC21" i="16" a="1"/>
  <c r="BC21" i="16" s="1"/>
  <c r="BC77" i="16" a="1"/>
  <c r="BC77" i="16" s="1"/>
  <c r="BC101" i="16" a="1"/>
  <c r="BC101" i="16" s="1"/>
  <c r="BC76" i="16" a="1"/>
  <c r="BC76" i="16" s="1"/>
  <c r="BC60" i="16" a="1"/>
  <c r="BC60" i="16" s="1"/>
  <c r="BC79" i="16" a="1"/>
  <c r="BC79" i="16" s="1"/>
  <c r="BC80" i="16" a="1"/>
  <c r="BC80" i="16" s="1"/>
  <c r="BC61" i="16" a="1"/>
  <c r="BC61" i="16" s="1"/>
  <c r="BC100" i="16" a="1"/>
  <c r="BC100" i="16" s="1"/>
  <c r="BC89" i="16" a="1"/>
  <c r="BC89" i="16" s="1"/>
  <c r="BC86" i="16" a="1"/>
  <c r="BC86" i="16" s="1"/>
  <c r="BC87" i="16" a="1"/>
  <c r="BC87" i="16" s="1"/>
  <c r="BC88" i="16" a="1"/>
  <c r="BC88" i="16" s="1"/>
  <c r="BC93" i="16" a="1"/>
  <c r="BC93" i="16" s="1"/>
  <c r="BC81" i="16" a="1"/>
  <c r="BC81" i="16" s="1"/>
  <c r="BC102" i="16" a="1"/>
  <c r="BC102" i="16" s="1"/>
  <c r="BC94" i="16" a="1"/>
  <c r="BC94" i="16" s="1"/>
  <c r="BC96" i="16" a="1"/>
  <c r="BC96" i="16" s="1"/>
  <c r="BC103" i="16" a="1"/>
  <c r="BC103" i="16" s="1"/>
  <c r="BC97" i="16" a="1"/>
  <c r="BC97" i="16" s="1"/>
  <c r="BC98" i="16" a="1"/>
  <c r="BC98" i="16" s="1"/>
  <c r="BC99" i="16" a="1"/>
  <c r="BC99" i="16" s="1"/>
  <c r="AZ4" i="16" a="1"/>
  <c r="AZ4" i="16" s="1"/>
  <c r="AZ6" i="16" a="1"/>
  <c r="AZ6" i="16" s="1"/>
  <c r="AZ7" i="16" a="1"/>
  <c r="AZ7" i="16" s="1"/>
  <c r="AZ14" i="16" a="1"/>
  <c r="AZ14" i="16" s="1"/>
  <c r="AZ8" i="16" a="1"/>
  <c r="AZ8" i="16" s="1"/>
  <c r="AZ16" i="16" a="1"/>
  <c r="AZ16" i="16" s="1"/>
  <c r="AZ18" i="16" a="1"/>
  <c r="AZ18" i="16" s="1"/>
  <c r="AZ17" i="16" a="1"/>
  <c r="AZ17" i="16" s="1"/>
  <c r="AZ11" i="16" a="1"/>
  <c r="AZ11" i="16" s="1"/>
  <c r="AZ22" i="16" a="1"/>
  <c r="AZ22" i="16" s="1"/>
  <c r="AZ23" i="16" a="1"/>
  <c r="AZ23" i="16" s="1"/>
  <c r="AZ28" i="16" a="1"/>
  <c r="AZ28" i="16" s="1"/>
  <c r="AZ9" i="16" a="1"/>
  <c r="AZ9" i="16" s="1"/>
  <c r="AZ13" i="16" a="1"/>
  <c r="AZ13" i="16" s="1"/>
  <c r="AZ20" i="16" a="1"/>
  <c r="AZ20" i="16" s="1"/>
  <c r="AZ32" i="16" a="1"/>
  <c r="AZ32" i="16" s="1"/>
  <c r="AZ33" i="16" a="1"/>
  <c r="AZ33" i="16" s="1"/>
  <c r="AZ31" i="16" a="1"/>
  <c r="AZ31" i="16" s="1"/>
  <c r="AZ12" i="16" a="1"/>
  <c r="AZ12" i="16" s="1"/>
  <c r="AZ39" i="16" a="1"/>
  <c r="AZ39" i="16" s="1"/>
  <c r="AZ35" i="16" a="1"/>
  <c r="AZ35" i="16" s="1"/>
  <c r="AZ36" i="16" a="1"/>
  <c r="AZ36" i="16" s="1"/>
  <c r="AZ34" i="16" a="1"/>
  <c r="AZ34" i="16" s="1"/>
  <c r="AZ25" i="16" a="1"/>
  <c r="AZ25" i="16" s="1"/>
  <c r="AZ26" i="16" a="1"/>
  <c r="AZ26" i="16" s="1"/>
  <c r="AZ43" i="16" a="1"/>
  <c r="AZ43" i="16" s="1"/>
  <c r="AZ37" i="16" a="1"/>
  <c r="AZ37" i="16" s="1"/>
  <c r="AZ27" i="16" a="1"/>
  <c r="AZ27" i="16" s="1"/>
  <c r="AZ24" i="16" a="1"/>
  <c r="AZ24" i="16" s="1"/>
  <c r="AZ29" i="16" a="1"/>
  <c r="AZ29" i="16" s="1"/>
  <c r="AZ44" i="16" a="1"/>
  <c r="AZ44" i="16" s="1"/>
  <c r="AZ45" i="16" a="1"/>
  <c r="AZ45" i="16" s="1"/>
  <c r="AZ42" i="16" a="1"/>
  <c r="AZ42" i="16" s="1"/>
  <c r="AZ48" i="16" a="1"/>
  <c r="AZ48" i="16" s="1"/>
  <c r="AZ52" i="16" a="1"/>
  <c r="AZ52" i="16" s="1"/>
  <c r="AZ19" i="16" a="1"/>
  <c r="AZ19" i="16" s="1"/>
  <c r="AZ50" i="16" a="1"/>
  <c r="AZ50" i="16" s="1"/>
  <c r="AZ38" i="16" a="1"/>
  <c r="AZ38" i="16" s="1"/>
  <c r="AZ47" i="16" a="1"/>
  <c r="AZ47" i="16" s="1"/>
  <c r="AZ30" i="16" a="1"/>
  <c r="AZ30" i="16" s="1"/>
  <c r="AZ46" i="16" a="1"/>
  <c r="AZ46" i="16" s="1"/>
  <c r="AZ40" i="16" a="1"/>
  <c r="AZ40" i="16" s="1"/>
  <c r="AZ41" i="16" a="1"/>
  <c r="AZ41" i="16" s="1"/>
  <c r="AZ49" i="16" a="1"/>
  <c r="AZ49" i="16" s="1"/>
  <c r="AZ51" i="16" a="1"/>
  <c r="AZ51" i="16" s="1"/>
  <c r="AZ63" i="16" a="1"/>
  <c r="AZ63" i="16" s="1"/>
  <c r="AZ65" i="16" a="1"/>
  <c r="AZ65" i="16" s="1"/>
  <c r="AZ10" i="16" a="1"/>
  <c r="AZ10" i="16" s="1"/>
  <c r="AZ56" i="16" a="1"/>
  <c r="AZ56" i="16" s="1"/>
  <c r="AZ85" i="16" a="1"/>
  <c r="AZ85" i="16" s="1"/>
  <c r="AZ72" i="16" a="1"/>
  <c r="AZ72" i="16" s="1"/>
  <c r="AZ73" i="16" a="1"/>
  <c r="AZ73" i="16" s="1"/>
  <c r="AZ71" i="16" a="1"/>
  <c r="AZ71" i="16" s="1"/>
  <c r="AZ74" i="16" a="1"/>
  <c r="AZ74" i="16" s="1"/>
  <c r="AZ57" i="16" a="1"/>
  <c r="AZ57" i="16" s="1"/>
  <c r="AZ59" i="16" a="1"/>
  <c r="AZ59" i="16" s="1"/>
  <c r="AZ64" i="16" a="1"/>
  <c r="AZ64" i="16" s="1"/>
  <c r="AZ75" i="16" a="1"/>
  <c r="AZ75" i="16" s="1"/>
  <c r="AZ53" i="16" a="1"/>
  <c r="AZ53" i="16" s="1"/>
  <c r="AZ62" i="16" a="1"/>
  <c r="AZ62" i="16" s="1"/>
  <c r="AZ54" i="16" a="1"/>
  <c r="AZ54" i="16" s="1"/>
  <c r="AZ78" i="16" a="1"/>
  <c r="AZ78" i="16" s="1"/>
  <c r="AZ55" i="16" a="1"/>
  <c r="AZ55" i="16" s="1"/>
  <c r="AZ58" i="16" a="1"/>
  <c r="AZ58" i="16" s="1"/>
  <c r="AZ66" i="16" a="1"/>
  <c r="AZ66" i="16" s="1"/>
  <c r="AZ83" i="16" a="1"/>
  <c r="AZ83" i="16" s="1"/>
  <c r="AZ84" i="16" a="1"/>
  <c r="AZ84" i="16" s="1"/>
  <c r="AZ67" i="16" a="1"/>
  <c r="AZ67" i="16" s="1"/>
  <c r="AZ15" i="16" a="1"/>
  <c r="AZ15" i="16" s="1"/>
  <c r="AZ90" i="16" a="1"/>
  <c r="AZ90" i="16" s="1"/>
  <c r="AZ91" i="16" a="1"/>
  <c r="AZ91" i="16" s="1"/>
  <c r="AZ92" i="16" a="1"/>
  <c r="AZ92" i="16" s="1"/>
  <c r="AZ69" i="16" a="1"/>
  <c r="AZ69" i="16" s="1"/>
  <c r="AZ70" i="16" a="1"/>
  <c r="AZ70" i="16" s="1"/>
  <c r="AZ82" i="16" a="1"/>
  <c r="AZ82" i="16" s="1"/>
  <c r="AZ95" i="16" a="1"/>
  <c r="AZ95" i="16" s="1"/>
  <c r="AZ68" i="16" a="1"/>
  <c r="AZ68" i="16" s="1"/>
  <c r="AZ21" i="16" a="1"/>
  <c r="AZ21" i="16" s="1"/>
  <c r="AZ77" i="16" a="1"/>
  <c r="AZ77" i="16" s="1"/>
  <c r="AZ101" i="16" a="1"/>
  <c r="AZ101" i="16" s="1"/>
  <c r="AZ76" i="16" a="1"/>
  <c r="AZ76" i="16" s="1"/>
  <c r="AZ60" i="16" a="1"/>
  <c r="AZ60" i="16" s="1"/>
  <c r="AZ79" i="16" a="1"/>
  <c r="AZ79" i="16" s="1"/>
  <c r="AZ80" i="16" a="1"/>
  <c r="AZ80" i="16" s="1"/>
  <c r="AZ61" i="16" a="1"/>
  <c r="AZ61" i="16" s="1"/>
  <c r="AZ100" i="16" a="1"/>
  <c r="AZ100" i="16" s="1"/>
  <c r="AZ89" i="16" a="1"/>
  <c r="AZ89" i="16" s="1"/>
  <c r="AZ86" i="16" a="1"/>
  <c r="AZ86" i="16" s="1"/>
  <c r="AZ87" i="16" a="1"/>
  <c r="AZ87" i="16" s="1"/>
  <c r="AZ88" i="16" a="1"/>
  <c r="AZ88" i="16" s="1"/>
  <c r="AZ93" i="16" a="1"/>
  <c r="AZ93" i="16" s="1"/>
  <c r="AZ81" i="16" a="1"/>
  <c r="AZ81" i="16" s="1"/>
  <c r="AZ102" i="16" a="1"/>
  <c r="AZ102" i="16" s="1"/>
  <c r="AZ94" i="16" a="1"/>
  <c r="AZ94" i="16" s="1"/>
  <c r="AZ96" i="16" a="1"/>
  <c r="AZ96" i="16" s="1"/>
  <c r="AZ103" i="16" a="1"/>
  <c r="AZ103" i="16" s="1"/>
  <c r="AZ97" i="16" a="1"/>
  <c r="AZ97" i="16" s="1"/>
  <c r="AZ98" i="16" a="1"/>
  <c r="AZ98" i="16" s="1"/>
  <c r="AZ99" i="16" a="1"/>
  <c r="AZ99" i="16" s="1"/>
  <c r="CJ4" i="16" a="1"/>
  <c r="CJ4" i="16" s="1"/>
  <c r="CJ6" i="16" a="1"/>
  <c r="CJ6" i="16" s="1"/>
  <c r="CJ7" i="16" a="1"/>
  <c r="CJ7" i="16" s="1"/>
  <c r="CJ14" i="16" a="1"/>
  <c r="CJ14" i="16" s="1"/>
  <c r="CJ8" i="16" a="1"/>
  <c r="CJ8" i="16" s="1"/>
  <c r="CJ16" i="16" a="1"/>
  <c r="CJ16" i="16" s="1"/>
  <c r="CJ18" i="16" a="1"/>
  <c r="CJ18" i="16" s="1"/>
  <c r="CJ17" i="16" a="1"/>
  <c r="CJ17" i="16" s="1"/>
  <c r="CJ11" i="16" a="1"/>
  <c r="CJ11" i="16" s="1"/>
  <c r="CJ22" i="16" a="1"/>
  <c r="CJ22" i="16" s="1"/>
  <c r="CJ23" i="16" a="1"/>
  <c r="CJ23" i="16" s="1"/>
  <c r="CJ28" i="16" a="1"/>
  <c r="CJ28" i="16" s="1"/>
  <c r="CJ9" i="16" a="1"/>
  <c r="CJ9" i="16" s="1"/>
  <c r="CJ13" i="16" a="1"/>
  <c r="CJ13" i="16" s="1"/>
  <c r="CJ20" i="16" a="1"/>
  <c r="CJ20" i="16" s="1"/>
  <c r="CJ32" i="16" a="1"/>
  <c r="CJ32" i="16" s="1"/>
  <c r="CJ33" i="16" a="1"/>
  <c r="CJ33" i="16" s="1"/>
  <c r="CJ31" i="16" a="1"/>
  <c r="CJ31" i="16" s="1"/>
  <c r="CJ12" i="16" a="1"/>
  <c r="CJ12" i="16" s="1"/>
  <c r="CJ39" i="16" a="1"/>
  <c r="CJ39" i="16" s="1"/>
  <c r="CJ35" i="16" a="1"/>
  <c r="CJ35" i="16" s="1"/>
  <c r="CJ36" i="16" a="1"/>
  <c r="CJ36" i="16" s="1"/>
  <c r="CJ34" i="16" a="1"/>
  <c r="CJ34" i="16" s="1"/>
  <c r="CJ25" i="16" a="1"/>
  <c r="CJ25" i="16" s="1"/>
  <c r="CJ26" i="16" a="1"/>
  <c r="CJ26" i="16" s="1"/>
  <c r="CJ43" i="16" a="1"/>
  <c r="CJ43" i="16" s="1"/>
  <c r="CJ37" i="16" a="1"/>
  <c r="CJ37" i="16" s="1"/>
  <c r="CJ27" i="16" a="1"/>
  <c r="CJ27" i="16" s="1"/>
  <c r="CJ24" i="16" a="1"/>
  <c r="CJ24" i="16" s="1"/>
  <c r="CJ29" i="16" a="1"/>
  <c r="CJ29" i="16" s="1"/>
  <c r="CJ44" i="16" a="1"/>
  <c r="CJ44" i="16" s="1"/>
  <c r="CJ45" i="16" a="1"/>
  <c r="CJ45" i="16" s="1"/>
  <c r="CJ42" i="16" a="1"/>
  <c r="CJ42" i="16" s="1"/>
  <c r="CJ48" i="16" a="1"/>
  <c r="CJ48" i="16" s="1"/>
  <c r="CJ52" i="16" a="1"/>
  <c r="CJ52" i="16" s="1"/>
  <c r="CJ19" i="16" a="1"/>
  <c r="CJ19" i="16" s="1"/>
  <c r="CJ50" i="16" a="1"/>
  <c r="CJ50" i="16" s="1"/>
  <c r="CJ38" i="16" a="1"/>
  <c r="CJ38" i="16" s="1"/>
  <c r="CJ47" i="16" a="1"/>
  <c r="CJ47" i="16" s="1"/>
  <c r="CJ30" i="16" a="1"/>
  <c r="CJ30" i="16" s="1"/>
  <c r="CJ46" i="16" a="1"/>
  <c r="CJ46" i="16" s="1"/>
  <c r="CJ40" i="16" a="1"/>
  <c r="CJ40" i="16" s="1"/>
  <c r="CJ41" i="16" a="1"/>
  <c r="CJ41" i="16" s="1"/>
  <c r="CJ49" i="16" a="1"/>
  <c r="CJ49" i="16" s="1"/>
  <c r="CJ51" i="16" a="1"/>
  <c r="CJ51" i="16" s="1"/>
  <c r="CJ63" i="16" a="1"/>
  <c r="CJ63" i="16" s="1"/>
  <c r="CJ65" i="16" a="1"/>
  <c r="CJ65" i="16" s="1"/>
  <c r="CJ10" i="16" a="1"/>
  <c r="CJ10" i="16" s="1"/>
  <c r="CJ56" i="16" a="1"/>
  <c r="CJ56" i="16" s="1"/>
  <c r="CJ85" i="16" a="1"/>
  <c r="CJ85" i="16" s="1"/>
  <c r="CJ72" i="16" a="1"/>
  <c r="CJ72" i="16" s="1"/>
  <c r="CJ73" i="16" a="1"/>
  <c r="CJ73" i="16" s="1"/>
  <c r="CJ71" i="16" a="1"/>
  <c r="CJ71" i="16" s="1"/>
  <c r="CJ74" i="16" a="1"/>
  <c r="CJ74" i="16" s="1"/>
  <c r="CJ57" i="16" a="1"/>
  <c r="CJ57" i="16" s="1"/>
  <c r="CJ59" i="16" a="1"/>
  <c r="CJ59" i="16" s="1"/>
  <c r="CJ64" i="16" a="1"/>
  <c r="CJ64" i="16" s="1"/>
  <c r="CJ75" i="16" a="1"/>
  <c r="CJ75" i="16" s="1"/>
  <c r="CJ53" i="16" a="1"/>
  <c r="CJ53" i="16" s="1"/>
  <c r="CJ62" i="16" a="1"/>
  <c r="CJ62" i="16" s="1"/>
  <c r="CJ54" i="16" a="1"/>
  <c r="CJ54" i="16" s="1"/>
  <c r="CJ78" i="16" a="1"/>
  <c r="CJ78" i="16" s="1"/>
  <c r="CJ55" i="16" a="1"/>
  <c r="CJ55" i="16" s="1"/>
  <c r="CJ58" i="16" a="1"/>
  <c r="CJ58" i="16" s="1"/>
  <c r="CJ66" i="16" a="1"/>
  <c r="CJ66" i="16" s="1"/>
  <c r="CJ83" i="16" a="1"/>
  <c r="CJ83" i="16" s="1"/>
  <c r="CJ84" i="16" a="1"/>
  <c r="CJ84" i="16" s="1"/>
  <c r="CJ67" i="16" a="1"/>
  <c r="CJ67" i="16" s="1"/>
  <c r="CJ15" i="16" a="1"/>
  <c r="CJ15" i="16" s="1"/>
  <c r="CJ90" i="16" a="1"/>
  <c r="CJ90" i="16" s="1"/>
  <c r="CJ91" i="16" a="1"/>
  <c r="CJ91" i="16" s="1"/>
  <c r="CJ92" i="16" a="1"/>
  <c r="CJ92" i="16" s="1"/>
  <c r="CJ69" i="16" a="1"/>
  <c r="CJ69" i="16" s="1"/>
  <c r="CJ70" i="16" a="1"/>
  <c r="CJ70" i="16" s="1"/>
  <c r="CJ82" i="16" a="1"/>
  <c r="CJ82" i="16" s="1"/>
  <c r="CJ95" i="16" a="1"/>
  <c r="CJ95" i="16" s="1"/>
  <c r="CJ68" i="16" a="1"/>
  <c r="CJ68" i="16" s="1"/>
  <c r="CJ21" i="16" a="1"/>
  <c r="CJ21" i="16" s="1"/>
  <c r="CJ77" i="16" a="1"/>
  <c r="CJ77" i="16" s="1"/>
  <c r="CJ101" i="16" a="1"/>
  <c r="CJ101" i="16" s="1"/>
  <c r="CJ76" i="16" a="1"/>
  <c r="CJ76" i="16" s="1"/>
  <c r="CJ60" i="16" a="1"/>
  <c r="CJ60" i="16" s="1"/>
  <c r="CJ79" i="16" a="1"/>
  <c r="CJ79" i="16" s="1"/>
  <c r="CJ80" i="16" a="1"/>
  <c r="CJ80" i="16" s="1"/>
  <c r="CJ61" i="16" a="1"/>
  <c r="CJ61" i="16" s="1"/>
  <c r="CJ100" i="16" a="1"/>
  <c r="CJ100" i="16" s="1"/>
  <c r="CJ89" i="16" a="1"/>
  <c r="CJ89" i="16" s="1"/>
  <c r="CJ86" i="16" a="1"/>
  <c r="CJ86" i="16" s="1"/>
  <c r="CJ87" i="16" a="1"/>
  <c r="CJ87" i="16" s="1"/>
  <c r="CJ88" i="16" a="1"/>
  <c r="CJ88" i="16" s="1"/>
  <c r="CJ93" i="16" a="1"/>
  <c r="CJ93" i="16" s="1"/>
  <c r="CJ81" i="16" a="1"/>
  <c r="CJ81" i="16" s="1"/>
  <c r="CJ102" i="16" a="1"/>
  <c r="CJ102" i="16" s="1"/>
  <c r="CJ94" i="16" a="1"/>
  <c r="CJ94" i="16" s="1"/>
  <c r="CJ96" i="16" a="1"/>
  <c r="CJ96" i="16" s="1"/>
  <c r="CJ103" i="16" a="1"/>
  <c r="CJ103" i="16" s="1"/>
  <c r="CJ97" i="16" a="1"/>
  <c r="CJ97" i="16" s="1"/>
  <c r="CJ98" i="16" a="1"/>
  <c r="CJ98" i="16" s="1"/>
  <c r="CJ99" i="16" a="1"/>
  <c r="CJ99" i="16" s="1"/>
  <c r="CG4" i="16" a="1"/>
  <c r="CG4" i="16" s="1"/>
  <c r="CG6" i="16" a="1"/>
  <c r="CG6" i="16" s="1"/>
  <c r="CG7" i="16" a="1"/>
  <c r="CG7" i="16" s="1"/>
  <c r="CG14" i="16" a="1"/>
  <c r="CG14" i="16" s="1"/>
  <c r="CG8" i="16" a="1"/>
  <c r="CG8" i="16" s="1"/>
  <c r="CG16" i="16" a="1"/>
  <c r="CG16" i="16" s="1"/>
  <c r="CG18" i="16" a="1"/>
  <c r="CG18" i="16" s="1"/>
  <c r="CG17" i="16" a="1"/>
  <c r="CG17" i="16" s="1"/>
  <c r="CG11" i="16" a="1"/>
  <c r="CG11" i="16" s="1"/>
  <c r="CG22" i="16" a="1"/>
  <c r="CG22" i="16" s="1"/>
  <c r="CG23" i="16" a="1"/>
  <c r="CG23" i="16" s="1"/>
  <c r="CG28" i="16" a="1"/>
  <c r="CG28" i="16" s="1"/>
  <c r="CG9" i="16" a="1"/>
  <c r="CG9" i="16" s="1"/>
  <c r="CG13" i="16" a="1"/>
  <c r="CG13" i="16" s="1"/>
  <c r="CG20" i="16" a="1"/>
  <c r="CG20" i="16" s="1"/>
  <c r="CG32" i="16" a="1"/>
  <c r="CG32" i="16" s="1"/>
  <c r="CG33" i="16" a="1"/>
  <c r="CG33" i="16" s="1"/>
  <c r="CG31" i="16" a="1"/>
  <c r="CG31" i="16" s="1"/>
  <c r="CG12" i="16" a="1"/>
  <c r="CG12" i="16" s="1"/>
  <c r="CG39" i="16" a="1"/>
  <c r="CG39" i="16" s="1"/>
  <c r="CG35" i="16" a="1"/>
  <c r="CG35" i="16" s="1"/>
  <c r="CG36" i="16" a="1"/>
  <c r="CG36" i="16" s="1"/>
  <c r="CG34" i="16" a="1"/>
  <c r="CG34" i="16" s="1"/>
  <c r="CG25" i="16" a="1"/>
  <c r="CG25" i="16" s="1"/>
  <c r="CG26" i="16" a="1"/>
  <c r="CG26" i="16" s="1"/>
  <c r="CG43" i="16" a="1"/>
  <c r="CG43" i="16" s="1"/>
  <c r="CG37" i="16" a="1"/>
  <c r="CG37" i="16" s="1"/>
  <c r="CG27" i="16" a="1"/>
  <c r="CG27" i="16" s="1"/>
  <c r="CG24" i="16" a="1"/>
  <c r="CG24" i="16" s="1"/>
  <c r="CG29" i="16" a="1"/>
  <c r="CG29" i="16" s="1"/>
  <c r="CG44" i="16" a="1"/>
  <c r="CG44" i="16" s="1"/>
  <c r="CG45" i="16" a="1"/>
  <c r="CG45" i="16" s="1"/>
  <c r="CG42" i="16" a="1"/>
  <c r="CG42" i="16" s="1"/>
  <c r="CG48" i="16" a="1"/>
  <c r="CG48" i="16" s="1"/>
  <c r="CG52" i="16" a="1"/>
  <c r="CG52" i="16" s="1"/>
  <c r="CG19" i="16" a="1"/>
  <c r="CG19" i="16" s="1"/>
  <c r="CG50" i="16" a="1"/>
  <c r="CG50" i="16" s="1"/>
  <c r="CG38" i="16" a="1"/>
  <c r="CG38" i="16" s="1"/>
  <c r="CG47" i="16" a="1"/>
  <c r="CG47" i="16" s="1"/>
  <c r="CG30" i="16" a="1"/>
  <c r="CG30" i="16" s="1"/>
  <c r="CG46" i="16" a="1"/>
  <c r="CG46" i="16" s="1"/>
  <c r="CG40" i="16" a="1"/>
  <c r="CG40" i="16" s="1"/>
  <c r="CG41" i="16" a="1"/>
  <c r="CG41" i="16" s="1"/>
  <c r="CG49" i="16" a="1"/>
  <c r="CG49" i="16" s="1"/>
  <c r="CG51" i="16" a="1"/>
  <c r="CG51" i="16" s="1"/>
  <c r="CG63" i="16" a="1"/>
  <c r="CG63" i="16" s="1"/>
  <c r="CG65" i="16" a="1"/>
  <c r="CG65" i="16" s="1"/>
  <c r="CG10" i="16" a="1"/>
  <c r="CG10" i="16" s="1"/>
  <c r="CG56" i="16" a="1"/>
  <c r="CG56" i="16" s="1"/>
  <c r="CG85" i="16" a="1"/>
  <c r="CG85" i="16" s="1"/>
  <c r="CG72" i="16" a="1"/>
  <c r="CG72" i="16" s="1"/>
  <c r="CG73" i="16" a="1"/>
  <c r="CG73" i="16" s="1"/>
  <c r="CG71" i="16" a="1"/>
  <c r="CG71" i="16" s="1"/>
  <c r="CG74" i="16" a="1"/>
  <c r="CG74" i="16" s="1"/>
  <c r="CG57" i="16" a="1"/>
  <c r="CG57" i="16" s="1"/>
  <c r="CG59" i="16" a="1"/>
  <c r="CG59" i="16" s="1"/>
  <c r="CG64" i="16" a="1"/>
  <c r="CG64" i="16" s="1"/>
  <c r="CG75" i="16" a="1"/>
  <c r="CG75" i="16" s="1"/>
  <c r="CG53" i="16" a="1"/>
  <c r="CG53" i="16" s="1"/>
  <c r="CG62" i="16" a="1"/>
  <c r="CG62" i="16" s="1"/>
  <c r="CG54" i="16" a="1"/>
  <c r="CG54" i="16" s="1"/>
  <c r="CG78" i="16" a="1"/>
  <c r="CG78" i="16" s="1"/>
  <c r="CG55" i="16" a="1"/>
  <c r="CG55" i="16" s="1"/>
  <c r="CG58" i="16" a="1"/>
  <c r="CG58" i="16" s="1"/>
  <c r="CG66" i="16" a="1"/>
  <c r="CG66" i="16" s="1"/>
  <c r="CG83" i="16" a="1"/>
  <c r="CG83" i="16" s="1"/>
  <c r="CG84" i="16" a="1"/>
  <c r="CG84" i="16" s="1"/>
  <c r="CG67" i="16" a="1"/>
  <c r="CG67" i="16" s="1"/>
  <c r="CG15" i="16" a="1"/>
  <c r="CG15" i="16" s="1"/>
  <c r="CG90" i="16" a="1"/>
  <c r="CG90" i="16" s="1"/>
  <c r="CG91" i="16" a="1"/>
  <c r="CG91" i="16" s="1"/>
  <c r="CG92" i="16" a="1"/>
  <c r="CG92" i="16" s="1"/>
  <c r="CG69" i="16" a="1"/>
  <c r="CG69" i="16" s="1"/>
  <c r="CG70" i="16" a="1"/>
  <c r="CG70" i="16" s="1"/>
  <c r="CG82" i="16" a="1"/>
  <c r="CG82" i="16" s="1"/>
  <c r="CG95" i="16" a="1"/>
  <c r="CG95" i="16" s="1"/>
  <c r="CG68" i="16" a="1"/>
  <c r="CG68" i="16" s="1"/>
  <c r="CG21" i="16" a="1"/>
  <c r="CG21" i="16" s="1"/>
  <c r="CG77" i="16" a="1"/>
  <c r="CG77" i="16" s="1"/>
  <c r="CG101" i="16" a="1"/>
  <c r="CG101" i="16" s="1"/>
  <c r="CG76" i="16" a="1"/>
  <c r="CG76" i="16" s="1"/>
  <c r="CG60" i="16" a="1"/>
  <c r="CG60" i="16" s="1"/>
  <c r="CG79" i="16" a="1"/>
  <c r="CG79" i="16" s="1"/>
  <c r="CG80" i="16" a="1"/>
  <c r="CG80" i="16" s="1"/>
  <c r="CG61" i="16" a="1"/>
  <c r="CG61" i="16" s="1"/>
  <c r="CG100" i="16" a="1"/>
  <c r="CG100" i="16" s="1"/>
  <c r="CG89" i="16" a="1"/>
  <c r="CG89" i="16" s="1"/>
  <c r="CG86" i="16" a="1"/>
  <c r="CG86" i="16" s="1"/>
  <c r="CG87" i="16" a="1"/>
  <c r="CG87" i="16" s="1"/>
  <c r="CG88" i="16" a="1"/>
  <c r="CG88" i="16" s="1"/>
  <c r="CG93" i="16" a="1"/>
  <c r="CG93" i="16" s="1"/>
  <c r="CG81" i="16" a="1"/>
  <c r="CG81" i="16" s="1"/>
  <c r="CG102" i="16" a="1"/>
  <c r="CG102" i="16" s="1"/>
  <c r="CG94" i="16" a="1"/>
  <c r="CG94" i="16" s="1"/>
  <c r="CG96" i="16" a="1"/>
  <c r="CG96" i="16" s="1"/>
  <c r="CG103" i="16" a="1"/>
  <c r="CG103" i="16" s="1"/>
  <c r="CG97" i="16" a="1"/>
  <c r="CG97" i="16" s="1"/>
  <c r="CG98" i="16" a="1"/>
  <c r="CG98" i="16" s="1"/>
  <c r="CG99" i="16" a="1"/>
  <c r="CG99" i="16" s="1"/>
  <c r="CC4" i="16" a="1"/>
  <c r="CC4" i="16" s="1"/>
  <c r="CC6" i="16" a="1"/>
  <c r="CC6" i="16" s="1"/>
  <c r="CC7" i="16" a="1"/>
  <c r="CC7" i="16" s="1"/>
  <c r="CC14" i="16" a="1"/>
  <c r="CC14" i="16" s="1"/>
  <c r="CC8" i="16" a="1"/>
  <c r="CC8" i="16" s="1"/>
  <c r="CC16" i="16" a="1"/>
  <c r="CC16" i="16" s="1"/>
  <c r="CC18" i="16" a="1"/>
  <c r="CC18" i="16" s="1"/>
  <c r="CC17" i="16" a="1"/>
  <c r="CC17" i="16" s="1"/>
  <c r="CC11" i="16" a="1"/>
  <c r="CC11" i="16" s="1"/>
  <c r="CC22" i="16" a="1"/>
  <c r="CC22" i="16" s="1"/>
  <c r="CC23" i="16" a="1"/>
  <c r="CC23" i="16" s="1"/>
  <c r="CC28" i="16" a="1"/>
  <c r="CC28" i="16" s="1"/>
  <c r="CC9" i="16" a="1"/>
  <c r="CC9" i="16" s="1"/>
  <c r="CC13" i="16" a="1"/>
  <c r="CC13" i="16" s="1"/>
  <c r="CC20" i="16" a="1"/>
  <c r="CC20" i="16" s="1"/>
  <c r="CC32" i="16" a="1"/>
  <c r="CC32" i="16" s="1"/>
  <c r="CC33" i="16" a="1"/>
  <c r="CC33" i="16" s="1"/>
  <c r="CC31" i="16" a="1"/>
  <c r="CC31" i="16" s="1"/>
  <c r="CC12" i="16" a="1"/>
  <c r="CC12" i="16" s="1"/>
  <c r="CC39" i="16" a="1"/>
  <c r="CC39" i="16" s="1"/>
  <c r="CC35" i="16" a="1"/>
  <c r="CC35" i="16" s="1"/>
  <c r="CC36" i="16" a="1"/>
  <c r="CC36" i="16" s="1"/>
  <c r="CC34" i="16" a="1"/>
  <c r="CC34" i="16" s="1"/>
  <c r="CC25" i="16" a="1"/>
  <c r="CC25" i="16" s="1"/>
  <c r="CC26" i="16" a="1"/>
  <c r="CC26" i="16" s="1"/>
  <c r="CC43" i="16" a="1"/>
  <c r="CC43" i="16" s="1"/>
  <c r="CC37" i="16" a="1"/>
  <c r="CC37" i="16" s="1"/>
  <c r="CC27" i="16" a="1"/>
  <c r="CC27" i="16" s="1"/>
  <c r="CC24" i="16" a="1"/>
  <c r="CC24" i="16" s="1"/>
  <c r="CC29" i="16" a="1"/>
  <c r="CC29" i="16" s="1"/>
  <c r="CC44" i="16" a="1"/>
  <c r="CC44" i="16" s="1"/>
  <c r="CC45" i="16" a="1"/>
  <c r="CC45" i="16" s="1"/>
  <c r="CC42" i="16" a="1"/>
  <c r="CC42" i="16" s="1"/>
  <c r="CC48" i="16" a="1"/>
  <c r="CC48" i="16" s="1"/>
  <c r="CC52" i="16" a="1"/>
  <c r="CC52" i="16" s="1"/>
  <c r="CC19" i="16" a="1"/>
  <c r="CC19" i="16" s="1"/>
  <c r="CC50" i="16" a="1"/>
  <c r="CC50" i="16" s="1"/>
  <c r="CC38" i="16" a="1"/>
  <c r="CC38" i="16" s="1"/>
  <c r="CC47" i="16" a="1"/>
  <c r="CC47" i="16" s="1"/>
  <c r="CC30" i="16" a="1"/>
  <c r="CC30" i="16" s="1"/>
  <c r="CC46" i="16" a="1"/>
  <c r="CC46" i="16" s="1"/>
  <c r="CC40" i="16" a="1"/>
  <c r="CC40" i="16" s="1"/>
  <c r="CC41" i="16" a="1"/>
  <c r="CC41" i="16" s="1"/>
  <c r="CC49" i="16" a="1"/>
  <c r="CC49" i="16" s="1"/>
  <c r="CC51" i="16" a="1"/>
  <c r="CC51" i="16" s="1"/>
  <c r="CC63" i="16" a="1"/>
  <c r="CC63" i="16" s="1"/>
  <c r="CC65" i="16" a="1"/>
  <c r="CC65" i="16" s="1"/>
  <c r="CC10" i="16" a="1"/>
  <c r="CC10" i="16" s="1"/>
  <c r="CC56" i="16" a="1"/>
  <c r="CC56" i="16" s="1"/>
  <c r="CC85" i="16" a="1"/>
  <c r="CC85" i="16" s="1"/>
  <c r="CC72" i="16" a="1"/>
  <c r="CC72" i="16" s="1"/>
  <c r="CC73" i="16" a="1"/>
  <c r="CC73" i="16" s="1"/>
  <c r="CC71" i="16" a="1"/>
  <c r="CC71" i="16" s="1"/>
  <c r="CC74" i="16" a="1"/>
  <c r="CC74" i="16" s="1"/>
  <c r="CC57" i="16" a="1"/>
  <c r="CC57" i="16" s="1"/>
  <c r="CC59" i="16" a="1"/>
  <c r="CC59" i="16" s="1"/>
  <c r="CC64" i="16" a="1"/>
  <c r="CC64" i="16" s="1"/>
  <c r="CC75" i="16" a="1"/>
  <c r="CC75" i="16" s="1"/>
  <c r="CC53" i="16" a="1"/>
  <c r="CC53" i="16" s="1"/>
  <c r="CC62" i="16" a="1"/>
  <c r="CC62" i="16" s="1"/>
  <c r="CC54" i="16" a="1"/>
  <c r="CC54" i="16" s="1"/>
  <c r="CC78" i="16" a="1"/>
  <c r="CC78" i="16" s="1"/>
  <c r="CC55" i="16" a="1"/>
  <c r="CC55" i="16" s="1"/>
  <c r="CC58" i="16" a="1"/>
  <c r="CC58" i="16" s="1"/>
  <c r="CC66" i="16" a="1"/>
  <c r="CC66" i="16" s="1"/>
  <c r="CC83" i="16" a="1"/>
  <c r="CC83" i="16" s="1"/>
  <c r="CC84" i="16" a="1"/>
  <c r="CC84" i="16" s="1"/>
  <c r="CC67" i="16" a="1"/>
  <c r="CC67" i="16" s="1"/>
  <c r="CC15" i="16" a="1"/>
  <c r="CC15" i="16" s="1"/>
  <c r="CC90" i="16" a="1"/>
  <c r="CC90" i="16" s="1"/>
  <c r="CC91" i="16" a="1"/>
  <c r="CC91" i="16" s="1"/>
  <c r="CC92" i="16" a="1"/>
  <c r="CC92" i="16" s="1"/>
  <c r="CC69" i="16" a="1"/>
  <c r="CC69" i="16" s="1"/>
  <c r="CC70" i="16" a="1"/>
  <c r="CC70" i="16" s="1"/>
  <c r="CC82" i="16" a="1"/>
  <c r="CC82" i="16" s="1"/>
  <c r="CC95" i="16" a="1"/>
  <c r="CC95" i="16" s="1"/>
  <c r="CC68" i="16" a="1"/>
  <c r="CC68" i="16" s="1"/>
  <c r="CC21" i="16" a="1"/>
  <c r="CC21" i="16" s="1"/>
  <c r="CC77" i="16" a="1"/>
  <c r="CC77" i="16" s="1"/>
  <c r="CC101" i="16" a="1"/>
  <c r="CC101" i="16" s="1"/>
  <c r="CC76" i="16" a="1"/>
  <c r="CC76" i="16" s="1"/>
  <c r="CC60" i="16" a="1"/>
  <c r="CC60" i="16" s="1"/>
  <c r="CC79" i="16" a="1"/>
  <c r="CC79" i="16" s="1"/>
  <c r="CC80" i="16" a="1"/>
  <c r="CC80" i="16" s="1"/>
  <c r="CC61" i="16" a="1"/>
  <c r="CC61" i="16" s="1"/>
  <c r="CC100" i="16" a="1"/>
  <c r="CC100" i="16" s="1"/>
  <c r="CC89" i="16" a="1"/>
  <c r="CC89" i="16" s="1"/>
  <c r="CC86" i="16" a="1"/>
  <c r="CC86" i="16" s="1"/>
  <c r="CC87" i="16" a="1"/>
  <c r="CC87" i="16" s="1"/>
  <c r="CC88" i="16" a="1"/>
  <c r="CC88" i="16" s="1"/>
  <c r="CC93" i="16" a="1"/>
  <c r="CC93" i="16" s="1"/>
  <c r="CC81" i="16" a="1"/>
  <c r="CC81" i="16" s="1"/>
  <c r="CC102" i="16" a="1"/>
  <c r="CC102" i="16" s="1"/>
  <c r="CC94" i="16" a="1"/>
  <c r="CC94" i="16" s="1"/>
  <c r="CC96" i="16" a="1"/>
  <c r="CC96" i="16" s="1"/>
  <c r="CC103" i="16" a="1"/>
  <c r="CC103" i="16" s="1"/>
  <c r="CC97" i="16" a="1"/>
  <c r="CC97" i="16" s="1"/>
  <c r="CC98" i="16" a="1"/>
  <c r="CC98" i="16" s="1"/>
  <c r="CC99" i="16" a="1"/>
  <c r="CC99" i="16" s="1"/>
  <c r="BW4" i="16" a="1"/>
  <c r="BW4" i="16" s="1"/>
  <c r="BW6" i="16" a="1"/>
  <c r="BW6" i="16" s="1"/>
  <c r="BW7" i="16" a="1"/>
  <c r="BW7" i="16" s="1"/>
  <c r="BW14" i="16" a="1"/>
  <c r="BW14" i="16" s="1"/>
  <c r="BW8" i="16" a="1"/>
  <c r="BW8" i="16" s="1"/>
  <c r="BW16" i="16" a="1"/>
  <c r="BW16" i="16" s="1"/>
  <c r="BW18" i="16" a="1"/>
  <c r="BW18" i="16" s="1"/>
  <c r="BW17" i="16" a="1"/>
  <c r="BW17" i="16" s="1"/>
  <c r="BW11" i="16" a="1"/>
  <c r="BW11" i="16" s="1"/>
  <c r="BW22" i="16" a="1"/>
  <c r="BW22" i="16" s="1"/>
  <c r="BW23" i="16" a="1"/>
  <c r="BW23" i="16" s="1"/>
  <c r="BW28" i="16" a="1"/>
  <c r="BW28" i="16" s="1"/>
  <c r="BW9" i="16" a="1"/>
  <c r="BW9" i="16" s="1"/>
  <c r="BW13" i="16" a="1"/>
  <c r="BW13" i="16" s="1"/>
  <c r="BW20" i="16" a="1"/>
  <c r="BW20" i="16" s="1"/>
  <c r="BW32" i="16" a="1"/>
  <c r="BW32" i="16" s="1"/>
  <c r="BW33" i="16" a="1"/>
  <c r="BW33" i="16" s="1"/>
  <c r="BW31" i="16" a="1"/>
  <c r="BW31" i="16" s="1"/>
  <c r="BW12" i="16" a="1"/>
  <c r="BW12" i="16" s="1"/>
  <c r="BW39" i="16" a="1"/>
  <c r="BW39" i="16" s="1"/>
  <c r="BW35" i="16" a="1"/>
  <c r="BW35" i="16" s="1"/>
  <c r="BW36" i="16" a="1"/>
  <c r="BW36" i="16" s="1"/>
  <c r="BW34" i="16" a="1"/>
  <c r="BW34" i="16" s="1"/>
  <c r="BW25" i="16" a="1"/>
  <c r="BW25" i="16" s="1"/>
  <c r="BW26" i="16" a="1"/>
  <c r="BW26" i="16" s="1"/>
  <c r="BW43" i="16" a="1"/>
  <c r="BW43" i="16" s="1"/>
  <c r="BW37" i="16" a="1"/>
  <c r="BW37" i="16" s="1"/>
  <c r="BW27" i="16" a="1"/>
  <c r="BW27" i="16" s="1"/>
  <c r="BW24" i="16" a="1"/>
  <c r="BW24" i="16" s="1"/>
  <c r="BW29" i="16" a="1"/>
  <c r="BW29" i="16" s="1"/>
  <c r="BW44" i="16" a="1"/>
  <c r="BW44" i="16" s="1"/>
  <c r="BW45" i="16" a="1"/>
  <c r="BW45" i="16" s="1"/>
  <c r="BW42" i="16" a="1"/>
  <c r="BW42" i="16" s="1"/>
  <c r="BW48" i="16" a="1"/>
  <c r="BW48" i="16" s="1"/>
  <c r="BW52" i="16" a="1"/>
  <c r="BW52" i="16" s="1"/>
  <c r="BW19" i="16" a="1"/>
  <c r="BW19" i="16" s="1"/>
  <c r="BW50" i="16" a="1"/>
  <c r="BW50" i="16" s="1"/>
  <c r="BW38" i="16" a="1"/>
  <c r="BW38" i="16" s="1"/>
  <c r="BW47" i="16" a="1"/>
  <c r="BW47" i="16" s="1"/>
  <c r="BW30" i="16" a="1"/>
  <c r="BW30" i="16" s="1"/>
  <c r="BW46" i="16" a="1"/>
  <c r="BW46" i="16" s="1"/>
  <c r="BW40" i="16" a="1"/>
  <c r="BW40" i="16" s="1"/>
  <c r="BW41" i="16" a="1"/>
  <c r="BW41" i="16" s="1"/>
  <c r="BW49" i="16" a="1"/>
  <c r="BW49" i="16" s="1"/>
  <c r="BW51" i="16" a="1"/>
  <c r="BW51" i="16" s="1"/>
  <c r="BW63" i="16" a="1"/>
  <c r="BW63" i="16" s="1"/>
  <c r="BW65" i="16" a="1"/>
  <c r="BW65" i="16" s="1"/>
  <c r="BW10" i="16" a="1"/>
  <c r="BW10" i="16" s="1"/>
  <c r="BW56" i="16" a="1"/>
  <c r="BW56" i="16" s="1"/>
  <c r="BW85" i="16" a="1"/>
  <c r="BW85" i="16" s="1"/>
  <c r="BW72" i="16" a="1"/>
  <c r="BW72" i="16" s="1"/>
  <c r="BW73" i="16" a="1"/>
  <c r="BW73" i="16" s="1"/>
  <c r="BW71" i="16" a="1"/>
  <c r="BW71" i="16" s="1"/>
  <c r="BW74" i="16" a="1"/>
  <c r="BW74" i="16" s="1"/>
  <c r="BW57" i="16" a="1"/>
  <c r="BW57" i="16" s="1"/>
  <c r="BW59" i="16" a="1"/>
  <c r="BW59" i="16" s="1"/>
  <c r="BW64" i="16" a="1"/>
  <c r="BW64" i="16" s="1"/>
  <c r="BW75" i="16" a="1"/>
  <c r="BW75" i="16" s="1"/>
  <c r="BW53" i="16" a="1"/>
  <c r="BW53" i="16" s="1"/>
  <c r="BW62" i="16" a="1"/>
  <c r="BW62" i="16" s="1"/>
  <c r="BW54" i="16" a="1"/>
  <c r="BW54" i="16" s="1"/>
  <c r="BW78" i="16" a="1"/>
  <c r="BW78" i="16" s="1"/>
  <c r="BW55" i="16" a="1"/>
  <c r="BW55" i="16" s="1"/>
  <c r="BW58" i="16" a="1"/>
  <c r="BW58" i="16" s="1"/>
  <c r="BW66" i="16" a="1"/>
  <c r="BW66" i="16" s="1"/>
  <c r="BW83" i="16" a="1"/>
  <c r="BW83" i="16" s="1"/>
  <c r="BW84" i="16" a="1"/>
  <c r="BW84" i="16" s="1"/>
  <c r="BW67" i="16" a="1"/>
  <c r="BW67" i="16" s="1"/>
  <c r="BW15" i="16" a="1"/>
  <c r="BW15" i="16" s="1"/>
  <c r="BW90" i="16" a="1"/>
  <c r="BW90" i="16" s="1"/>
  <c r="BW91" i="16" a="1"/>
  <c r="BW91" i="16" s="1"/>
  <c r="BW92" i="16" a="1"/>
  <c r="BW92" i="16" s="1"/>
  <c r="BW69" i="16" a="1"/>
  <c r="BW69" i="16" s="1"/>
  <c r="BW70" i="16" a="1"/>
  <c r="BW70" i="16" s="1"/>
  <c r="BW82" i="16" a="1"/>
  <c r="BW82" i="16" s="1"/>
  <c r="BW95" i="16" a="1"/>
  <c r="BW95" i="16" s="1"/>
  <c r="BW68" i="16" a="1"/>
  <c r="BW68" i="16" s="1"/>
  <c r="BW21" i="16" a="1"/>
  <c r="BW21" i="16" s="1"/>
  <c r="BW77" i="16" a="1"/>
  <c r="BW77" i="16" s="1"/>
  <c r="BW101" i="16" a="1"/>
  <c r="BW101" i="16" s="1"/>
  <c r="BW76" i="16" a="1"/>
  <c r="BW76" i="16" s="1"/>
  <c r="BW60" i="16" a="1"/>
  <c r="BW60" i="16" s="1"/>
  <c r="BW79" i="16" a="1"/>
  <c r="BW79" i="16" s="1"/>
  <c r="BW80" i="16" a="1"/>
  <c r="BW80" i="16" s="1"/>
  <c r="BW61" i="16" a="1"/>
  <c r="BW61" i="16" s="1"/>
  <c r="BW100" i="16" a="1"/>
  <c r="BW100" i="16" s="1"/>
  <c r="BW89" i="16" a="1"/>
  <c r="BW89" i="16" s="1"/>
  <c r="BW86" i="16" a="1"/>
  <c r="BW86" i="16" s="1"/>
  <c r="BW87" i="16" a="1"/>
  <c r="BW87" i="16" s="1"/>
  <c r="BW88" i="16" a="1"/>
  <c r="BW88" i="16" s="1"/>
  <c r="BW93" i="16" a="1"/>
  <c r="BW93" i="16" s="1"/>
  <c r="BW81" i="16" a="1"/>
  <c r="BW81" i="16" s="1"/>
  <c r="BW102" i="16" a="1"/>
  <c r="BW102" i="16" s="1"/>
  <c r="BW94" i="16" a="1"/>
  <c r="BW94" i="16" s="1"/>
  <c r="BW96" i="16" a="1"/>
  <c r="BW96" i="16" s="1"/>
  <c r="BW103" i="16" a="1"/>
  <c r="BW103" i="16" s="1"/>
  <c r="BW97" i="16" a="1"/>
  <c r="BW97" i="16" s="1"/>
  <c r="BW98" i="16" a="1"/>
  <c r="BW98" i="16" s="1"/>
  <c r="BW99" i="16" a="1"/>
  <c r="BW99" i="16" s="1"/>
  <c r="BT4" i="16" a="1"/>
  <c r="BT4" i="16" s="1"/>
  <c r="BT6" i="16" a="1"/>
  <c r="BT6" i="16" s="1"/>
  <c r="BT7" i="16" a="1"/>
  <c r="BT7" i="16" s="1"/>
  <c r="BT14" i="16" a="1"/>
  <c r="BT14" i="16" s="1"/>
  <c r="BT8" i="16" a="1"/>
  <c r="BT8" i="16" s="1"/>
  <c r="BT16" i="16" a="1"/>
  <c r="BT16" i="16" s="1"/>
  <c r="BT18" i="16" a="1"/>
  <c r="BT18" i="16" s="1"/>
  <c r="BT17" i="16" a="1"/>
  <c r="BT17" i="16" s="1"/>
  <c r="BT11" i="16" a="1"/>
  <c r="BT11" i="16" s="1"/>
  <c r="BT22" i="16" a="1"/>
  <c r="BT22" i="16" s="1"/>
  <c r="BT23" i="16" a="1"/>
  <c r="BT23" i="16" s="1"/>
  <c r="BT28" i="16" a="1"/>
  <c r="BT28" i="16" s="1"/>
  <c r="BT9" i="16" a="1"/>
  <c r="BT9" i="16" s="1"/>
  <c r="BT13" i="16" a="1"/>
  <c r="BT13" i="16" s="1"/>
  <c r="BT20" i="16" a="1"/>
  <c r="BT20" i="16" s="1"/>
  <c r="BT32" i="16" a="1"/>
  <c r="BT32" i="16" s="1"/>
  <c r="BT33" i="16" a="1"/>
  <c r="BT33" i="16" s="1"/>
  <c r="BT31" i="16" a="1"/>
  <c r="BT31" i="16" s="1"/>
  <c r="BT12" i="16" a="1"/>
  <c r="BT12" i="16" s="1"/>
  <c r="BT39" i="16" a="1"/>
  <c r="BT39" i="16" s="1"/>
  <c r="BT35" i="16" a="1"/>
  <c r="BT35" i="16" s="1"/>
  <c r="BT36" i="16" a="1"/>
  <c r="BT36" i="16" s="1"/>
  <c r="BT34" i="16" a="1"/>
  <c r="BT34" i="16" s="1"/>
  <c r="BT25" i="16" a="1"/>
  <c r="BT25" i="16" s="1"/>
  <c r="BT26" i="16" a="1"/>
  <c r="BT26" i="16" s="1"/>
  <c r="BT43" i="16" a="1"/>
  <c r="BT43" i="16" s="1"/>
  <c r="BT37" i="16" a="1"/>
  <c r="BT37" i="16" s="1"/>
  <c r="BT27" i="16" a="1"/>
  <c r="BT27" i="16" s="1"/>
  <c r="BT24" i="16" a="1"/>
  <c r="BT24" i="16" s="1"/>
  <c r="BT29" i="16" a="1"/>
  <c r="BT29" i="16" s="1"/>
  <c r="BT44" i="16" a="1"/>
  <c r="BT44" i="16" s="1"/>
  <c r="BT45" i="16" a="1"/>
  <c r="BT45" i="16" s="1"/>
  <c r="BT42" i="16" a="1"/>
  <c r="BT42" i="16" s="1"/>
  <c r="BT48" i="16" a="1"/>
  <c r="BT48" i="16" s="1"/>
  <c r="BT52" i="16" a="1"/>
  <c r="BT52" i="16" s="1"/>
  <c r="BT19" i="16" a="1"/>
  <c r="BT19" i="16" s="1"/>
  <c r="BT50" i="16" a="1"/>
  <c r="BT50" i="16" s="1"/>
  <c r="BT38" i="16" a="1"/>
  <c r="BT38" i="16" s="1"/>
  <c r="BT47" i="16" a="1"/>
  <c r="BT47" i="16" s="1"/>
  <c r="BT30" i="16" a="1"/>
  <c r="BT30" i="16" s="1"/>
  <c r="BT46" i="16" a="1"/>
  <c r="BT46" i="16" s="1"/>
  <c r="BT40" i="16" a="1"/>
  <c r="BT40" i="16" s="1"/>
  <c r="BT41" i="16" a="1"/>
  <c r="BT41" i="16" s="1"/>
  <c r="BT49" i="16" a="1"/>
  <c r="BT49" i="16" s="1"/>
  <c r="BT51" i="16" a="1"/>
  <c r="BT51" i="16" s="1"/>
  <c r="BT63" i="16" a="1"/>
  <c r="BT63" i="16" s="1"/>
  <c r="BT65" i="16" a="1"/>
  <c r="BT65" i="16" s="1"/>
  <c r="BT10" i="16" a="1"/>
  <c r="BT10" i="16" s="1"/>
  <c r="BT56" i="16" a="1"/>
  <c r="BT56" i="16" s="1"/>
  <c r="BT85" i="16" a="1"/>
  <c r="BT85" i="16" s="1"/>
  <c r="BT72" i="16" a="1"/>
  <c r="BT72" i="16" s="1"/>
  <c r="BT73" i="16" a="1"/>
  <c r="BT73" i="16" s="1"/>
  <c r="BT71" i="16" a="1"/>
  <c r="BT71" i="16" s="1"/>
  <c r="BT74" i="16" a="1"/>
  <c r="BT74" i="16" s="1"/>
  <c r="BT57" i="16" a="1"/>
  <c r="BT57" i="16" s="1"/>
  <c r="BT59" i="16" a="1"/>
  <c r="BT59" i="16" s="1"/>
  <c r="BT64" i="16" a="1"/>
  <c r="BT64" i="16" s="1"/>
  <c r="BT75" i="16" a="1"/>
  <c r="BT75" i="16" s="1"/>
  <c r="BT53" i="16" a="1"/>
  <c r="BT53" i="16" s="1"/>
  <c r="BT62" i="16" a="1"/>
  <c r="BT62" i="16" s="1"/>
  <c r="BT54" i="16" a="1"/>
  <c r="BT54" i="16" s="1"/>
  <c r="BT78" i="16" a="1"/>
  <c r="BT78" i="16" s="1"/>
  <c r="BT55" i="16" a="1"/>
  <c r="BT55" i="16" s="1"/>
  <c r="BT58" i="16" a="1"/>
  <c r="BT58" i="16" s="1"/>
  <c r="BT66" i="16" a="1"/>
  <c r="BT66" i="16" s="1"/>
  <c r="BT83" i="16" a="1"/>
  <c r="BT83" i="16" s="1"/>
  <c r="BT84" i="16" a="1"/>
  <c r="BT84" i="16" s="1"/>
  <c r="BT67" i="16" a="1"/>
  <c r="BT67" i="16" s="1"/>
  <c r="BT15" i="16" a="1"/>
  <c r="BT15" i="16" s="1"/>
  <c r="BT90" i="16" a="1"/>
  <c r="BT90" i="16" s="1"/>
  <c r="BT91" i="16" a="1"/>
  <c r="BT91" i="16" s="1"/>
  <c r="BT92" i="16" a="1"/>
  <c r="BT92" i="16" s="1"/>
  <c r="BT69" i="16" a="1"/>
  <c r="BT69" i="16" s="1"/>
  <c r="BT70" i="16" a="1"/>
  <c r="BT70" i="16" s="1"/>
  <c r="BT82" i="16" a="1"/>
  <c r="BT82" i="16" s="1"/>
  <c r="BT95" i="16" a="1"/>
  <c r="BT95" i="16" s="1"/>
  <c r="BT68" i="16" a="1"/>
  <c r="BT68" i="16" s="1"/>
  <c r="BT21" i="16" a="1"/>
  <c r="BT21" i="16" s="1"/>
  <c r="BT77" i="16" a="1"/>
  <c r="BT77" i="16" s="1"/>
  <c r="BT101" i="16" a="1"/>
  <c r="BT101" i="16" s="1"/>
  <c r="BT76" i="16" a="1"/>
  <c r="BT76" i="16" s="1"/>
  <c r="BT60" i="16" a="1"/>
  <c r="BT60" i="16" s="1"/>
  <c r="BT79" i="16" a="1"/>
  <c r="BT79" i="16" s="1"/>
  <c r="BT80" i="16" a="1"/>
  <c r="BT80" i="16" s="1"/>
  <c r="BT61" i="16" a="1"/>
  <c r="BT61" i="16" s="1"/>
  <c r="BT100" i="16" a="1"/>
  <c r="BT100" i="16" s="1"/>
  <c r="BT89" i="16" a="1"/>
  <c r="BT89" i="16" s="1"/>
  <c r="BT86" i="16" a="1"/>
  <c r="BT86" i="16" s="1"/>
  <c r="BT87" i="16" a="1"/>
  <c r="BT87" i="16" s="1"/>
  <c r="BT88" i="16" a="1"/>
  <c r="BT88" i="16" s="1"/>
  <c r="BT93" i="16" a="1"/>
  <c r="BT93" i="16" s="1"/>
  <c r="BT81" i="16" a="1"/>
  <c r="BT81" i="16" s="1"/>
  <c r="BT102" i="16" a="1"/>
  <c r="BT102" i="16" s="1"/>
  <c r="BT94" i="16" a="1"/>
  <c r="BT94" i="16" s="1"/>
  <c r="BT96" i="16" a="1"/>
  <c r="BT96" i="16" s="1"/>
  <c r="BT103" i="16" a="1"/>
  <c r="BT103" i="16" s="1"/>
  <c r="BT97" i="16" a="1"/>
  <c r="BT97" i="16" s="1"/>
  <c r="BT98" i="16" a="1"/>
  <c r="BT98" i="16" s="1"/>
  <c r="BT99" i="16" a="1"/>
  <c r="BT99" i="16" s="1"/>
  <c r="AT4" i="16" a="1"/>
  <c r="AT4" i="16" s="1"/>
  <c r="AT6" i="16" a="1"/>
  <c r="AT6" i="16" s="1"/>
  <c r="AT7" i="16" a="1"/>
  <c r="AT7" i="16" s="1"/>
  <c r="AT14" i="16" a="1"/>
  <c r="AT14" i="16" s="1"/>
  <c r="AT8" i="16" a="1"/>
  <c r="AT8" i="16" s="1"/>
  <c r="AT16" i="16" a="1"/>
  <c r="AT16" i="16" s="1"/>
  <c r="AT18" i="16" a="1"/>
  <c r="AT18" i="16" s="1"/>
  <c r="AT17" i="16" a="1"/>
  <c r="AT17" i="16" s="1"/>
  <c r="AT11" i="16" a="1"/>
  <c r="AT11" i="16" s="1"/>
  <c r="AT22" i="16" a="1"/>
  <c r="AT22" i="16" s="1"/>
  <c r="AT23" i="16" a="1"/>
  <c r="AT23" i="16" s="1"/>
  <c r="AT28" i="16" a="1"/>
  <c r="AT28" i="16" s="1"/>
  <c r="AT9" i="16" a="1"/>
  <c r="AT9" i="16" s="1"/>
  <c r="AT13" i="16" a="1"/>
  <c r="AT13" i="16" s="1"/>
  <c r="AT20" i="16" a="1"/>
  <c r="AT20" i="16" s="1"/>
  <c r="AT32" i="16" a="1"/>
  <c r="AT32" i="16" s="1"/>
  <c r="AT33" i="16" a="1"/>
  <c r="AT33" i="16" s="1"/>
  <c r="AT31" i="16" a="1"/>
  <c r="AT31" i="16" s="1"/>
  <c r="AT12" i="16" a="1"/>
  <c r="AT12" i="16" s="1"/>
  <c r="AT39" i="16" a="1"/>
  <c r="AT39" i="16" s="1"/>
  <c r="AT35" i="16" a="1"/>
  <c r="AT35" i="16" s="1"/>
  <c r="AT36" i="16" a="1"/>
  <c r="AT36" i="16" s="1"/>
  <c r="AT34" i="16" a="1"/>
  <c r="AT34" i="16" s="1"/>
  <c r="AT25" i="16" a="1"/>
  <c r="AT25" i="16" s="1"/>
  <c r="AT26" i="16" a="1"/>
  <c r="AT26" i="16" s="1"/>
  <c r="AT43" i="16" a="1"/>
  <c r="AT43" i="16" s="1"/>
  <c r="AT37" i="16" a="1"/>
  <c r="AT37" i="16" s="1"/>
  <c r="AT27" i="16" a="1"/>
  <c r="AT27" i="16" s="1"/>
  <c r="AT24" i="16" a="1"/>
  <c r="AT24" i="16" s="1"/>
  <c r="AT29" i="16" a="1"/>
  <c r="AT29" i="16" s="1"/>
  <c r="AT44" i="16" a="1"/>
  <c r="AT44" i="16" s="1"/>
  <c r="AT45" i="16" a="1"/>
  <c r="AT45" i="16" s="1"/>
  <c r="AT42" i="16" a="1"/>
  <c r="AT42" i="16" s="1"/>
  <c r="AT48" i="16" a="1"/>
  <c r="AT48" i="16" s="1"/>
  <c r="AT52" i="16" a="1"/>
  <c r="AT52" i="16" s="1"/>
  <c r="AT19" i="16" a="1"/>
  <c r="AT19" i="16" s="1"/>
  <c r="AT50" i="16" a="1"/>
  <c r="AT50" i="16" s="1"/>
  <c r="AT38" i="16" a="1"/>
  <c r="AT38" i="16" s="1"/>
  <c r="AT47" i="16" a="1"/>
  <c r="AT47" i="16" s="1"/>
  <c r="AT30" i="16" a="1"/>
  <c r="AT30" i="16" s="1"/>
  <c r="AT46" i="16" a="1"/>
  <c r="AT46" i="16" s="1"/>
  <c r="AT40" i="16" a="1"/>
  <c r="AT40" i="16" s="1"/>
  <c r="AT41" i="16" a="1"/>
  <c r="AT41" i="16" s="1"/>
  <c r="AT49" i="16" a="1"/>
  <c r="AT49" i="16" s="1"/>
  <c r="AT51" i="16" a="1"/>
  <c r="AT51" i="16" s="1"/>
  <c r="AT63" i="16" a="1"/>
  <c r="AT63" i="16" s="1"/>
  <c r="AT65" i="16" a="1"/>
  <c r="AT65" i="16" s="1"/>
  <c r="AT10" i="16" a="1"/>
  <c r="AT10" i="16" s="1"/>
  <c r="AT56" i="16" a="1"/>
  <c r="AT56" i="16" s="1"/>
  <c r="AT85" i="16" a="1"/>
  <c r="AT85" i="16" s="1"/>
  <c r="AT72" i="16" a="1"/>
  <c r="AT72" i="16" s="1"/>
  <c r="AT73" i="16" a="1"/>
  <c r="AT73" i="16" s="1"/>
  <c r="AT71" i="16" a="1"/>
  <c r="AT71" i="16" s="1"/>
  <c r="AT74" i="16" a="1"/>
  <c r="AT74" i="16" s="1"/>
  <c r="AT57" i="16" a="1"/>
  <c r="AT57" i="16" s="1"/>
  <c r="AT59" i="16" a="1"/>
  <c r="AT59" i="16" s="1"/>
  <c r="AT64" i="16" a="1"/>
  <c r="AT64" i="16" s="1"/>
  <c r="AT75" i="16" a="1"/>
  <c r="AT75" i="16" s="1"/>
  <c r="AT53" i="16" a="1"/>
  <c r="AT53" i="16" s="1"/>
  <c r="AT62" i="16" a="1"/>
  <c r="AT62" i="16" s="1"/>
  <c r="AT54" i="16" a="1"/>
  <c r="AT54" i="16" s="1"/>
  <c r="AT78" i="16" a="1"/>
  <c r="AT78" i="16" s="1"/>
  <c r="AT55" i="16" a="1"/>
  <c r="AT55" i="16" s="1"/>
  <c r="AT58" i="16" a="1"/>
  <c r="AT58" i="16" s="1"/>
  <c r="AT66" i="16" a="1"/>
  <c r="AT66" i="16" s="1"/>
  <c r="AT83" i="16" a="1"/>
  <c r="AT83" i="16" s="1"/>
  <c r="AT84" i="16" a="1"/>
  <c r="AT84" i="16" s="1"/>
  <c r="AT67" i="16" a="1"/>
  <c r="AT67" i="16" s="1"/>
  <c r="AT15" i="16" a="1"/>
  <c r="AT15" i="16" s="1"/>
  <c r="AT90" i="16" a="1"/>
  <c r="AT90" i="16" s="1"/>
  <c r="AT91" i="16" a="1"/>
  <c r="AT91" i="16" s="1"/>
  <c r="AT92" i="16" a="1"/>
  <c r="AT92" i="16" s="1"/>
  <c r="AT69" i="16" a="1"/>
  <c r="AT69" i="16" s="1"/>
  <c r="AT70" i="16" a="1"/>
  <c r="AT70" i="16" s="1"/>
  <c r="AT82" i="16" a="1"/>
  <c r="AT82" i="16" s="1"/>
  <c r="AT95" i="16" a="1"/>
  <c r="AT95" i="16" s="1"/>
  <c r="AT68" i="16" a="1"/>
  <c r="AT68" i="16" s="1"/>
  <c r="AT21" i="16" a="1"/>
  <c r="AT21" i="16" s="1"/>
  <c r="AT77" i="16" a="1"/>
  <c r="AT77" i="16" s="1"/>
  <c r="AT101" i="16" a="1"/>
  <c r="AT101" i="16" s="1"/>
  <c r="AT76" i="16" a="1"/>
  <c r="AT76" i="16" s="1"/>
  <c r="AT60" i="16" a="1"/>
  <c r="AT60" i="16" s="1"/>
  <c r="AT79" i="16" a="1"/>
  <c r="AT79" i="16" s="1"/>
  <c r="AT80" i="16" a="1"/>
  <c r="AT80" i="16" s="1"/>
  <c r="AT61" i="16" a="1"/>
  <c r="AT61" i="16" s="1"/>
  <c r="AT100" i="16" a="1"/>
  <c r="AT100" i="16" s="1"/>
  <c r="AT89" i="16" a="1"/>
  <c r="AT89" i="16" s="1"/>
  <c r="AT86" i="16" a="1"/>
  <c r="AT86" i="16" s="1"/>
  <c r="AT87" i="16" a="1"/>
  <c r="AT87" i="16" s="1"/>
  <c r="AT88" i="16" a="1"/>
  <c r="AT88" i="16" s="1"/>
  <c r="AT93" i="16" a="1"/>
  <c r="AT93" i="16" s="1"/>
  <c r="AT81" i="16" a="1"/>
  <c r="AT81" i="16" s="1"/>
  <c r="AT102" i="16" a="1"/>
  <c r="AT102" i="16" s="1"/>
  <c r="AT94" i="16" a="1"/>
  <c r="AT94" i="16" s="1"/>
  <c r="AT96" i="16" a="1"/>
  <c r="AT96" i="16" s="1"/>
  <c r="AT103" i="16" a="1"/>
  <c r="AT103" i="16" s="1"/>
  <c r="AT97" i="16" a="1"/>
  <c r="AT97" i="16" s="1"/>
  <c r="AT98" i="16" a="1"/>
  <c r="AT98" i="16" s="1"/>
  <c r="AT99" i="16" a="1"/>
  <c r="AT99" i="16" s="1"/>
  <c r="DD99" i="16" a="1"/>
  <c r="DD99" i="16" s="1"/>
  <c r="DD98" i="16" a="1"/>
  <c r="DD98" i="16" s="1"/>
  <c r="DD97" i="16" a="1"/>
  <c r="DD97" i="16" s="1"/>
  <c r="DD103" i="16" a="1"/>
  <c r="DD103" i="16" s="1"/>
  <c r="DD96" i="16" a="1"/>
  <c r="DD96" i="16" s="1"/>
  <c r="DD94" i="16" a="1"/>
  <c r="DD94" i="16" s="1"/>
  <c r="DD102" i="16" a="1"/>
  <c r="DD102" i="16" s="1"/>
  <c r="DD81" i="16" a="1"/>
  <c r="DD81" i="16" s="1"/>
  <c r="DD93" i="16" a="1"/>
  <c r="DD93" i="16" s="1"/>
  <c r="DD88" i="16" a="1"/>
  <c r="DD88" i="16" s="1"/>
  <c r="DD87" i="16" a="1"/>
  <c r="DD87" i="16" s="1"/>
  <c r="DD86" i="16" a="1"/>
  <c r="DD86" i="16" s="1"/>
  <c r="DD89" i="16" a="1"/>
  <c r="DD89" i="16" s="1"/>
  <c r="DD100" i="16" a="1"/>
  <c r="DD100" i="16" s="1"/>
  <c r="DD61" i="16" a="1"/>
  <c r="DD61" i="16" s="1"/>
  <c r="DD80" i="16" a="1"/>
  <c r="DD80" i="16" s="1"/>
  <c r="DD79" i="16" a="1"/>
  <c r="DD79" i="16" s="1"/>
  <c r="DD60" i="16" a="1"/>
  <c r="DD60" i="16" s="1"/>
  <c r="DD76" i="16" a="1"/>
  <c r="DD76" i="16" s="1"/>
  <c r="DD101" i="16" a="1"/>
  <c r="DD101" i="16" s="1"/>
  <c r="DD77" i="16" a="1"/>
  <c r="DD77" i="16" s="1"/>
  <c r="DD21" i="16" a="1"/>
  <c r="DD21" i="16" s="1"/>
  <c r="DD68" i="16" a="1"/>
  <c r="DD68" i="16" s="1"/>
  <c r="DD95" i="16" a="1"/>
  <c r="DD95" i="16" s="1"/>
  <c r="DD82" i="16" a="1"/>
  <c r="DD82" i="16" s="1"/>
  <c r="DD70" i="16" a="1"/>
  <c r="DD70" i="16" s="1"/>
  <c r="DD69" i="16" a="1"/>
  <c r="DD69" i="16" s="1"/>
  <c r="DD92" i="16" a="1"/>
  <c r="DD92" i="16" s="1"/>
  <c r="DD91" i="16" a="1"/>
  <c r="DD91" i="16" s="1"/>
  <c r="DD90" i="16" a="1"/>
  <c r="DD90" i="16" s="1"/>
  <c r="DD15" i="16" a="1"/>
  <c r="DD15" i="16" s="1"/>
  <c r="DD67" i="16" a="1"/>
  <c r="DD67" i="16" s="1"/>
  <c r="DD84" i="16" a="1"/>
  <c r="DD84" i="16" s="1"/>
  <c r="DD83" i="16" a="1"/>
  <c r="DD83" i="16" s="1"/>
  <c r="DD66" i="16" a="1"/>
  <c r="DD66" i="16" s="1"/>
  <c r="DD58" i="16" a="1"/>
  <c r="DD58" i="16" s="1"/>
  <c r="DD55" i="16" a="1"/>
  <c r="DD55" i="16" s="1"/>
  <c r="DD78" i="16" a="1"/>
  <c r="DD78" i="16" s="1"/>
  <c r="DD54" i="16" a="1"/>
  <c r="DD54" i="16" s="1"/>
  <c r="DD62" i="16" a="1"/>
  <c r="DD62" i="16" s="1"/>
  <c r="DD53" i="16" a="1"/>
  <c r="DD53" i="16" s="1"/>
  <c r="DD75" i="16" a="1"/>
  <c r="DD75" i="16" s="1"/>
  <c r="DD64" i="16" a="1"/>
  <c r="DD64" i="16" s="1"/>
  <c r="DD59" i="16" a="1"/>
  <c r="DD59" i="16" s="1"/>
  <c r="DD57" i="16" a="1"/>
  <c r="DD57" i="16" s="1"/>
  <c r="DD74" i="16" a="1"/>
  <c r="DD74" i="16" s="1"/>
  <c r="DD71" i="16" a="1"/>
  <c r="DD71" i="16" s="1"/>
  <c r="DD73" i="16" a="1"/>
  <c r="DD73" i="16" s="1"/>
  <c r="DD72" i="16" a="1"/>
  <c r="DD72" i="16" s="1"/>
  <c r="DD85" i="16" a="1"/>
  <c r="DD85" i="16" s="1"/>
  <c r="DD56" i="16" a="1"/>
  <c r="DD56" i="16" s="1"/>
  <c r="DD10" i="16" a="1"/>
  <c r="DD10" i="16" s="1"/>
  <c r="DD65" i="16" a="1"/>
  <c r="DD65" i="16" s="1"/>
  <c r="DD63" i="16" a="1"/>
  <c r="DD63" i="16" s="1"/>
  <c r="DD51" i="16" a="1"/>
  <c r="DD51" i="16" s="1"/>
  <c r="DD49" i="16" a="1"/>
  <c r="DD49" i="16" s="1"/>
  <c r="DD38" i="16" a="1"/>
  <c r="DD38" i="16" s="1"/>
  <c r="DD41" i="16" a="1"/>
  <c r="DD41" i="16" s="1"/>
  <c r="DD40" i="16" a="1"/>
  <c r="DD40" i="16" s="1"/>
  <c r="DD46" i="16" a="1"/>
  <c r="DD46" i="16" s="1"/>
  <c r="DD30" i="16" a="1"/>
  <c r="DD30" i="16" s="1"/>
  <c r="DD47" i="16" a="1"/>
  <c r="DD47" i="16" s="1"/>
  <c r="DD52" i="16" a="1"/>
  <c r="DD52" i="16" s="1"/>
  <c r="DD19" i="16" a="1"/>
  <c r="DD19" i="16" s="1"/>
  <c r="DD25" i="16" a="1"/>
  <c r="DD25" i="16" s="1"/>
  <c r="DD50" i="16" a="1"/>
  <c r="DD50" i="16" s="1"/>
  <c r="DD27" i="16" a="1"/>
  <c r="DD27" i="16" s="1"/>
  <c r="DD48" i="16" a="1"/>
  <c r="DD48" i="16" s="1"/>
  <c r="DD42" i="16" a="1"/>
  <c r="DD42" i="16" s="1"/>
  <c r="DD45" i="16" a="1"/>
  <c r="DD45" i="16" s="1"/>
  <c r="DD26" i="16" a="1"/>
  <c r="DD26" i="16" s="1"/>
  <c r="DD44" i="16" a="1"/>
  <c r="DD44" i="16" s="1"/>
  <c r="DD29" i="16" a="1"/>
  <c r="DD29" i="16" s="1"/>
  <c r="DD37" i="16" a="1"/>
  <c r="DD37" i="16" s="1"/>
  <c r="DD43" i="16" a="1"/>
  <c r="DD43" i="16" s="1"/>
  <c r="DD12" i="16" a="1"/>
  <c r="DD12" i="16" s="1"/>
  <c r="DD24" i="16" a="1"/>
  <c r="DD24" i="16" s="1"/>
  <c r="DD22" i="16" a="1"/>
  <c r="DD22" i="16" s="1"/>
  <c r="DD20" i="16" a="1"/>
  <c r="DD20" i="16" s="1"/>
  <c r="DD34" i="16" a="1"/>
  <c r="DD34" i="16" s="1"/>
  <c r="DD36" i="16" a="1"/>
  <c r="DD36" i="16" s="1"/>
  <c r="DD35" i="16" a="1"/>
  <c r="DD35" i="16" s="1"/>
  <c r="DD39" i="16" a="1"/>
  <c r="DD39" i="16" s="1"/>
  <c r="DD13" i="16" a="1"/>
  <c r="DD13" i="16" s="1"/>
  <c r="DD11" i="16" a="1"/>
  <c r="DD11" i="16" s="1"/>
  <c r="DD17" i="16" a="1"/>
  <c r="DD17" i="16" s="1"/>
  <c r="DD31" i="16" a="1"/>
  <c r="DD31" i="16" s="1"/>
  <c r="DD33" i="16" a="1"/>
  <c r="DD33" i="16" s="1"/>
  <c r="DD32" i="16" a="1"/>
  <c r="DD32" i="16" s="1"/>
  <c r="DD23" i="16" a="1"/>
  <c r="DD23" i="16" s="1"/>
  <c r="DD9" i="16" a="1"/>
  <c r="DD9" i="16" s="1"/>
  <c r="DD16" i="16" a="1"/>
  <c r="DD16" i="16" s="1"/>
  <c r="DD28" i="16" a="1"/>
  <c r="DD28" i="16" s="1"/>
  <c r="DD18" i="16" a="1"/>
  <c r="DD18" i="16" s="1"/>
  <c r="DD8" i="16" a="1"/>
  <c r="DD8" i="16" s="1"/>
  <c r="DD7" i="16" a="1"/>
  <c r="DD7" i="16" s="1"/>
  <c r="DD4" i="16" a="1"/>
  <c r="DD4" i="16" s="1"/>
  <c r="DD14" i="16" a="1"/>
  <c r="DD14" i="16" s="1"/>
  <c r="DD6" i="16" a="1"/>
  <c r="DD6" i="16" s="1"/>
  <c r="DS6" i="16" a="1"/>
  <c r="DS6" i="16" s="1"/>
  <c r="DS7" i="16" a="1"/>
  <c r="DS7" i="16" s="1"/>
  <c r="DS4" i="16" a="1"/>
  <c r="DS4" i="16" s="1"/>
  <c r="DS14" i="16" a="1"/>
  <c r="DS14" i="16" s="1"/>
  <c r="DS8" i="16" a="1"/>
  <c r="DS8" i="16" s="1"/>
  <c r="DS28" i="16" a="1"/>
  <c r="DS28" i="16" s="1"/>
  <c r="DS18" i="16" a="1"/>
  <c r="DS18" i="16" s="1"/>
  <c r="DS9" i="16" a="1"/>
  <c r="DS9" i="16" s="1"/>
  <c r="DS16" i="16" a="1"/>
  <c r="DS16" i="16" s="1"/>
  <c r="DS23" i="16" a="1"/>
  <c r="DS23" i="16" s="1"/>
  <c r="DS22" i="16" a="1"/>
  <c r="DS22" i="16" s="1"/>
  <c r="DS26" i="16" a="1"/>
  <c r="DS26" i="16" s="1"/>
  <c r="DS20" i="16" a="1"/>
  <c r="DS20" i="16" s="1"/>
  <c r="DS24" i="16" a="1"/>
  <c r="DS24" i="16" s="1"/>
  <c r="DS47" i="16" a="1"/>
  <c r="DS47" i="16" s="1"/>
  <c r="DS11" i="16" a="1"/>
  <c r="DS11" i="16" s="1"/>
  <c r="DS17" i="16" a="1"/>
  <c r="DS17" i="16" s="1"/>
  <c r="DS29" i="16" a="1"/>
  <c r="DS29" i="16" s="1"/>
  <c r="DS12" i="16" a="1"/>
  <c r="DS12" i="16" s="1"/>
  <c r="DS31" i="16" a="1"/>
  <c r="DS31" i="16" s="1"/>
  <c r="DS33" i="16" a="1"/>
  <c r="DS33" i="16" s="1"/>
  <c r="DS32" i="16" a="1"/>
  <c r="DS32" i="16" s="1"/>
  <c r="DS35" i="16" a="1"/>
  <c r="DS35" i="16" s="1"/>
  <c r="DS36" i="16" a="1"/>
  <c r="DS36" i="16" s="1"/>
  <c r="DS34" i="16" a="1"/>
  <c r="DS34" i="16" s="1"/>
  <c r="DS39" i="16" a="1"/>
  <c r="DS39" i="16" s="1"/>
  <c r="DS43" i="16" a="1"/>
  <c r="DS43" i="16" s="1"/>
  <c r="DS13" i="16" a="1"/>
  <c r="DS13" i="16" s="1"/>
  <c r="DS42" i="16" a="1"/>
  <c r="DS42" i="16" s="1"/>
  <c r="DS37" i="16" a="1"/>
  <c r="DS37" i="16" s="1"/>
  <c r="DS44" i="16" a="1"/>
  <c r="DS44" i="16" s="1"/>
  <c r="DS25" i="16" a="1"/>
  <c r="DS25" i="16" s="1"/>
  <c r="DS45" i="16" a="1"/>
  <c r="DS45" i="16" s="1"/>
  <c r="DS48" i="16" a="1"/>
  <c r="DS48" i="16" s="1"/>
  <c r="DS30" i="16" a="1"/>
  <c r="DS30" i="16" s="1"/>
  <c r="DS19" i="16" a="1"/>
  <c r="DS19" i="16" s="1"/>
  <c r="DS50" i="16" a="1"/>
  <c r="DS50" i="16" s="1"/>
  <c r="DS46" i="16" a="1"/>
  <c r="DS46" i="16" s="1"/>
  <c r="DS27" i="16" a="1"/>
  <c r="DS27" i="16" s="1"/>
  <c r="DS52" i="16" a="1"/>
  <c r="DS52" i="16" s="1"/>
  <c r="DS40" i="16" a="1"/>
  <c r="DS40" i="16" s="1"/>
  <c r="DS41" i="16" a="1"/>
  <c r="DS41" i="16" s="1"/>
  <c r="DS38" i="16" a="1"/>
  <c r="DS38" i="16" s="1"/>
  <c r="DS49" i="16" a="1"/>
  <c r="DS49" i="16" s="1"/>
  <c r="DS51" i="16" a="1"/>
  <c r="DS51" i="16" s="1"/>
  <c r="DS63" i="16" a="1"/>
  <c r="DS63" i="16" s="1"/>
  <c r="DS10" i="16" a="1"/>
  <c r="DS10" i="16" s="1"/>
  <c r="DS56" i="16" a="1"/>
  <c r="DS56" i="16" s="1"/>
  <c r="DS71" i="16" a="1"/>
  <c r="DS71" i="16" s="1"/>
  <c r="DS72" i="16" a="1"/>
  <c r="DS72" i="16" s="1"/>
  <c r="DS73" i="16" a="1"/>
  <c r="DS73" i="16" s="1"/>
  <c r="DS65" i="16" a="1"/>
  <c r="DS65" i="16" s="1"/>
  <c r="DS54" i="16" a="1"/>
  <c r="DS54" i="16" s="1"/>
  <c r="DS55" i="16" a="1"/>
  <c r="DS55" i="16" s="1"/>
  <c r="DS85" i="16" a="1"/>
  <c r="DS85" i="16" s="1"/>
  <c r="DS58" i="16" a="1"/>
  <c r="DS58" i="16" s="1"/>
  <c r="DS62" i="16" a="1"/>
  <c r="DS62" i="16" s="1"/>
  <c r="DS15" i="16" a="1"/>
  <c r="DS15" i="16" s="1"/>
  <c r="DS53" i="16" a="1"/>
  <c r="DS53" i="16" s="1"/>
  <c r="DS57" i="16" a="1"/>
  <c r="DS57" i="16" s="1"/>
  <c r="DS78" i="16" a="1"/>
  <c r="DS78" i="16" s="1"/>
  <c r="DS74" i="16" a="1"/>
  <c r="DS74" i="16" s="1"/>
  <c r="DS59" i="16" a="1"/>
  <c r="DS59" i="16" s="1"/>
  <c r="DS67" i="16" a="1"/>
  <c r="DS67" i="16" s="1"/>
  <c r="DS82" i="16" a="1"/>
  <c r="DS82" i="16" s="1"/>
  <c r="DS69" i="16" a="1"/>
  <c r="DS69" i="16" s="1"/>
  <c r="DS64" i="16" a="1"/>
  <c r="DS64" i="16" s="1"/>
  <c r="DS75" i="16" a="1"/>
  <c r="DS75" i="16" s="1"/>
  <c r="DS76" i="16" a="1"/>
  <c r="DS76" i="16" s="1"/>
  <c r="DS21" i="16" a="1"/>
  <c r="DS21" i="16" s="1"/>
  <c r="DS66" i="16" a="1"/>
  <c r="DS66" i="16" s="1"/>
  <c r="DS83" i="16" a="1"/>
  <c r="DS83" i="16" s="1"/>
  <c r="DS84" i="16" a="1"/>
  <c r="DS84" i="16" s="1"/>
  <c r="DS100" i="16" a="1"/>
  <c r="DS100" i="16" s="1"/>
  <c r="DS70" i="16" a="1"/>
  <c r="DS70" i="16" s="1"/>
  <c r="DS90" i="16" a="1"/>
  <c r="DS90" i="16" s="1"/>
  <c r="DS91" i="16" a="1"/>
  <c r="DS91" i="16" s="1"/>
  <c r="DS92" i="16" a="1"/>
  <c r="DS92" i="16" s="1"/>
  <c r="DS68" i="16" a="1"/>
  <c r="DS68" i="16" s="1"/>
  <c r="DS77" i="16" a="1"/>
  <c r="DS77" i="16" s="1"/>
  <c r="DS60" i="16" a="1"/>
  <c r="DS60" i="16" s="1"/>
  <c r="DS79" i="16" a="1"/>
  <c r="DS79" i="16" s="1"/>
  <c r="DS80" i="16" a="1"/>
  <c r="DS80" i="16" s="1"/>
  <c r="DS61" i="16" a="1"/>
  <c r="DS61" i="16" s="1"/>
  <c r="DS95" i="16" a="1"/>
  <c r="DS95" i="16" s="1"/>
  <c r="DS86" i="16" a="1"/>
  <c r="DS86" i="16" s="1"/>
  <c r="DS89" i="16" a="1"/>
  <c r="DS89" i="16" s="1"/>
  <c r="DS101" i="16" a="1"/>
  <c r="DS101" i="16" s="1"/>
  <c r="DS96" i="16" a="1"/>
  <c r="DS96" i="16" s="1"/>
  <c r="DS87" i="16" a="1"/>
  <c r="DS87" i="16" s="1"/>
  <c r="DS88" i="16" a="1"/>
  <c r="DS88" i="16" s="1"/>
  <c r="DS93" i="16" a="1"/>
  <c r="DS93" i="16" s="1"/>
  <c r="DS102" i="16" a="1"/>
  <c r="DS102" i="16" s="1"/>
  <c r="DS94" i="16" a="1"/>
  <c r="DS94" i="16" s="1"/>
  <c r="DS81" i="16" a="1"/>
  <c r="DS81" i="16" s="1"/>
  <c r="DS97" i="16" a="1"/>
  <c r="DS97" i="16" s="1"/>
  <c r="DS103" i="16" a="1"/>
  <c r="DS103" i="16" s="1"/>
  <c r="DS98" i="16" a="1"/>
  <c r="DS98" i="16" s="1"/>
  <c r="DS99" i="16" a="1"/>
  <c r="DS99" i="16" s="1"/>
  <c r="DP6" i="16" a="1"/>
  <c r="DP6" i="16" s="1"/>
  <c r="DP7" i="16" a="1"/>
  <c r="DP7" i="16" s="1"/>
  <c r="DP4" i="16" a="1"/>
  <c r="DP4" i="16" s="1"/>
  <c r="DP14" i="16" a="1"/>
  <c r="DP14" i="16" s="1"/>
  <c r="DP8" i="16" a="1"/>
  <c r="DP8" i="16" s="1"/>
  <c r="DP28" i="16" a="1"/>
  <c r="DP28" i="16" s="1"/>
  <c r="DP18" i="16" a="1"/>
  <c r="DP18" i="16" s="1"/>
  <c r="DP9" i="16" a="1"/>
  <c r="DP9" i="16" s="1"/>
  <c r="DP16" i="16" a="1"/>
  <c r="DP16" i="16" s="1"/>
  <c r="DP23" i="16" a="1"/>
  <c r="DP23" i="16" s="1"/>
  <c r="DP22" i="16" a="1"/>
  <c r="DP22" i="16" s="1"/>
  <c r="DP26" i="16" a="1"/>
  <c r="DP26" i="16" s="1"/>
  <c r="DP20" i="16" a="1"/>
  <c r="DP20" i="16" s="1"/>
  <c r="DP24" i="16" a="1"/>
  <c r="DP24" i="16" s="1"/>
  <c r="DP47" i="16" a="1"/>
  <c r="DP47" i="16" s="1"/>
  <c r="DP11" i="16" a="1"/>
  <c r="DP11" i="16" s="1"/>
  <c r="DP17" i="16" a="1"/>
  <c r="DP17" i="16" s="1"/>
  <c r="DP29" i="16" a="1"/>
  <c r="DP29" i="16" s="1"/>
  <c r="DP12" i="16" a="1"/>
  <c r="DP12" i="16" s="1"/>
  <c r="DP31" i="16" a="1"/>
  <c r="DP31" i="16" s="1"/>
  <c r="DP33" i="16" a="1"/>
  <c r="DP33" i="16" s="1"/>
  <c r="DP32" i="16" a="1"/>
  <c r="DP32" i="16" s="1"/>
  <c r="DP35" i="16" a="1"/>
  <c r="DP35" i="16" s="1"/>
  <c r="DP36" i="16" a="1"/>
  <c r="DP36" i="16" s="1"/>
  <c r="DP34" i="16" a="1"/>
  <c r="DP34" i="16" s="1"/>
  <c r="DP39" i="16" a="1"/>
  <c r="DP39" i="16" s="1"/>
  <c r="DP43" i="16" a="1"/>
  <c r="DP43" i="16" s="1"/>
  <c r="DP13" i="16" a="1"/>
  <c r="DP13" i="16" s="1"/>
  <c r="DP42" i="16" a="1"/>
  <c r="DP42" i="16" s="1"/>
  <c r="DP37" i="16" a="1"/>
  <c r="DP37" i="16" s="1"/>
  <c r="DP44" i="16" a="1"/>
  <c r="DP44" i="16" s="1"/>
  <c r="DP25" i="16" a="1"/>
  <c r="DP25" i="16" s="1"/>
  <c r="DP45" i="16" a="1"/>
  <c r="DP45" i="16" s="1"/>
  <c r="DP48" i="16" a="1"/>
  <c r="DP48" i="16" s="1"/>
  <c r="DP30" i="16" a="1"/>
  <c r="DP30" i="16" s="1"/>
  <c r="DP19" i="16" a="1"/>
  <c r="DP19" i="16" s="1"/>
  <c r="DP50" i="16" a="1"/>
  <c r="DP50" i="16" s="1"/>
  <c r="DP46" i="16" a="1"/>
  <c r="DP46" i="16" s="1"/>
  <c r="DP27" i="16" a="1"/>
  <c r="DP27" i="16" s="1"/>
  <c r="DP52" i="16" a="1"/>
  <c r="DP52" i="16" s="1"/>
  <c r="DP40" i="16" a="1"/>
  <c r="DP40" i="16" s="1"/>
  <c r="DP41" i="16" a="1"/>
  <c r="DP41" i="16" s="1"/>
  <c r="DP38" i="16" a="1"/>
  <c r="DP38" i="16" s="1"/>
  <c r="DP49" i="16" a="1"/>
  <c r="DP49" i="16" s="1"/>
  <c r="DP51" i="16" a="1"/>
  <c r="DP51" i="16" s="1"/>
  <c r="DP63" i="16" a="1"/>
  <c r="DP63" i="16" s="1"/>
  <c r="DP10" i="16" a="1"/>
  <c r="DP10" i="16" s="1"/>
  <c r="DP56" i="16" a="1"/>
  <c r="DP56" i="16" s="1"/>
  <c r="DP71" i="16" a="1"/>
  <c r="DP71" i="16" s="1"/>
  <c r="DP72" i="16" a="1"/>
  <c r="DP72" i="16" s="1"/>
  <c r="DP73" i="16" a="1"/>
  <c r="DP73" i="16" s="1"/>
  <c r="DP65" i="16" a="1"/>
  <c r="DP65" i="16" s="1"/>
  <c r="DP54" i="16" a="1"/>
  <c r="DP54" i="16" s="1"/>
  <c r="DP55" i="16" a="1"/>
  <c r="DP55" i="16" s="1"/>
  <c r="DP85" i="16" a="1"/>
  <c r="DP85" i="16" s="1"/>
  <c r="DP58" i="16" a="1"/>
  <c r="DP58" i="16" s="1"/>
  <c r="DP62" i="16" a="1"/>
  <c r="DP62" i="16" s="1"/>
  <c r="DP15" i="16" a="1"/>
  <c r="DP15" i="16" s="1"/>
  <c r="DP53" i="16" a="1"/>
  <c r="DP53" i="16" s="1"/>
  <c r="DP57" i="16" a="1"/>
  <c r="DP57" i="16" s="1"/>
  <c r="DP78" i="16" a="1"/>
  <c r="DP78" i="16" s="1"/>
  <c r="DP74" i="16" a="1"/>
  <c r="DP74" i="16" s="1"/>
  <c r="DP59" i="16" a="1"/>
  <c r="DP59" i="16" s="1"/>
  <c r="DP67" i="16" a="1"/>
  <c r="DP67" i="16" s="1"/>
  <c r="DP82" i="16" a="1"/>
  <c r="DP82" i="16" s="1"/>
  <c r="DP69" i="16" a="1"/>
  <c r="DP69" i="16" s="1"/>
  <c r="DP64" i="16" a="1"/>
  <c r="DP64" i="16" s="1"/>
  <c r="DP75" i="16" a="1"/>
  <c r="DP75" i="16" s="1"/>
  <c r="DP76" i="16" a="1"/>
  <c r="DP76" i="16" s="1"/>
  <c r="DP21" i="16" a="1"/>
  <c r="DP21" i="16" s="1"/>
  <c r="DP66" i="16" a="1"/>
  <c r="DP66" i="16" s="1"/>
  <c r="DP83" i="16" a="1"/>
  <c r="DP83" i="16" s="1"/>
  <c r="DP84" i="16" a="1"/>
  <c r="DP84" i="16" s="1"/>
  <c r="DP100" i="16" a="1"/>
  <c r="DP100" i="16" s="1"/>
  <c r="DP70" i="16" a="1"/>
  <c r="DP70" i="16" s="1"/>
  <c r="DP90" i="16" a="1"/>
  <c r="DP90" i="16" s="1"/>
  <c r="DP91" i="16" a="1"/>
  <c r="DP91" i="16" s="1"/>
  <c r="DP92" i="16" a="1"/>
  <c r="DP92" i="16" s="1"/>
  <c r="DP68" i="16" a="1"/>
  <c r="DP68" i="16" s="1"/>
  <c r="DP77" i="16" a="1"/>
  <c r="DP77" i="16" s="1"/>
  <c r="DP60" i="16" a="1"/>
  <c r="DP60" i="16" s="1"/>
  <c r="DP79" i="16" a="1"/>
  <c r="DP79" i="16" s="1"/>
  <c r="DP80" i="16" a="1"/>
  <c r="DP80" i="16" s="1"/>
  <c r="DP61" i="16" a="1"/>
  <c r="DP61" i="16" s="1"/>
  <c r="DP95" i="16" a="1"/>
  <c r="DP95" i="16" s="1"/>
  <c r="DP86" i="16" a="1"/>
  <c r="DP86" i="16" s="1"/>
  <c r="DP89" i="16" a="1"/>
  <c r="DP89" i="16" s="1"/>
  <c r="DP101" i="16" a="1"/>
  <c r="DP101" i="16" s="1"/>
  <c r="DP96" i="16" a="1"/>
  <c r="DP96" i="16" s="1"/>
  <c r="DP87" i="16" a="1"/>
  <c r="DP87" i="16" s="1"/>
  <c r="DP88" i="16" a="1"/>
  <c r="DP88" i="16" s="1"/>
  <c r="DP93" i="16" a="1"/>
  <c r="DP93" i="16" s="1"/>
  <c r="DP102" i="16" a="1"/>
  <c r="DP102" i="16" s="1"/>
  <c r="DP94" i="16" a="1"/>
  <c r="DP94" i="16" s="1"/>
  <c r="DP81" i="16" a="1"/>
  <c r="DP81" i="16" s="1"/>
  <c r="DP97" i="16" a="1"/>
  <c r="DP97" i="16" s="1"/>
  <c r="DP103" i="16" a="1"/>
  <c r="DP103" i="16" s="1"/>
  <c r="DP98" i="16" a="1"/>
  <c r="DP98" i="16" s="1"/>
  <c r="DP99" i="16" a="1"/>
  <c r="DP99" i="16" s="1"/>
  <c r="DM6" i="16" a="1"/>
  <c r="DM6" i="16" s="1"/>
  <c r="DM7" i="16" a="1"/>
  <c r="DM7" i="16" s="1"/>
  <c r="DM4" i="16" a="1"/>
  <c r="DM4" i="16" s="1"/>
  <c r="DM14" i="16" a="1"/>
  <c r="DM14" i="16" s="1"/>
  <c r="DM8" i="16" a="1"/>
  <c r="DM8" i="16" s="1"/>
  <c r="DM28" i="16" a="1"/>
  <c r="DM28" i="16" s="1"/>
  <c r="DM18" i="16" a="1"/>
  <c r="DM18" i="16" s="1"/>
  <c r="DM9" i="16" a="1"/>
  <c r="DM9" i="16" s="1"/>
  <c r="DM16" i="16" a="1"/>
  <c r="DM16" i="16" s="1"/>
  <c r="DM23" i="16" a="1"/>
  <c r="DM23" i="16" s="1"/>
  <c r="DM22" i="16" a="1"/>
  <c r="DM22" i="16" s="1"/>
  <c r="DM26" i="16" a="1"/>
  <c r="DM26" i="16" s="1"/>
  <c r="DM20" i="16" a="1"/>
  <c r="DM20" i="16" s="1"/>
  <c r="DM24" i="16" a="1"/>
  <c r="DM24" i="16" s="1"/>
  <c r="DM47" i="16" a="1"/>
  <c r="DM47" i="16" s="1"/>
  <c r="DM11" i="16" a="1"/>
  <c r="DM11" i="16" s="1"/>
  <c r="DM17" i="16" a="1"/>
  <c r="DM17" i="16" s="1"/>
  <c r="DM29" i="16" a="1"/>
  <c r="DM29" i="16" s="1"/>
  <c r="DM12" i="16" a="1"/>
  <c r="DM12" i="16" s="1"/>
  <c r="DM31" i="16" a="1"/>
  <c r="DM31" i="16" s="1"/>
  <c r="DM33" i="16" a="1"/>
  <c r="DM33" i="16" s="1"/>
  <c r="DM32" i="16" a="1"/>
  <c r="DM32" i="16" s="1"/>
  <c r="DM35" i="16" a="1"/>
  <c r="DM35" i="16" s="1"/>
  <c r="DM36" i="16" a="1"/>
  <c r="DM36" i="16" s="1"/>
  <c r="DM34" i="16" a="1"/>
  <c r="DM34" i="16" s="1"/>
  <c r="DM39" i="16" a="1"/>
  <c r="DM39" i="16" s="1"/>
  <c r="DM43" i="16" a="1"/>
  <c r="DM43" i="16" s="1"/>
  <c r="DM13" i="16" a="1"/>
  <c r="DM13" i="16" s="1"/>
  <c r="DM42" i="16" a="1"/>
  <c r="DM42" i="16" s="1"/>
  <c r="DM37" i="16" a="1"/>
  <c r="DM37" i="16" s="1"/>
  <c r="DM44" i="16" a="1"/>
  <c r="DM44" i="16" s="1"/>
  <c r="DM25" i="16" a="1"/>
  <c r="DM25" i="16" s="1"/>
  <c r="DM45" i="16" a="1"/>
  <c r="DM45" i="16" s="1"/>
  <c r="DM48" i="16" a="1"/>
  <c r="DM48" i="16" s="1"/>
  <c r="DM30" i="16" a="1"/>
  <c r="DM30" i="16" s="1"/>
  <c r="DM19" i="16" a="1"/>
  <c r="DM19" i="16" s="1"/>
  <c r="DM50" i="16" a="1"/>
  <c r="DM50" i="16" s="1"/>
  <c r="DM46" i="16" a="1"/>
  <c r="DM46" i="16" s="1"/>
  <c r="DM27" i="16" a="1"/>
  <c r="DM27" i="16" s="1"/>
  <c r="DM52" i="16" a="1"/>
  <c r="DM52" i="16" s="1"/>
  <c r="DM40" i="16" a="1"/>
  <c r="DM40" i="16" s="1"/>
  <c r="DM41" i="16" a="1"/>
  <c r="DM41" i="16" s="1"/>
  <c r="DM38" i="16" a="1"/>
  <c r="DM38" i="16" s="1"/>
  <c r="DM49" i="16" a="1"/>
  <c r="DM49" i="16" s="1"/>
  <c r="DM51" i="16" a="1"/>
  <c r="DM51" i="16" s="1"/>
  <c r="DM63" i="16" a="1"/>
  <c r="DM63" i="16" s="1"/>
  <c r="DM10" i="16" a="1"/>
  <c r="DM10" i="16" s="1"/>
  <c r="DM56" i="16" a="1"/>
  <c r="DM56" i="16" s="1"/>
  <c r="DM71" i="16" a="1"/>
  <c r="DM71" i="16" s="1"/>
  <c r="DM72" i="16" a="1"/>
  <c r="DM72" i="16" s="1"/>
  <c r="DM73" i="16" a="1"/>
  <c r="DM73" i="16" s="1"/>
  <c r="DM65" i="16" a="1"/>
  <c r="DM65" i="16" s="1"/>
  <c r="DM54" i="16" a="1"/>
  <c r="DM54" i="16" s="1"/>
  <c r="DM55" i="16" a="1"/>
  <c r="DM55" i="16" s="1"/>
  <c r="DM85" i="16" a="1"/>
  <c r="DM85" i="16" s="1"/>
  <c r="DM58" i="16" a="1"/>
  <c r="DM58" i="16" s="1"/>
  <c r="DM62" i="16" a="1"/>
  <c r="DM62" i="16" s="1"/>
  <c r="DM15" i="16" a="1"/>
  <c r="DM15" i="16" s="1"/>
  <c r="DM53" i="16" a="1"/>
  <c r="DM53" i="16" s="1"/>
  <c r="DM57" i="16" a="1"/>
  <c r="DM57" i="16" s="1"/>
  <c r="DM78" i="16" a="1"/>
  <c r="DM78" i="16" s="1"/>
  <c r="DM74" i="16" a="1"/>
  <c r="DM74" i="16" s="1"/>
  <c r="DM59" i="16" a="1"/>
  <c r="DM59" i="16" s="1"/>
  <c r="DM67" i="16" a="1"/>
  <c r="DM67" i="16" s="1"/>
  <c r="DM82" i="16" a="1"/>
  <c r="DM82" i="16" s="1"/>
  <c r="DM69" i="16" a="1"/>
  <c r="DM69" i="16" s="1"/>
  <c r="DM64" i="16" a="1"/>
  <c r="DM64" i="16" s="1"/>
  <c r="DM75" i="16" a="1"/>
  <c r="DM75" i="16" s="1"/>
  <c r="DM76" i="16" a="1"/>
  <c r="DM76" i="16" s="1"/>
  <c r="DM21" i="16" a="1"/>
  <c r="DM21" i="16" s="1"/>
  <c r="DM66" i="16" a="1"/>
  <c r="DM66" i="16" s="1"/>
  <c r="DM83" i="16" a="1"/>
  <c r="DM83" i="16" s="1"/>
  <c r="DM84" i="16" a="1"/>
  <c r="DM84" i="16" s="1"/>
  <c r="DM100" i="16" a="1"/>
  <c r="DM100" i="16" s="1"/>
  <c r="DM70" i="16" a="1"/>
  <c r="DM70" i="16" s="1"/>
  <c r="DM90" i="16" a="1"/>
  <c r="DM90" i="16" s="1"/>
  <c r="DM91" i="16" a="1"/>
  <c r="DM91" i="16" s="1"/>
  <c r="DM92" i="16" a="1"/>
  <c r="DM92" i="16" s="1"/>
  <c r="DM68" i="16" a="1"/>
  <c r="DM68" i="16" s="1"/>
  <c r="DM77" i="16" a="1"/>
  <c r="DM77" i="16" s="1"/>
  <c r="DM60" i="16" a="1"/>
  <c r="DM60" i="16" s="1"/>
  <c r="DM79" i="16" a="1"/>
  <c r="DM79" i="16" s="1"/>
  <c r="DM80" i="16" a="1"/>
  <c r="DM80" i="16" s="1"/>
  <c r="DM61" i="16" a="1"/>
  <c r="DM61" i="16" s="1"/>
  <c r="DM95" i="16" a="1"/>
  <c r="DM95" i="16" s="1"/>
  <c r="DM86" i="16" a="1"/>
  <c r="DM86" i="16" s="1"/>
  <c r="DM89" i="16" a="1"/>
  <c r="DM89" i="16" s="1"/>
  <c r="DM101" i="16" a="1"/>
  <c r="DM101" i="16" s="1"/>
  <c r="DM96" i="16" a="1"/>
  <c r="DM96" i="16" s="1"/>
  <c r="DM87" i="16" a="1"/>
  <c r="DM87" i="16" s="1"/>
  <c r="DM88" i="16" a="1"/>
  <c r="DM88" i="16" s="1"/>
  <c r="DM93" i="16" a="1"/>
  <c r="DM93" i="16" s="1"/>
  <c r="DM102" i="16" a="1"/>
  <c r="DM102" i="16" s="1"/>
  <c r="DM94" i="16" a="1"/>
  <c r="DM94" i="16" s="1"/>
  <c r="DM81" i="16" a="1"/>
  <c r="DM81" i="16" s="1"/>
  <c r="DM97" i="16" a="1"/>
  <c r="DM97" i="16" s="1"/>
  <c r="DM103" i="16" a="1"/>
  <c r="DM103" i="16" s="1"/>
  <c r="DM98" i="16" a="1"/>
  <c r="DM98" i="16" s="1"/>
  <c r="DM99" i="16" a="1"/>
  <c r="DM99" i="16" s="1"/>
  <c r="DJ6" i="16" a="1"/>
  <c r="DJ6" i="16" s="1"/>
  <c r="DJ7" i="16" a="1"/>
  <c r="DJ7" i="16" s="1"/>
  <c r="DJ4" i="16" a="1"/>
  <c r="DJ4" i="16" s="1"/>
  <c r="DJ14" i="16" a="1"/>
  <c r="DJ14" i="16" s="1"/>
  <c r="DJ8" i="16" a="1"/>
  <c r="DJ8" i="16" s="1"/>
  <c r="DJ28" i="16" a="1"/>
  <c r="DJ28" i="16" s="1"/>
  <c r="DJ18" i="16" a="1"/>
  <c r="DJ18" i="16" s="1"/>
  <c r="DJ9" i="16" a="1"/>
  <c r="DJ9" i="16" s="1"/>
  <c r="DJ16" i="16" a="1"/>
  <c r="DJ16" i="16" s="1"/>
  <c r="DJ23" i="16" a="1"/>
  <c r="DJ23" i="16" s="1"/>
  <c r="DJ22" i="16" a="1"/>
  <c r="DJ22" i="16" s="1"/>
  <c r="DJ26" i="16" a="1"/>
  <c r="DJ26" i="16" s="1"/>
  <c r="DJ20" i="16" a="1"/>
  <c r="DJ20" i="16" s="1"/>
  <c r="DJ24" i="16" a="1"/>
  <c r="DJ24" i="16" s="1"/>
  <c r="DJ47" i="16" a="1"/>
  <c r="DJ47" i="16" s="1"/>
  <c r="DJ11" i="16" a="1"/>
  <c r="DJ11" i="16" s="1"/>
  <c r="DJ17" i="16" a="1"/>
  <c r="DJ17" i="16" s="1"/>
  <c r="DJ29" i="16" a="1"/>
  <c r="DJ29" i="16" s="1"/>
  <c r="DJ12" i="16" a="1"/>
  <c r="DJ12" i="16" s="1"/>
  <c r="DJ31" i="16" a="1"/>
  <c r="DJ31" i="16" s="1"/>
  <c r="DJ33" i="16" a="1"/>
  <c r="DJ33" i="16" s="1"/>
  <c r="DJ32" i="16" a="1"/>
  <c r="DJ32" i="16" s="1"/>
  <c r="DJ35" i="16" a="1"/>
  <c r="DJ35" i="16" s="1"/>
  <c r="DJ36" i="16" a="1"/>
  <c r="DJ36" i="16" s="1"/>
  <c r="DJ34" i="16" a="1"/>
  <c r="DJ34" i="16" s="1"/>
  <c r="DJ39" i="16" a="1"/>
  <c r="DJ39" i="16" s="1"/>
  <c r="DJ43" i="16" a="1"/>
  <c r="DJ43" i="16" s="1"/>
  <c r="DJ13" i="16" a="1"/>
  <c r="DJ13" i="16" s="1"/>
  <c r="DJ42" i="16" a="1"/>
  <c r="DJ42" i="16" s="1"/>
  <c r="DJ37" i="16" a="1"/>
  <c r="DJ37" i="16" s="1"/>
  <c r="DJ44" i="16" a="1"/>
  <c r="DJ44" i="16" s="1"/>
  <c r="DJ25" i="16" a="1"/>
  <c r="DJ25" i="16" s="1"/>
  <c r="DJ45" i="16" a="1"/>
  <c r="DJ45" i="16" s="1"/>
  <c r="DJ48" i="16" a="1"/>
  <c r="DJ48" i="16" s="1"/>
  <c r="DJ30" i="16" a="1"/>
  <c r="DJ30" i="16" s="1"/>
  <c r="DJ19" i="16" a="1"/>
  <c r="DJ19" i="16" s="1"/>
  <c r="DJ50" i="16" a="1"/>
  <c r="DJ50" i="16" s="1"/>
  <c r="DJ46" i="16" a="1"/>
  <c r="DJ46" i="16" s="1"/>
  <c r="DJ27" i="16" a="1"/>
  <c r="DJ27" i="16" s="1"/>
  <c r="DJ52" i="16" a="1"/>
  <c r="DJ52" i="16" s="1"/>
  <c r="DJ40" i="16" a="1"/>
  <c r="DJ40" i="16" s="1"/>
  <c r="DJ41" i="16" a="1"/>
  <c r="DJ41" i="16" s="1"/>
  <c r="DJ38" i="16" a="1"/>
  <c r="DJ38" i="16" s="1"/>
  <c r="DJ49" i="16" a="1"/>
  <c r="DJ49" i="16" s="1"/>
  <c r="DJ51" i="16" a="1"/>
  <c r="DJ51" i="16" s="1"/>
  <c r="DJ63" i="16" a="1"/>
  <c r="DJ63" i="16" s="1"/>
  <c r="DJ10" i="16" a="1"/>
  <c r="DJ10" i="16" s="1"/>
  <c r="DJ56" i="16" a="1"/>
  <c r="DJ56" i="16" s="1"/>
  <c r="DJ71" i="16" a="1"/>
  <c r="DJ71" i="16" s="1"/>
  <c r="DJ72" i="16" a="1"/>
  <c r="DJ72" i="16" s="1"/>
  <c r="DJ73" i="16" a="1"/>
  <c r="DJ73" i="16" s="1"/>
  <c r="DJ65" i="16" a="1"/>
  <c r="DJ65" i="16" s="1"/>
  <c r="DJ54" i="16" a="1"/>
  <c r="DJ54" i="16" s="1"/>
  <c r="DJ55" i="16" a="1"/>
  <c r="DJ55" i="16" s="1"/>
  <c r="DJ85" i="16" a="1"/>
  <c r="DJ85" i="16" s="1"/>
  <c r="DJ58" i="16" a="1"/>
  <c r="DJ58" i="16" s="1"/>
  <c r="DJ62" i="16" a="1"/>
  <c r="DJ62" i="16" s="1"/>
  <c r="DJ15" i="16" a="1"/>
  <c r="DJ15" i="16" s="1"/>
  <c r="DJ53" i="16" a="1"/>
  <c r="DJ53" i="16" s="1"/>
  <c r="DJ57" i="16" a="1"/>
  <c r="DJ57" i="16" s="1"/>
  <c r="DJ78" i="16" a="1"/>
  <c r="DJ78" i="16" s="1"/>
  <c r="DJ74" i="16" a="1"/>
  <c r="DJ74" i="16" s="1"/>
  <c r="DJ59" i="16" a="1"/>
  <c r="DJ59" i="16" s="1"/>
  <c r="DJ67" i="16" a="1"/>
  <c r="DJ67" i="16" s="1"/>
  <c r="DJ82" i="16" a="1"/>
  <c r="DJ82" i="16" s="1"/>
  <c r="DJ69" i="16" a="1"/>
  <c r="DJ69" i="16" s="1"/>
  <c r="DJ64" i="16" a="1"/>
  <c r="DJ64" i="16" s="1"/>
  <c r="DJ75" i="16" a="1"/>
  <c r="DJ75" i="16" s="1"/>
  <c r="DJ76" i="16" a="1"/>
  <c r="DJ76" i="16" s="1"/>
  <c r="DJ21" i="16" a="1"/>
  <c r="DJ21" i="16" s="1"/>
  <c r="DJ66" i="16" a="1"/>
  <c r="DJ66" i="16" s="1"/>
  <c r="DJ83" i="16" a="1"/>
  <c r="DJ83" i="16" s="1"/>
  <c r="DJ84" i="16" a="1"/>
  <c r="DJ84" i="16" s="1"/>
  <c r="DJ100" i="16" a="1"/>
  <c r="DJ100" i="16" s="1"/>
  <c r="DJ70" i="16" a="1"/>
  <c r="DJ70" i="16" s="1"/>
  <c r="DJ90" i="16" a="1"/>
  <c r="DJ90" i="16" s="1"/>
  <c r="DJ91" i="16" a="1"/>
  <c r="DJ91" i="16" s="1"/>
  <c r="DJ92" i="16" a="1"/>
  <c r="DJ92" i="16" s="1"/>
  <c r="DJ68" i="16" a="1"/>
  <c r="DJ68" i="16" s="1"/>
  <c r="DJ77" i="16" a="1"/>
  <c r="DJ77" i="16" s="1"/>
  <c r="DJ60" i="16" a="1"/>
  <c r="DJ60" i="16" s="1"/>
  <c r="DJ79" i="16" a="1"/>
  <c r="DJ79" i="16" s="1"/>
  <c r="DJ80" i="16" a="1"/>
  <c r="DJ80" i="16" s="1"/>
  <c r="DJ61" i="16" a="1"/>
  <c r="DJ61" i="16" s="1"/>
  <c r="DJ95" i="16" a="1"/>
  <c r="DJ95" i="16" s="1"/>
  <c r="DJ86" i="16" a="1"/>
  <c r="DJ86" i="16" s="1"/>
  <c r="DJ89" i="16" a="1"/>
  <c r="DJ89" i="16" s="1"/>
  <c r="DJ101" i="16" a="1"/>
  <c r="DJ101" i="16" s="1"/>
  <c r="DJ96" i="16" a="1"/>
  <c r="DJ96" i="16" s="1"/>
  <c r="DJ87" i="16" a="1"/>
  <c r="DJ87" i="16" s="1"/>
  <c r="DJ88" i="16" a="1"/>
  <c r="DJ88" i="16" s="1"/>
  <c r="DJ93" i="16" a="1"/>
  <c r="DJ93" i="16" s="1"/>
  <c r="DJ102" i="16" a="1"/>
  <c r="DJ102" i="16" s="1"/>
  <c r="DJ94" i="16" a="1"/>
  <c r="DJ94" i="16" s="1"/>
  <c r="DJ81" i="16" a="1"/>
  <c r="DJ81" i="16" s="1"/>
  <c r="DJ97" i="16" a="1"/>
  <c r="DJ97" i="16" s="1"/>
  <c r="DJ103" i="16" a="1"/>
  <c r="DJ103" i="16" s="1"/>
  <c r="DJ98" i="16" a="1"/>
  <c r="DJ98" i="16" s="1"/>
  <c r="DJ99" i="16" a="1"/>
  <c r="DJ99" i="16" s="1"/>
  <c r="DG6" i="16" a="1"/>
  <c r="DG6" i="16" s="1"/>
  <c r="DG7" i="16" a="1"/>
  <c r="DG7" i="16" s="1"/>
  <c r="DG4" i="16" a="1"/>
  <c r="DG4" i="16" s="1"/>
  <c r="DG14" i="16" a="1"/>
  <c r="DG14" i="16" s="1"/>
  <c r="DG8" i="16" a="1"/>
  <c r="DG8" i="16" s="1"/>
  <c r="DG28" i="16" a="1"/>
  <c r="DG28" i="16" s="1"/>
  <c r="DG18" i="16" a="1"/>
  <c r="DG18" i="16" s="1"/>
  <c r="DG9" i="16" a="1"/>
  <c r="DG9" i="16" s="1"/>
  <c r="DG16" i="16" a="1"/>
  <c r="DG16" i="16" s="1"/>
  <c r="DG23" i="16" a="1"/>
  <c r="DG23" i="16" s="1"/>
  <c r="DG22" i="16" a="1"/>
  <c r="DG22" i="16" s="1"/>
  <c r="DG26" i="16" a="1"/>
  <c r="DG26" i="16" s="1"/>
  <c r="DG20" i="16" a="1"/>
  <c r="DG20" i="16" s="1"/>
  <c r="DG24" i="16" a="1"/>
  <c r="DG24" i="16" s="1"/>
  <c r="DG47" i="16" a="1"/>
  <c r="DG47" i="16" s="1"/>
  <c r="DG11" i="16" a="1"/>
  <c r="DG11" i="16" s="1"/>
  <c r="DG17" i="16" a="1"/>
  <c r="DG17" i="16" s="1"/>
  <c r="DG29" i="16" a="1"/>
  <c r="DG29" i="16" s="1"/>
  <c r="DG12" i="16" a="1"/>
  <c r="DG12" i="16" s="1"/>
  <c r="DG31" i="16" a="1"/>
  <c r="DG31" i="16" s="1"/>
  <c r="DG33" i="16" a="1"/>
  <c r="DG33" i="16" s="1"/>
  <c r="DG32" i="16" a="1"/>
  <c r="DG32" i="16" s="1"/>
  <c r="DG35" i="16" a="1"/>
  <c r="DG35" i="16" s="1"/>
  <c r="DG36" i="16" a="1"/>
  <c r="DG36" i="16" s="1"/>
  <c r="DG34" i="16" a="1"/>
  <c r="DG34" i="16" s="1"/>
  <c r="DG39" i="16" a="1"/>
  <c r="DG39" i="16" s="1"/>
  <c r="DG43" i="16" a="1"/>
  <c r="DG43" i="16" s="1"/>
  <c r="DG13" i="16" a="1"/>
  <c r="DG13" i="16" s="1"/>
  <c r="DG42" i="16" a="1"/>
  <c r="DG42" i="16" s="1"/>
  <c r="DG37" i="16" a="1"/>
  <c r="DG37" i="16" s="1"/>
  <c r="DG44" i="16" a="1"/>
  <c r="DG44" i="16" s="1"/>
  <c r="DG25" i="16" a="1"/>
  <c r="DG25" i="16" s="1"/>
  <c r="DG45" i="16" a="1"/>
  <c r="DG45" i="16" s="1"/>
  <c r="DG48" i="16" a="1"/>
  <c r="DG48" i="16" s="1"/>
  <c r="DG30" i="16" a="1"/>
  <c r="DG30" i="16" s="1"/>
  <c r="DG19" i="16" a="1"/>
  <c r="DG19" i="16" s="1"/>
  <c r="DG50" i="16" a="1"/>
  <c r="DG50" i="16" s="1"/>
  <c r="DG46" i="16" a="1"/>
  <c r="DG46" i="16" s="1"/>
  <c r="DG27" i="16" a="1"/>
  <c r="DG27" i="16" s="1"/>
  <c r="DG52" i="16" a="1"/>
  <c r="DG52" i="16" s="1"/>
  <c r="DG40" i="16" a="1"/>
  <c r="DG40" i="16" s="1"/>
  <c r="DG41" i="16" a="1"/>
  <c r="DG41" i="16" s="1"/>
  <c r="DG38" i="16" a="1"/>
  <c r="DG38" i="16" s="1"/>
  <c r="DG49" i="16" a="1"/>
  <c r="DG49" i="16" s="1"/>
  <c r="DG51" i="16" a="1"/>
  <c r="DG51" i="16" s="1"/>
  <c r="DG63" i="16" a="1"/>
  <c r="DG63" i="16" s="1"/>
  <c r="DG10" i="16" a="1"/>
  <c r="DG10" i="16" s="1"/>
  <c r="DG56" i="16" a="1"/>
  <c r="DG56" i="16" s="1"/>
  <c r="DG71" i="16" a="1"/>
  <c r="DG71" i="16" s="1"/>
  <c r="DG72" i="16" a="1"/>
  <c r="DG72" i="16" s="1"/>
  <c r="DG73" i="16" a="1"/>
  <c r="DG73" i="16" s="1"/>
  <c r="DG65" i="16" a="1"/>
  <c r="DG65" i="16" s="1"/>
  <c r="DG54" i="16" a="1"/>
  <c r="DG54" i="16" s="1"/>
  <c r="DG55" i="16" a="1"/>
  <c r="DG55" i="16" s="1"/>
  <c r="DG85" i="16" a="1"/>
  <c r="DG85" i="16" s="1"/>
  <c r="DG58" i="16" a="1"/>
  <c r="DG58" i="16" s="1"/>
  <c r="DG62" i="16" a="1"/>
  <c r="DG62" i="16" s="1"/>
  <c r="DG15" i="16" a="1"/>
  <c r="DG15" i="16" s="1"/>
  <c r="DG53" i="16" a="1"/>
  <c r="DG53" i="16" s="1"/>
  <c r="DG57" i="16" a="1"/>
  <c r="DG57" i="16" s="1"/>
  <c r="DG78" i="16" a="1"/>
  <c r="DG78" i="16" s="1"/>
  <c r="DG74" i="16" a="1"/>
  <c r="DG74" i="16" s="1"/>
  <c r="DG59" i="16" a="1"/>
  <c r="DG59" i="16" s="1"/>
  <c r="DG67" i="16" a="1"/>
  <c r="DG67" i="16" s="1"/>
  <c r="DG82" i="16" a="1"/>
  <c r="DG82" i="16" s="1"/>
  <c r="DG69" i="16" a="1"/>
  <c r="DG69" i="16" s="1"/>
  <c r="DG64" i="16" a="1"/>
  <c r="DG64" i="16" s="1"/>
  <c r="DG75" i="16" a="1"/>
  <c r="DG75" i="16" s="1"/>
  <c r="DG76" i="16" a="1"/>
  <c r="DG76" i="16" s="1"/>
  <c r="DG21" i="16" a="1"/>
  <c r="DG21" i="16" s="1"/>
  <c r="DG66" i="16" a="1"/>
  <c r="DG66" i="16" s="1"/>
  <c r="DG83" i="16" a="1"/>
  <c r="DG83" i="16" s="1"/>
  <c r="DG84" i="16" a="1"/>
  <c r="DG84" i="16" s="1"/>
  <c r="DG100" i="16" a="1"/>
  <c r="DG100" i="16" s="1"/>
  <c r="DG70" i="16" a="1"/>
  <c r="DG70" i="16" s="1"/>
  <c r="DG90" i="16" a="1"/>
  <c r="DG90" i="16" s="1"/>
  <c r="DG91" i="16" a="1"/>
  <c r="DG91" i="16" s="1"/>
  <c r="DG92" i="16" a="1"/>
  <c r="DG92" i="16" s="1"/>
  <c r="DG68" i="16" a="1"/>
  <c r="DG68" i="16" s="1"/>
  <c r="DG77" i="16" a="1"/>
  <c r="DG77" i="16" s="1"/>
  <c r="DG60" i="16" a="1"/>
  <c r="DG60" i="16" s="1"/>
  <c r="DG79" i="16" a="1"/>
  <c r="DG79" i="16" s="1"/>
  <c r="DG80" i="16" a="1"/>
  <c r="DG80" i="16" s="1"/>
  <c r="DG61" i="16" a="1"/>
  <c r="DG61" i="16" s="1"/>
  <c r="DG95" i="16" a="1"/>
  <c r="DG95" i="16" s="1"/>
  <c r="DG86" i="16" a="1"/>
  <c r="DG86" i="16" s="1"/>
  <c r="DG89" i="16" a="1"/>
  <c r="DG89" i="16" s="1"/>
  <c r="DG101" i="16" a="1"/>
  <c r="DG101" i="16" s="1"/>
  <c r="DG96" i="16" a="1"/>
  <c r="DG96" i="16" s="1"/>
  <c r="DG87" i="16" a="1"/>
  <c r="DG87" i="16" s="1"/>
  <c r="DG88" i="16" a="1"/>
  <c r="DG88" i="16" s="1"/>
  <c r="DG93" i="16" a="1"/>
  <c r="DG93" i="16" s="1"/>
  <c r="DG102" i="16" a="1"/>
  <c r="DG102" i="16" s="1"/>
  <c r="DG94" i="16" a="1"/>
  <c r="DG94" i="16" s="1"/>
  <c r="DG81" i="16" a="1"/>
  <c r="DG81" i="16" s="1"/>
  <c r="DG97" i="16" a="1"/>
  <c r="DG97" i="16" s="1"/>
  <c r="DG103" i="16" a="1"/>
  <c r="DG103" i="16" s="1"/>
  <c r="DG98" i="16" a="1"/>
  <c r="DG98" i="16" s="1"/>
  <c r="DG99" i="16" a="1"/>
  <c r="DG99" i="16" s="1"/>
  <c r="CN6" i="16" a="1"/>
  <c r="CN6" i="16" s="1"/>
  <c r="CN7" i="16" a="1"/>
  <c r="CN7" i="16" s="1"/>
  <c r="CN4" i="16" a="1"/>
  <c r="CN4" i="16" s="1"/>
  <c r="CN14" i="16" a="1"/>
  <c r="CN14" i="16" s="1"/>
  <c r="CN8" i="16" a="1"/>
  <c r="CN8" i="16" s="1"/>
  <c r="CN28" i="16" a="1"/>
  <c r="CN28" i="16" s="1"/>
  <c r="CN18" i="16" a="1"/>
  <c r="CN18" i="16" s="1"/>
  <c r="CN9" i="16" a="1"/>
  <c r="CN9" i="16" s="1"/>
  <c r="CN16" i="16" a="1"/>
  <c r="CN16" i="16" s="1"/>
  <c r="CN23" i="16" a="1"/>
  <c r="CN23" i="16" s="1"/>
  <c r="CN22" i="16" a="1"/>
  <c r="CN22" i="16" s="1"/>
  <c r="CN26" i="16" a="1"/>
  <c r="CN26" i="16" s="1"/>
  <c r="CN20" i="16" a="1"/>
  <c r="CN20" i="16" s="1"/>
  <c r="CN24" i="16" a="1"/>
  <c r="CN24" i="16" s="1"/>
  <c r="CN47" i="16" a="1"/>
  <c r="CN47" i="16" s="1"/>
  <c r="CN11" i="16" a="1"/>
  <c r="CN11" i="16" s="1"/>
  <c r="CN17" i="16" a="1"/>
  <c r="CN17" i="16" s="1"/>
  <c r="CN29" i="16" a="1"/>
  <c r="CN29" i="16" s="1"/>
  <c r="CN12" i="16" a="1"/>
  <c r="CN12" i="16" s="1"/>
  <c r="CN31" i="16" a="1"/>
  <c r="CN31" i="16" s="1"/>
  <c r="CN33" i="16" a="1"/>
  <c r="CN33" i="16" s="1"/>
  <c r="CN32" i="16" a="1"/>
  <c r="CN32" i="16" s="1"/>
  <c r="CN35" i="16" a="1"/>
  <c r="CN35" i="16" s="1"/>
  <c r="CN36" i="16" a="1"/>
  <c r="CN36" i="16" s="1"/>
  <c r="CN34" i="16" a="1"/>
  <c r="CN34" i="16" s="1"/>
  <c r="CN39" i="16" a="1"/>
  <c r="CN39" i="16" s="1"/>
  <c r="CN43" i="16" a="1"/>
  <c r="CN43" i="16" s="1"/>
  <c r="CN13" i="16" a="1"/>
  <c r="CN13" i="16" s="1"/>
  <c r="CN42" i="16" a="1"/>
  <c r="CN42" i="16" s="1"/>
  <c r="CN37" i="16" a="1"/>
  <c r="CN37" i="16" s="1"/>
  <c r="CN44" i="16" a="1"/>
  <c r="CN44" i="16" s="1"/>
  <c r="CN25" i="16" a="1"/>
  <c r="CN25" i="16" s="1"/>
  <c r="CN45" i="16" a="1"/>
  <c r="CN45" i="16" s="1"/>
  <c r="CN48" i="16" a="1"/>
  <c r="CN48" i="16" s="1"/>
  <c r="CN30" i="16" a="1"/>
  <c r="CN30" i="16" s="1"/>
  <c r="CN19" i="16" a="1"/>
  <c r="CN19" i="16" s="1"/>
  <c r="CN50" i="16" a="1"/>
  <c r="CN50" i="16" s="1"/>
  <c r="CN46" i="16" a="1"/>
  <c r="CN46" i="16" s="1"/>
  <c r="CN27" i="16" a="1"/>
  <c r="CN27" i="16" s="1"/>
  <c r="CN52" i="16" a="1"/>
  <c r="CN52" i="16" s="1"/>
  <c r="CN40" i="16" a="1"/>
  <c r="CN40" i="16" s="1"/>
  <c r="CN41" i="16" a="1"/>
  <c r="CN41" i="16" s="1"/>
  <c r="CN38" i="16" a="1"/>
  <c r="CN38" i="16" s="1"/>
  <c r="CN49" i="16" a="1"/>
  <c r="CN49" i="16" s="1"/>
  <c r="CN51" i="16" a="1"/>
  <c r="CN51" i="16" s="1"/>
  <c r="CN63" i="16" a="1"/>
  <c r="CN63" i="16" s="1"/>
  <c r="CN10" i="16" a="1"/>
  <c r="CN10" i="16" s="1"/>
  <c r="CN56" i="16" a="1"/>
  <c r="CN56" i="16" s="1"/>
  <c r="CN71" i="16" a="1"/>
  <c r="CN71" i="16" s="1"/>
  <c r="CN72" i="16" a="1"/>
  <c r="CN72" i="16" s="1"/>
  <c r="CN73" i="16" a="1"/>
  <c r="CN73" i="16" s="1"/>
  <c r="CN65" i="16" a="1"/>
  <c r="CN65" i="16" s="1"/>
  <c r="CN54" i="16" a="1"/>
  <c r="CN54" i="16" s="1"/>
  <c r="CN55" i="16" a="1"/>
  <c r="CN55" i="16" s="1"/>
  <c r="CN85" i="16" a="1"/>
  <c r="CN85" i="16" s="1"/>
  <c r="CN58" i="16" a="1"/>
  <c r="CN58" i="16" s="1"/>
  <c r="CN62" i="16" a="1"/>
  <c r="CN62" i="16" s="1"/>
  <c r="CN15" i="16" a="1"/>
  <c r="CN15" i="16" s="1"/>
  <c r="CN53" i="16" a="1"/>
  <c r="CN53" i="16" s="1"/>
  <c r="CN57" i="16" a="1"/>
  <c r="CN57" i="16" s="1"/>
  <c r="CN78" i="16" a="1"/>
  <c r="CN78" i="16" s="1"/>
  <c r="CN74" i="16" a="1"/>
  <c r="CN74" i="16" s="1"/>
  <c r="CN59" i="16" a="1"/>
  <c r="CN59" i="16" s="1"/>
  <c r="CN67" i="16" a="1"/>
  <c r="CN67" i="16" s="1"/>
  <c r="CN82" i="16" a="1"/>
  <c r="CN82" i="16" s="1"/>
  <c r="CN69" i="16" a="1"/>
  <c r="CN69" i="16" s="1"/>
  <c r="CN64" i="16" a="1"/>
  <c r="CN64" i="16" s="1"/>
  <c r="CN75" i="16" a="1"/>
  <c r="CN75" i="16" s="1"/>
  <c r="CN76" i="16" a="1"/>
  <c r="CN76" i="16" s="1"/>
  <c r="CN21" i="16" a="1"/>
  <c r="CN21" i="16" s="1"/>
  <c r="CN66" i="16" a="1"/>
  <c r="CN66" i="16" s="1"/>
  <c r="CN83" i="16" a="1"/>
  <c r="CN83" i="16" s="1"/>
  <c r="CN84" i="16" a="1"/>
  <c r="CN84" i="16" s="1"/>
  <c r="CN100" i="16" a="1"/>
  <c r="CN100" i="16" s="1"/>
  <c r="CN70" i="16" a="1"/>
  <c r="CN70" i="16" s="1"/>
  <c r="CN90" i="16" a="1"/>
  <c r="CN90" i="16" s="1"/>
  <c r="CN91" i="16" a="1"/>
  <c r="CN91" i="16" s="1"/>
  <c r="CN92" i="16" a="1"/>
  <c r="CN92" i="16" s="1"/>
  <c r="CN68" i="16" a="1"/>
  <c r="CN68" i="16" s="1"/>
  <c r="CN77" i="16" a="1"/>
  <c r="CN77" i="16" s="1"/>
  <c r="CN60" i="16" a="1"/>
  <c r="CN60" i="16" s="1"/>
  <c r="CN79" i="16" a="1"/>
  <c r="CN79" i="16" s="1"/>
  <c r="CN80" i="16" a="1"/>
  <c r="CN80" i="16" s="1"/>
  <c r="CN61" i="16" a="1"/>
  <c r="CN61" i="16" s="1"/>
  <c r="CN95" i="16" a="1"/>
  <c r="CN95" i="16" s="1"/>
  <c r="CN86" i="16" a="1"/>
  <c r="CN86" i="16" s="1"/>
  <c r="CN89" i="16" a="1"/>
  <c r="CN89" i="16" s="1"/>
  <c r="CN101" i="16" a="1"/>
  <c r="CN101" i="16" s="1"/>
  <c r="CN96" i="16" a="1"/>
  <c r="CN96" i="16" s="1"/>
  <c r="CN87" i="16" a="1"/>
  <c r="CN87" i="16" s="1"/>
  <c r="CN88" i="16" a="1"/>
  <c r="CN88" i="16" s="1"/>
  <c r="CN93" i="16" a="1"/>
  <c r="CN93" i="16" s="1"/>
  <c r="CN102" i="16" a="1"/>
  <c r="CN102" i="16" s="1"/>
  <c r="CN94" i="16" a="1"/>
  <c r="CN94" i="16" s="1"/>
  <c r="CN81" i="16" a="1"/>
  <c r="CN81" i="16" s="1"/>
  <c r="CN97" i="16" a="1"/>
  <c r="CN97" i="16" s="1"/>
  <c r="CN103" i="16" a="1"/>
  <c r="CN103" i="16" s="1"/>
  <c r="CN98" i="16" a="1"/>
  <c r="CN98" i="16" s="1"/>
  <c r="CN99" i="16" a="1"/>
  <c r="CN99" i="16" s="1"/>
  <c r="BZ6" i="16" a="1"/>
  <c r="BZ6" i="16" s="1"/>
  <c r="BZ7" i="16" a="1"/>
  <c r="BZ7" i="16" s="1"/>
  <c r="BZ4" i="16" a="1"/>
  <c r="BZ4" i="16" s="1"/>
  <c r="BZ14" i="16" a="1"/>
  <c r="BZ14" i="16" s="1"/>
  <c r="BZ8" i="16" a="1"/>
  <c r="BZ8" i="16" s="1"/>
  <c r="BZ28" i="16" a="1"/>
  <c r="BZ28" i="16" s="1"/>
  <c r="BZ18" i="16" a="1"/>
  <c r="BZ18" i="16" s="1"/>
  <c r="BZ9" i="16" a="1"/>
  <c r="BZ9" i="16" s="1"/>
  <c r="BZ16" i="16" a="1"/>
  <c r="BZ16" i="16" s="1"/>
  <c r="BZ23" i="16" a="1"/>
  <c r="BZ23" i="16" s="1"/>
  <c r="BZ22" i="16" a="1"/>
  <c r="BZ22" i="16" s="1"/>
  <c r="BZ26" i="16" a="1"/>
  <c r="BZ26" i="16" s="1"/>
  <c r="BZ20" i="16" a="1"/>
  <c r="BZ20" i="16" s="1"/>
  <c r="BZ24" i="16" a="1"/>
  <c r="BZ24" i="16" s="1"/>
  <c r="BZ47" i="16" a="1"/>
  <c r="BZ47" i="16" s="1"/>
  <c r="BZ11" i="16" a="1"/>
  <c r="BZ11" i="16" s="1"/>
  <c r="BZ17" i="16" a="1"/>
  <c r="BZ17" i="16" s="1"/>
  <c r="BZ29" i="16" a="1"/>
  <c r="BZ29" i="16" s="1"/>
  <c r="BZ12" i="16" a="1"/>
  <c r="BZ12" i="16" s="1"/>
  <c r="BZ31" i="16" a="1"/>
  <c r="BZ31" i="16" s="1"/>
  <c r="BZ33" i="16" a="1"/>
  <c r="BZ33" i="16" s="1"/>
  <c r="BZ32" i="16" a="1"/>
  <c r="BZ32" i="16" s="1"/>
  <c r="BZ35" i="16" a="1"/>
  <c r="BZ35" i="16" s="1"/>
  <c r="BZ36" i="16" a="1"/>
  <c r="BZ36" i="16" s="1"/>
  <c r="BZ34" i="16" a="1"/>
  <c r="BZ34" i="16" s="1"/>
  <c r="BZ39" i="16" a="1"/>
  <c r="BZ39" i="16" s="1"/>
  <c r="BZ43" i="16" a="1"/>
  <c r="BZ43" i="16" s="1"/>
  <c r="BZ13" i="16" a="1"/>
  <c r="BZ13" i="16" s="1"/>
  <c r="BZ42" i="16" a="1"/>
  <c r="BZ42" i="16" s="1"/>
  <c r="BZ37" i="16" a="1"/>
  <c r="BZ37" i="16" s="1"/>
  <c r="BZ44" i="16" a="1"/>
  <c r="BZ44" i="16" s="1"/>
  <c r="BZ25" i="16" a="1"/>
  <c r="BZ25" i="16" s="1"/>
  <c r="BZ45" i="16" a="1"/>
  <c r="BZ45" i="16" s="1"/>
  <c r="BZ48" i="16" a="1"/>
  <c r="BZ48" i="16" s="1"/>
  <c r="BZ30" i="16" a="1"/>
  <c r="BZ30" i="16" s="1"/>
  <c r="BZ19" i="16" a="1"/>
  <c r="BZ19" i="16" s="1"/>
  <c r="BZ50" i="16" a="1"/>
  <c r="BZ50" i="16" s="1"/>
  <c r="BZ46" i="16" a="1"/>
  <c r="BZ46" i="16" s="1"/>
  <c r="BZ27" i="16" a="1"/>
  <c r="BZ27" i="16" s="1"/>
  <c r="BZ52" i="16" a="1"/>
  <c r="BZ52" i="16" s="1"/>
  <c r="BZ40" i="16" a="1"/>
  <c r="BZ40" i="16" s="1"/>
  <c r="BZ41" i="16" a="1"/>
  <c r="BZ41" i="16" s="1"/>
  <c r="BZ38" i="16" a="1"/>
  <c r="BZ38" i="16" s="1"/>
  <c r="BZ49" i="16" a="1"/>
  <c r="BZ49" i="16" s="1"/>
  <c r="BZ51" i="16" a="1"/>
  <c r="BZ51" i="16" s="1"/>
  <c r="BZ63" i="16" a="1"/>
  <c r="BZ63" i="16" s="1"/>
  <c r="BZ10" i="16" a="1"/>
  <c r="BZ10" i="16" s="1"/>
  <c r="BZ56" i="16" a="1"/>
  <c r="BZ56" i="16" s="1"/>
  <c r="BZ71" i="16" a="1"/>
  <c r="BZ71" i="16" s="1"/>
  <c r="BZ72" i="16" a="1"/>
  <c r="BZ72" i="16" s="1"/>
  <c r="BZ73" i="16" a="1"/>
  <c r="BZ73" i="16" s="1"/>
  <c r="BZ65" i="16" a="1"/>
  <c r="BZ65" i="16" s="1"/>
  <c r="BZ54" i="16" a="1"/>
  <c r="BZ54" i="16" s="1"/>
  <c r="BZ55" i="16" a="1"/>
  <c r="BZ55" i="16" s="1"/>
  <c r="BZ85" i="16" a="1"/>
  <c r="BZ85" i="16" s="1"/>
  <c r="BZ58" i="16" a="1"/>
  <c r="BZ58" i="16" s="1"/>
  <c r="BZ62" i="16" a="1"/>
  <c r="BZ62" i="16" s="1"/>
  <c r="BZ15" i="16" a="1"/>
  <c r="BZ15" i="16" s="1"/>
  <c r="BZ53" i="16" a="1"/>
  <c r="BZ53" i="16" s="1"/>
  <c r="BZ57" i="16" a="1"/>
  <c r="BZ57" i="16" s="1"/>
  <c r="BZ78" i="16" a="1"/>
  <c r="BZ78" i="16" s="1"/>
  <c r="BZ74" i="16" a="1"/>
  <c r="BZ74" i="16" s="1"/>
  <c r="BZ59" i="16" a="1"/>
  <c r="BZ59" i="16" s="1"/>
  <c r="BZ67" i="16" a="1"/>
  <c r="BZ67" i="16" s="1"/>
  <c r="BZ82" i="16" a="1"/>
  <c r="BZ82" i="16" s="1"/>
  <c r="BZ69" i="16" a="1"/>
  <c r="BZ69" i="16" s="1"/>
  <c r="BZ64" i="16" a="1"/>
  <c r="BZ64" i="16" s="1"/>
  <c r="BZ75" i="16" a="1"/>
  <c r="BZ75" i="16" s="1"/>
  <c r="BZ76" i="16" a="1"/>
  <c r="BZ76" i="16" s="1"/>
  <c r="BZ21" i="16" a="1"/>
  <c r="BZ21" i="16" s="1"/>
  <c r="BZ66" i="16" a="1"/>
  <c r="BZ66" i="16" s="1"/>
  <c r="BZ83" i="16" a="1"/>
  <c r="BZ83" i="16" s="1"/>
  <c r="BZ84" i="16" a="1"/>
  <c r="BZ84" i="16" s="1"/>
  <c r="BZ100" i="16" a="1"/>
  <c r="BZ100" i="16" s="1"/>
  <c r="BZ70" i="16" a="1"/>
  <c r="BZ70" i="16" s="1"/>
  <c r="BZ90" i="16" a="1"/>
  <c r="BZ90" i="16" s="1"/>
  <c r="BZ91" i="16" a="1"/>
  <c r="BZ91" i="16" s="1"/>
  <c r="BZ92" i="16" a="1"/>
  <c r="BZ92" i="16" s="1"/>
  <c r="BZ68" i="16" a="1"/>
  <c r="BZ68" i="16" s="1"/>
  <c r="BZ77" i="16" a="1"/>
  <c r="BZ77" i="16" s="1"/>
  <c r="BZ60" i="16" a="1"/>
  <c r="BZ60" i="16" s="1"/>
  <c r="BZ79" i="16" a="1"/>
  <c r="BZ79" i="16" s="1"/>
  <c r="BZ80" i="16" a="1"/>
  <c r="BZ80" i="16" s="1"/>
  <c r="BZ61" i="16" a="1"/>
  <c r="BZ61" i="16" s="1"/>
  <c r="BZ95" i="16" a="1"/>
  <c r="BZ95" i="16" s="1"/>
  <c r="BZ86" i="16" a="1"/>
  <c r="BZ86" i="16" s="1"/>
  <c r="BZ89" i="16" a="1"/>
  <c r="BZ89" i="16" s="1"/>
  <c r="BZ101" i="16" a="1"/>
  <c r="BZ101" i="16" s="1"/>
  <c r="BZ96" i="16" a="1"/>
  <c r="BZ96" i="16" s="1"/>
  <c r="BZ87" i="16" a="1"/>
  <c r="BZ87" i="16" s="1"/>
  <c r="BZ88" i="16" a="1"/>
  <c r="BZ88" i="16" s="1"/>
  <c r="BZ93" i="16" a="1"/>
  <c r="BZ93" i="16" s="1"/>
  <c r="BZ102" i="16" a="1"/>
  <c r="BZ102" i="16" s="1"/>
  <c r="BZ94" i="16" a="1"/>
  <c r="BZ94" i="16" s="1"/>
  <c r="BZ81" i="16" a="1"/>
  <c r="BZ81" i="16" s="1"/>
  <c r="BZ97" i="16" a="1"/>
  <c r="BZ97" i="16" s="1"/>
  <c r="BZ103" i="16" a="1"/>
  <c r="BZ103" i="16" s="1"/>
  <c r="BZ98" i="16" a="1"/>
  <c r="BZ98" i="16" s="1"/>
  <c r="BZ99" i="16" a="1"/>
  <c r="BZ99" i="16" s="1"/>
  <c r="AK6" i="16" a="1"/>
  <c r="AK6" i="16" s="1"/>
  <c r="AK7" i="16" a="1"/>
  <c r="AK7" i="16" s="1"/>
  <c r="AK4" i="16" a="1"/>
  <c r="AK4" i="16" s="1"/>
  <c r="AK14" i="16" a="1"/>
  <c r="AK14" i="16" s="1"/>
  <c r="AK8" i="16" a="1"/>
  <c r="AK8" i="16" s="1"/>
  <c r="AK28" i="16" a="1"/>
  <c r="AK28" i="16" s="1"/>
  <c r="AK18" i="16" a="1"/>
  <c r="AK18" i="16" s="1"/>
  <c r="AK9" i="16" a="1"/>
  <c r="AK9" i="16" s="1"/>
  <c r="AK16" i="16" a="1"/>
  <c r="AK16" i="16" s="1"/>
  <c r="AK23" i="16" a="1"/>
  <c r="AK23" i="16" s="1"/>
  <c r="AK26" i="16" a="1"/>
  <c r="AK26" i="16" s="1"/>
  <c r="AK20" i="16" a="1"/>
  <c r="AK20" i="16" s="1"/>
  <c r="AK24" i="16" a="1"/>
  <c r="AK24" i="16" s="1"/>
  <c r="AK47" i="16" a="1"/>
  <c r="AK47" i="16" s="1"/>
  <c r="AK11" i="16" a="1"/>
  <c r="AK11" i="16" s="1"/>
  <c r="AK17" i="16" a="1"/>
  <c r="AK17" i="16" s="1"/>
  <c r="AK29" i="16" a="1"/>
  <c r="AK29" i="16" s="1"/>
  <c r="AK12" i="16" a="1"/>
  <c r="AK12" i="16" s="1"/>
  <c r="AK31" i="16" a="1"/>
  <c r="AK31" i="16" s="1"/>
  <c r="AK33" i="16" a="1"/>
  <c r="AK33" i="16" s="1"/>
  <c r="AK32" i="16" a="1"/>
  <c r="AK32" i="16" s="1"/>
  <c r="AK35" i="16" a="1"/>
  <c r="AK35" i="16" s="1"/>
  <c r="AK36" i="16" a="1"/>
  <c r="AK36" i="16" s="1"/>
  <c r="AK34" i="16" a="1"/>
  <c r="AK34" i="16" s="1"/>
  <c r="AK39" i="16" a="1"/>
  <c r="AK39" i="16" s="1"/>
  <c r="AK43" i="16" a="1"/>
  <c r="AK43" i="16" s="1"/>
  <c r="AK13" i="16" a="1"/>
  <c r="AK13" i="16" s="1"/>
  <c r="AK42" i="16" a="1"/>
  <c r="AK42" i="16" s="1"/>
  <c r="AK37" i="16" a="1"/>
  <c r="AK37" i="16" s="1"/>
  <c r="AK44" i="16" a="1"/>
  <c r="AK44" i="16" s="1"/>
  <c r="AK25" i="16" a="1"/>
  <c r="AK25" i="16" s="1"/>
  <c r="AK45" i="16" a="1"/>
  <c r="AK45" i="16" s="1"/>
  <c r="AK48" i="16" a="1"/>
  <c r="AK48" i="16" s="1"/>
  <c r="AK30" i="16" a="1"/>
  <c r="AK30" i="16" s="1"/>
  <c r="AK19" i="16" a="1"/>
  <c r="AK19" i="16" s="1"/>
  <c r="AK50" i="16" a="1"/>
  <c r="AK50" i="16" s="1"/>
  <c r="AK46" i="16" a="1"/>
  <c r="AK46" i="16" s="1"/>
  <c r="AK27" i="16" a="1"/>
  <c r="AK27" i="16" s="1"/>
  <c r="AK52" i="16" a="1"/>
  <c r="AK52" i="16" s="1"/>
  <c r="AK40" i="16" a="1"/>
  <c r="AK40" i="16" s="1"/>
  <c r="AK41" i="16" a="1"/>
  <c r="AK41" i="16" s="1"/>
  <c r="AK38" i="16" a="1"/>
  <c r="AK38" i="16" s="1"/>
  <c r="AK49" i="16" a="1"/>
  <c r="AK49" i="16" s="1"/>
  <c r="AK51" i="16" a="1"/>
  <c r="AK51" i="16" s="1"/>
  <c r="AK63" i="16" a="1"/>
  <c r="AK63" i="16" s="1"/>
  <c r="AK10" i="16" a="1"/>
  <c r="AK10" i="16" s="1"/>
  <c r="AK56" i="16" a="1"/>
  <c r="AK56" i="16" s="1"/>
  <c r="AK71" i="16" a="1"/>
  <c r="AK71" i="16" s="1"/>
  <c r="AK72" i="16" a="1"/>
  <c r="AK72" i="16" s="1"/>
  <c r="AK73" i="16" a="1"/>
  <c r="AK73" i="16" s="1"/>
  <c r="AK65" i="16" a="1"/>
  <c r="AK65" i="16" s="1"/>
  <c r="AK54" i="16" a="1"/>
  <c r="AK54" i="16" s="1"/>
  <c r="AK55" i="16" a="1"/>
  <c r="AK55" i="16" s="1"/>
  <c r="AK85" i="16" a="1"/>
  <c r="AK85" i="16" s="1"/>
  <c r="AK58" i="16" a="1"/>
  <c r="AK58" i="16" s="1"/>
  <c r="AK62" i="16" a="1"/>
  <c r="AK62" i="16" s="1"/>
  <c r="AK15" i="16" a="1"/>
  <c r="AK15" i="16" s="1"/>
  <c r="AK53" i="16" a="1"/>
  <c r="AK53" i="16" s="1"/>
  <c r="AK57" i="16" a="1"/>
  <c r="AK57" i="16" s="1"/>
  <c r="AK78" i="16" a="1"/>
  <c r="AK78" i="16" s="1"/>
  <c r="AK74" i="16" a="1"/>
  <c r="AK74" i="16" s="1"/>
  <c r="AK59" i="16" a="1"/>
  <c r="AK59" i="16" s="1"/>
  <c r="AK67" i="16" a="1"/>
  <c r="AK67" i="16" s="1"/>
  <c r="AK82" i="16" a="1"/>
  <c r="AK82" i="16" s="1"/>
  <c r="AK69" i="16" a="1"/>
  <c r="AK69" i="16" s="1"/>
  <c r="AK64" i="16" a="1"/>
  <c r="AK64" i="16" s="1"/>
  <c r="AK75" i="16" a="1"/>
  <c r="AK75" i="16" s="1"/>
  <c r="AK76" i="16" a="1"/>
  <c r="AK76" i="16" s="1"/>
  <c r="AK21" i="16" a="1"/>
  <c r="AK21" i="16" s="1"/>
  <c r="AK66" i="16" a="1"/>
  <c r="AK66" i="16" s="1"/>
  <c r="AK83" i="16" a="1"/>
  <c r="AK83" i="16" s="1"/>
  <c r="AK84" i="16" a="1"/>
  <c r="AK84" i="16" s="1"/>
  <c r="AK100" i="16" a="1"/>
  <c r="AK100" i="16" s="1"/>
  <c r="AK70" i="16" a="1"/>
  <c r="AK70" i="16" s="1"/>
  <c r="AK90" i="16" a="1"/>
  <c r="AK90" i="16" s="1"/>
  <c r="AK91" i="16" a="1"/>
  <c r="AK91" i="16" s="1"/>
  <c r="AK92" i="16" a="1"/>
  <c r="AK92" i="16" s="1"/>
  <c r="AK68" i="16" a="1"/>
  <c r="AK68" i="16" s="1"/>
  <c r="AK77" i="16" a="1"/>
  <c r="AK77" i="16" s="1"/>
  <c r="AK60" i="16" a="1"/>
  <c r="AK60" i="16" s="1"/>
  <c r="AK79" i="16" a="1"/>
  <c r="AK79" i="16" s="1"/>
  <c r="AK80" i="16" a="1"/>
  <c r="AK80" i="16" s="1"/>
  <c r="AK61" i="16" a="1"/>
  <c r="AK61" i="16" s="1"/>
  <c r="AK95" i="16" a="1"/>
  <c r="AK95" i="16" s="1"/>
  <c r="AK86" i="16" a="1"/>
  <c r="AK86" i="16" s="1"/>
  <c r="AK89" i="16" a="1"/>
  <c r="AK89" i="16" s="1"/>
  <c r="AK101" i="16" a="1"/>
  <c r="AK101" i="16" s="1"/>
  <c r="AK96" i="16" a="1"/>
  <c r="AK96" i="16" s="1"/>
  <c r="AK87" i="16" a="1"/>
  <c r="AK87" i="16" s="1"/>
  <c r="AK88" i="16" a="1"/>
  <c r="AK88" i="16" s="1"/>
  <c r="AK93" i="16" a="1"/>
  <c r="AK93" i="16" s="1"/>
  <c r="AK102" i="16" a="1"/>
  <c r="AK102" i="16" s="1"/>
  <c r="AK94" i="16" a="1"/>
  <c r="AK94" i="16" s="1"/>
  <c r="AK81" i="16" a="1"/>
  <c r="AK81" i="16" s="1"/>
  <c r="AK97" i="16" a="1"/>
  <c r="AK97" i="16" s="1"/>
  <c r="AK103" i="16" a="1"/>
  <c r="AK103" i="16" s="1"/>
  <c r="AK98" i="16" a="1"/>
  <c r="AK98" i="16" s="1"/>
  <c r="AK99" i="16" a="1"/>
  <c r="AK99" i="16" s="1"/>
  <c r="AG6" i="16" a="1"/>
  <c r="AG6" i="16" s="1"/>
  <c r="AG7" i="16" a="1"/>
  <c r="AG7" i="16" s="1"/>
  <c r="AG4" i="16" a="1"/>
  <c r="AG4" i="16" s="1"/>
  <c r="AG14" i="16" a="1"/>
  <c r="AG14" i="16" s="1"/>
  <c r="AG8" i="16" a="1"/>
  <c r="AG8" i="16" s="1"/>
  <c r="AG28" i="16" a="1"/>
  <c r="AG28" i="16" s="1"/>
  <c r="AG18" i="16" a="1"/>
  <c r="AG18" i="16" s="1"/>
  <c r="AG9" i="16" a="1"/>
  <c r="AG9" i="16" s="1"/>
  <c r="AG16" i="16" a="1"/>
  <c r="AG16" i="16" s="1"/>
  <c r="AG23" i="16" a="1"/>
  <c r="AG23" i="16" s="1"/>
  <c r="AG22" i="16" a="1"/>
  <c r="AG22" i="16" s="1"/>
  <c r="AG26" i="16" a="1"/>
  <c r="AG26" i="16" s="1"/>
  <c r="AG20" i="16" a="1"/>
  <c r="AG20" i="16" s="1"/>
  <c r="AG24" i="16" a="1"/>
  <c r="AG24" i="16" s="1"/>
  <c r="AG47" i="16" a="1"/>
  <c r="AG47" i="16" s="1"/>
  <c r="AG11" i="16" a="1"/>
  <c r="AG11" i="16" s="1"/>
  <c r="AG17" i="16" a="1"/>
  <c r="AG17" i="16" s="1"/>
  <c r="AG29" i="16" a="1"/>
  <c r="AG29" i="16" s="1"/>
  <c r="AG12" i="16" a="1"/>
  <c r="AG12" i="16" s="1"/>
  <c r="AG31" i="16" a="1"/>
  <c r="AG31" i="16" s="1"/>
  <c r="AG33" i="16" a="1"/>
  <c r="AG33" i="16" s="1"/>
  <c r="AG32" i="16" a="1"/>
  <c r="AG32" i="16" s="1"/>
  <c r="AG35" i="16" a="1"/>
  <c r="AG35" i="16" s="1"/>
  <c r="AG36" i="16" a="1"/>
  <c r="AG36" i="16" s="1"/>
  <c r="AG34" i="16" a="1"/>
  <c r="AG34" i="16" s="1"/>
  <c r="AG39" i="16" a="1"/>
  <c r="AG39" i="16" s="1"/>
  <c r="AG43" i="16" a="1"/>
  <c r="AG43" i="16" s="1"/>
  <c r="AG13" i="16" a="1"/>
  <c r="AG13" i="16" s="1"/>
  <c r="AG42" i="16" a="1"/>
  <c r="AG42" i="16" s="1"/>
  <c r="AG37" i="16" a="1"/>
  <c r="AG37" i="16" s="1"/>
  <c r="AG44" i="16" a="1"/>
  <c r="AG44" i="16" s="1"/>
  <c r="AG25" i="16" a="1"/>
  <c r="AG25" i="16" s="1"/>
  <c r="AG45" i="16" a="1"/>
  <c r="AG45" i="16" s="1"/>
  <c r="AG48" i="16" a="1"/>
  <c r="AG48" i="16" s="1"/>
  <c r="AG30" i="16" a="1"/>
  <c r="AG30" i="16" s="1"/>
  <c r="AG19" i="16" a="1"/>
  <c r="AG19" i="16" s="1"/>
  <c r="AG50" i="16" a="1"/>
  <c r="AG50" i="16" s="1"/>
  <c r="AG46" i="16" a="1"/>
  <c r="AG46" i="16" s="1"/>
  <c r="AG27" i="16" a="1"/>
  <c r="AG27" i="16" s="1"/>
  <c r="AG52" i="16" a="1"/>
  <c r="AG52" i="16" s="1"/>
  <c r="AG40" i="16" a="1"/>
  <c r="AG40" i="16" s="1"/>
  <c r="AG41" i="16" a="1"/>
  <c r="AG41" i="16" s="1"/>
  <c r="AG38" i="16" a="1"/>
  <c r="AG38" i="16" s="1"/>
  <c r="AG49" i="16" a="1"/>
  <c r="AG49" i="16" s="1"/>
  <c r="AG51" i="16" a="1"/>
  <c r="AG51" i="16" s="1"/>
  <c r="AG63" i="16" a="1"/>
  <c r="AG63" i="16" s="1"/>
  <c r="AG10" i="16" a="1"/>
  <c r="AG10" i="16" s="1"/>
  <c r="AG56" i="16" a="1"/>
  <c r="AG56" i="16" s="1"/>
  <c r="AG71" i="16" a="1"/>
  <c r="AG71" i="16" s="1"/>
  <c r="AG72" i="16" a="1"/>
  <c r="AG72" i="16" s="1"/>
  <c r="AG73" i="16" a="1"/>
  <c r="AG73" i="16" s="1"/>
  <c r="AG65" i="16" a="1"/>
  <c r="AG65" i="16" s="1"/>
  <c r="AG54" i="16" a="1"/>
  <c r="AG54" i="16" s="1"/>
  <c r="AG55" i="16" a="1"/>
  <c r="AG55" i="16" s="1"/>
  <c r="AG85" i="16" a="1"/>
  <c r="AG85" i="16" s="1"/>
  <c r="AG58" i="16" a="1"/>
  <c r="AG58" i="16" s="1"/>
  <c r="AG62" i="16" a="1"/>
  <c r="AG62" i="16" s="1"/>
  <c r="AG15" i="16" a="1"/>
  <c r="AG15" i="16" s="1"/>
  <c r="AG53" i="16" a="1"/>
  <c r="AG53" i="16" s="1"/>
  <c r="AG57" i="16" a="1"/>
  <c r="AG57" i="16" s="1"/>
  <c r="AG78" i="16" a="1"/>
  <c r="AG78" i="16" s="1"/>
  <c r="AG74" i="16" a="1"/>
  <c r="AG74" i="16" s="1"/>
  <c r="AG59" i="16" a="1"/>
  <c r="AG59" i="16" s="1"/>
  <c r="AG67" i="16" a="1"/>
  <c r="AG67" i="16" s="1"/>
  <c r="AG82" i="16" a="1"/>
  <c r="AG82" i="16" s="1"/>
  <c r="AG69" i="16" a="1"/>
  <c r="AG69" i="16" s="1"/>
  <c r="AG64" i="16" a="1"/>
  <c r="AG64" i="16" s="1"/>
  <c r="AG75" i="16" a="1"/>
  <c r="AG75" i="16" s="1"/>
  <c r="AG76" i="16" a="1"/>
  <c r="AG76" i="16" s="1"/>
  <c r="AG21" i="16" a="1"/>
  <c r="AG21" i="16" s="1"/>
  <c r="AG66" i="16" a="1"/>
  <c r="AG66" i="16" s="1"/>
  <c r="AG83" i="16" a="1"/>
  <c r="AG83" i="16" s="1"/>
  <c r="AG84" i="16" a="1"/>
  <c r="AG84" i="16" s="1"/>
  <c r="AG100" i="16" a="1"/>
  <c r="AG100" i="16" s="1"/>
  <c r="AG70" i="16" a="1"/>
  <c r="AG70" i="16" s="1"/>
  <c r="AG90" i="16" a="1"/>
  <c r="AG90" i="16" s="1"/>
  <c r="AG91" i="16" a="1"/>
  <c r="AG91" i="16" s="1"/>
  <c r="AG92" i="16" a="1"/>
  <c r="AG92" i="16" s="1"/>
  <c r="AG68" i="16" a="1"/>
  <c r="AG68" i="16" s="1"/>
  <c r="AG77" i="16" a="1"/>
  <c r="AG77" i="16" s="1"/>
  <c r="AG60" i="16" a="1"/>
  <c r="AG60" i="16" s="1"/>
  <c r="AG79" i="16" a="1"/>
  <c r="AG79" i="16" s="1"/>
  <c r="AG80" i="16" a="1"/>
  <c r="AG80" i="16" s="1"/>
  <c r="AG61" i="16" a="1"/>
  <c r="AG61" i="16" s="1"/>
  <c r="AG95" i="16" a="1"/>
  <c r="AG95" i="16" s="1"/>
  <c r="AG86" i="16" a="1"/>
  <c r="AG86" i="16" s="1"/>
  <c r="AG89" i="16" a="1"/>
  <c r="AG89" i="16" s="1"/>
  <c r="AG101" i="16" a="1"/>
  <c r="AG101" i="16" s="1"/>
  <c r="AG96" i="16" a="1"/>
  <c r="AG96" i="16" s="1"/>
  <c r="AG87" i="16" a="1"/>
  <c r="AG87" i="16" s="1"/>
  <c r="AG88" i="16" a="1"/>
  <c r="AG88" i="16" s="1"/>
  <c r="AG93" i="16" a="1"/>
  <c r="AG93" i="16" s="1"/>
  <c r="AG102" i="16" a="1"/>
  <c r="AG102" i="16" s="1"/>
  <c r="AG94" i="16" a="1"/>
  <c r="AG94" i="16" s="1"/>
  <c r="AG81" i="16" a="1"/>
  <c r="AG81" i="16" s="1"/>
  <c r="AG97" i="16" a="1"/>
  <c r="AG97" i="16" s="1"/>
  <c r="AG103" i="16" a="1"/>
  <c r="AG103" i="16" s="1"/>
  <c r="AG98" i="16" a="1"/>
  <c r="AG98" i="16" s="1"/>
  <c r="AG99" i="16" a="1"/>
  <c r="AG99" i="16" s="1"/>
  <c r="Z6" i="16"/>
  <c r="Z7" i="16"/>
  <c r="Z4" i="16"/>
  <c r="Z14" i="16"/>
  <c r="Z8" i="16"/>
  <c r="Z28" i="16"/>
  <c r="Z18" i="16"/>
  <c r="Z9" i="16"/>
  <c r="Z16" i="16"/>
  <c r="Z23" i="16"/>
  <c r="Z22" i="16"/>
  <c r="Z26" i="16"/>
  <c r="Z20" i="16"/>
  <c r="Z24" i="16"/>
  <c r="Z47" i="16"/>
  <c r="Z11" i="16"/>
  <c r="Z17" i="16"/>
  <c r="Z29" i="16"/>
  <c r="Z12" i="16"/>
  <c r="Z31" i="16"/>
  <c r="Z33" i="16"/>
  <c r="Z32" i="16"/>
  <c r="Z35" i="16"/>
  <c r="Z36" i="16"/>
  <c r="Z34" i="16"/>
  <c r="Z39" i="16"/>
  <c r="Z43" i="16"/>
  <c r="Z13" i="16"/>
  <c r="Z42" i="16"/>
  <c r="Z37" i="16"/>
  <c r="Z44" i="16"/>
  <c r="Z25" i="16"/>
  <c r="Z45" i="16"/>
  <c r="Z48" i="16"/>
  <c r="Z30" i="16"/>
  <c r="Z19" i="16"/>
  <c r="Z50" i="16"/>
  <c r="Z46" i="16"/>
  <c r="Z27" i="16"/>
  <c r="Z52" i="16"/>
  <c r="Z40" i="16"/>
  <c r="Z41" i="16"/>
  <c r="Z38" i="16"/>
  <c r="Z49" i="16"/>
  <c r="Z51" i="16"/>
  <c r="Z63" i="16"/>
  <c r="Z10" i="16"/>
  <c r="Z56" i="16"/>
  <c r="Z71" i="16"/>
  <c r="Z72" i="16"/>
  <c r="Z73" i="16"/>
  <c r="Z65" i="16"/>
  <c r="Z54" i="16"/>
  <c r="Z55" i="16"/>
  <c r="Z85" i="16"/>
  <c r="Z58" i="16"/>
  <c r="Z62" i="16"/>
  <c r="Z15" i="16"/>
  <c r="Z53" i="16"/>
  <c r="Z57" i="16"/>
  <c r="Z78" i="16"/>
  <c r="Z74" i="16"/>
  <c r="Z59" i="16"/>
  <c r="Z67" i="16"/>
  <c r="Z82" i="16"/>
  <c r="Z69" i="16"/>
  <c r="Z64" i="16"/>
  <c r="Z75" i="16"/>
  <c r="Z76" i="16"/>
  <c r="Z21" i="16"/>
  <c r="Z66" i="16"/>
  <c r="Z83" i="16"/>
  <c r="Z84" i="16"/>
  <c r="Z100" i="16"/>
  <c r="Z70" i="16"/>
  <c r="Z90" i="16"/>
  <c r="Z91" i="16"/>
  <c r="Z92" i="16"/>
  <c r="Z68" i="16"/>
  <c r="Z77" i="16"/>
  <c r="Z60" i="16"/>
  <c r="Z79" i="16"/>
  <c r="Z80" i="16"/>
  <c r="Z61" i="16"/>
  <c r="Z95" i="16"/>
  <c r="Z86" i="16"/>
  <c r="Z89" i="16"/>
  <c r="Z101" i="16"/>
  <c r="Z96" i="16"/>
  <c r="Z87" i="16"/>
  <c r="Z88" i="16"/>
  <c r="Z93" i="16"/>
  <c r="Z102" i="16"/>
  <c r="Z94" i="16"/>
  <c r="Z81" i="16"/>
  <c r="Z97" i="16"/>
  <c r="Z103" i="16"/>
  <c r="Z98" i="16"/>
  <c r="Z99" i="16"/>
  <c r="N6" i="16" a="1"/>
  <c r="N6" i="16" s="1"/>
  <c r="N7" i="16" a="1"/>
  <c r="N7" i="16" s="1"/>
  <c r="N4" i="16" a="1"/>
  <c r="N4" i="16" s="1"/>
  <c r="N14" i="16" a="1"/>
  <c r="N14" i="16" s="1"/>
  <c r="N8" i="16" a="1"/>
  <c r="N8" i="16" s="1"/>
  <c r="N28" i="16" a="1"/>
  <c r="N28" i="16" s="1"/>
  <c r="N18" i="16" a="1"/>
  <c r="N18" i="16" s="1"/>
  <c r="N9" i="16" a="1"/>
  <c r="N9" i="16" s="1"/>
  <c r="N16" i="16" a="1"/>
  <c r="N16" i="16" s="1"/>
  <c r="N23" i="16" a="1"/>
  <c r="N23" i="16" s="1"/>
  <c r="N22" i="16" a="1"/>
  <c r="N22" i="16" s="1"/>
  <c r="N26" i="16" a="1"/>
  <c r="N26" i="16" s="1"/>
  <c r="N20" i="16" a="1"/>
  <c r="N20" i="16" s="1"/>
  <c r="N24" i="16" a="1"/>
  <c r="N24" i="16" s="1"/>
  <c r="N47" i="16" a="1"/>
  <c r="N47" i="16" s="1"/>
  <c r="N11" i="16" a="1"/>
  <c r="N11" i="16" s="1"/>
  <c r="N5" i="16" a="1"/>
  <c r="N5" i="16" s="1"/>
  <c r="N17" i="16" a="1"/>
  <c r="N17" i="16" s="1"/>
  <c r="N3" i="16" a="1"/>
  <c r="N3" i="16" s="1"/>
  <c r="N29" i="16" a="1"/>
  <c r="N29" i="16" s="1"/>
  <c r="N12" i="16" a="1"/>
  <c r="N12" i="16" s="1"/>
  <c r="N31" i="16" a="1"/>
  <c r="N31" i="16" s="1"/>
  <c r="N33" i="16" a="1"/>
  <c r="N33" i="16" s="1"/>
  <c r="N32" i="16" a="1"/>
  <c r="N32" i="16" s="1"/>
  <c r="N35" i="16" a="1"/>
  <c r="N35" i="16" s="1"/>
  <c r="N36" i="16" a="1"/>
  <c r="N36" i="16" s="1"/>
  <c r="N34" i="16" a="1"/>
  <c r="N34" i="16" s="1"/>
  <c r="N39" i="16" a="1"/>
  <c r="N39" i="16" s="1"/>
  <c r="N43" i="16" a="1"/>
  <c r="N43" i="16" s="1"/>
  <c r="N13" i="16" a="1"/>
  <c r="N13" i="16" s="1"/>
  <c r="N42" i="16" a="1"/>
  <c r="N42" i="16" s="1"/>
  <c r="N37" i="16" a="1"/>
  <c r="N37" i="16" s="1"/>
  <c r="N44" i="16" a="1"/>
  <c r="N44" i="16" s="1"/>
  <c r="N25" i="16" a="1"/>
  <c r="N25" i="16" s="1"/>
  <c r="N45" i="16" a="1"/>
  <c r="N45" i="16" s="1"/>
  <c r="N48" i="16" a="1"/>
  <c r="N48" i="16" s="1"/>
  <c r="N30" i="16" a="1"/>
  <c r="N30" i="16" s="1"/>
  <c r="N19" i="16" a="1"/>
  <c r="N19" i="16" s="1"/>
  <c r="N50" i="16" a="1"/>
  <c r="N50" i="16" s="1"/>
  <c r="N46" i="16" a="1"/>
  <c r="N46" i="16" s="1"/>
  <c r="N27" i="16" a="1"/>
  <c r="N27" i="16" s="1"/>
  <c r="N52" i="16" a="1"/>
  <c r="N52" i="16" s="1"/>
  <c r="N40" i="16" a="1"/>
  <c r="N40" i="16" s="1"/>
  <c r="N41" i="16" a="1"/>
  <c r="N41" i="16" s="1"/>
  <c r="N38" i="16" a="1"/>
  <c r="N38" i="16" s="1"/>
  <c r="N49" i="16" a="1"/>
  <c r="N49" i="16" s="1"/>
  <c r="N51" i="16" a="1"/>
  <c r="N51" i="16" s="1"/>
  <c r="N63" i="16" a="1"/>
  <c r="N63" i="16" s="1"/>
  <c r="N10" i="16" a="1"/>
  <c r="N10" i="16" s="1"/>
  <c r="N56" i="16" a="1"/>
  <c r="N56" i="16" s="1"/>
  <c r="N71" i="16" a="1"/>
  <c r="N71" i="16" s="1"/>
  <c r="N72" i="16" a="1"/>
  <c r="N72" i="16" s="1"/>
  <c r="N73" i="16" a="1"/>
  <c r="N73" i="16" s="1"/>
  <c r="N65" i="16" a="1"/>
  <c r="N65" i="16" s="1"/>
  <c r="N54" i="16" a="1"/>
  <c r="N54" i="16" s="1"/>
  <c r="N55" i="16" a="1"/>
  <c r="N55" i="16" s="1"/>
  <c r="N85" i="16" a="1"/>
  <c r="N85" i="16" s="1"/>
  <c r="N58" i="16" a="1"/>
  <c r="N58" i="16" s="1"/>
  <c r="N62" i="16" a="1"/>
  <c r="N62" i="16" s="1"/>
  <c r="N15" i="16" a="1"/>
  <c r="N15" i="16" s="1"/>
  <c r="N53" i="16" a="1"/>
  <c r="N53" i="16" s="1"/>
  <c r="N57" i="16" a="1"/>
  <c r="N57" i="16" s="1"/>
  <c r="N78" i="16" a="1"/>
  <c r="N78" i="16" s="1"/>
  <c r="N74" i="16" a="1"/>
  <c r="N74" i="16" s="1"/>
  <c r="N59" i="16" a="1"/>
  <c r="N59" i="16" s="1"/>
  <c r="N67" i="16" a="1"/>
  <c r="N67" i="16" s="1"/>
  <c r="N82" i="16" a="1"/>
  <c r="N82" i="16" s="1"/>
  <c r="N69" i="16" a="1"/>
  <c r="N69" i="16" s="1"/>
  <c r="N64" i="16" a="1"/>
  <c r="N64" i="16" s="1"/>
  <c r="N75" i="16" a="1"/>
  <c r="N75" i="16" s="1"/>
  <c r="N76" i="16" a="1"/>
  <c r="N76" i="16" s="1"/>
  <c r="N21" i="16" a="1"/>
  <c r="N21" i="16" s="1"/>
  <c r="N66" i="16" a="1"/>
  <c r="N66" i="16" s="1"/>
  <c r="N83" i="16" a="1"/>
  <c r="N83" i="16" s="1"/>
  <c r="N84" i="16" a="1"/>
  <c r="N84" i="16" s="1"/>
  <c r="N100" i="16" a="1"/>
  <c r="N100" i="16" s="1"/>
  <c r="N70" i="16" a="1"/>
  <c r="N70" i="16" s="1"/>
  <c r="N90" i="16" a="1"/>
  <c r="N90" i="16" s="1"/>
  <c r="N91" i="16" a="1"/>
  <c r="N91" i="16" s="1"/>
  <c r="N92" i="16" a="1"/>
  <c r="N92" i="16" s="1"/>
  <c r="N68" i="16" a="1"/>
  <c r="N68" i="16" s="1"/>
  <c r="N77" i="16" a="1"/>
  <c r="N77" i="16" s="1"/>
  <c r="N60" i="16" a="1"/>
  <c r="N60" i="16" s="1"/>
  <c r="N79" i="16" a="1"/>
  <c r="N79" i="16" s="1"/>
  <c r="N80" i="16" a="1"/>
  <c r="N80" i="16" s="1"/>
  <c r="N61" i="16" a="1"/>
  <c r="N61" i="16" s="1"/>
  <c r="N95" i="16" a="1"/>
  <c r="N95" i="16" s="1"/>
  <c r="N86" i="16" a="1"/>
  <c r="N86" i="16" s="1"/>
  <c r="N89" i="16" a="1"/>
  <c r="N89" i="16" s="1"/>
  <c r="N101" i="16" a="1"/>
  <c r="N101" i="16" s="1"/>
  <c r="N96" i="16" a="1"/>
  <c r="N96" i="16" s="1"/>
  <c r="N87" i="16" a="1"/>
  <c r="N87" i="16" s="1"/>
  <c r="N88" i="16" a="1"/>
  <c r="N88" i="16" s="1"/>
  <c r="N93" i="16" a="1"/>
  <c r="N93" i="16" s="1"/>
  <c r="N102" i="16" a="1"/>
  <c r="N102" i="16" s="1"/>
  <c r="N94" i="16" a="1"/>
  <c r="N94" i="16" s="1"/>
  <c r="N81" i="16" a="1"/>
  <c r="N81" i="16" s="1"/>
  <c r="N97" i="16" a="1"/>
  <c r="N97" i="16" s="1"/>
  <c r="N103" i="16" a="1"/>
  <c r="N103" i="16" s="1"/>
  <c r="N98" i="16" a="1"/>
  <c r="N98" i="16" s="1"/>
  <c r="N99" i="16" a="1"/>
  <c r="N99" i="16" s="1"/>
  <c r="K15" i="23" l="1"/>
  <c r="I15" i="23"/>
  <c r="G15" i="23"/>
  <c r="E15" i="23"/>
  <c r="K14" i="23"/>
  <c r="I14" i="23"/>
  <c r="G14" i="23"/>
  <c r="E14" i="23"/>
  <c r="K17" i="23"/>
  <c r="I17" i="23"/>
  <c r="G17" i="23"/>
  <c r="E17" i="23"/>
  <c r="K25" i="23"/>
  <c r="I25" i="23"/>
  <c r="G25" i="23"/>
  <c r="E25" i="23"/>
  <c r="K24" i="23"/>
  <c r="I24" i="23"/>
  <c r="G24" i="23"/>
  <c r="E24" i="23"/>
  <c r="K23" i="23"/>
  <c r="I23" i="23"/>
  <c r="G23" i="23"/>
  <c r="E23" i="23"/>
  <c r="K22" i="23"/>
  <c r="I22" i="23"/>
  <c r="G22" i="23"/>
  <c r="E22" i="23"/>
  <c r="K21" i="23"/>
  <c r="I21" i="23"/>
  <c r="G21" i="23"/>
  <c r="E21" i="23"/>
  <c r="K20" i="23"/>
  <c r="I20" i="23"/>
  <c r="G20" i="23"/>
  <c r="E20" i="23"/>
  <c r="K29" i="23"/>
  <c r="I29" i="23"/>
  <c r="G29" i="23"/>
  <c r="E29" i="23"/>
  <c r="K28" i="23"/>
  <c r="I28" i="23"/>
  <c r="G28" i="23"/>
  <c r="E28" i="23"/>
  <c r="K27" i="23"/>
  <c r="I27" i="23"/>
  <c r="G27" i="23"/>
  <c r="E27" i="23"/>
  <c r="K34" i="23"/>
  <c r="I34" i="23"/>
  <c r="G34" i="23"/>
  <c r="E34" i="23"/>
  <c r="K33" i="23"/>
  <c r="I33" i="23"/>
  <c r="G33" i="23"/>
  <c r="E33" i="23"/>
  <c r="K32" i="23"/>
  <c r="I32" i="23"/>
  <c r="G32" i="23"/>
  <c r="E32" i="23"/>
  <c r="K31" i="23"/>
  <c r="I31" i="23"/>
  <c r="G31" i="23"/>
  <c r="E31" i="23"/>
  <c r="K37" i="23"/>
  <c r="I37" i="23"/>
  <c r="G37" i="23"/>
  <c r="E37" i="23"/>
  <c r="K36" i="23"/>
  <c r="I36" i="23"/>
  <c r="G36" i="23"/>
  <c r="E36" i="23"/>
  <c r="C36" i="23"/>
  <c r="C37" i="23"/>
  <c r="C39" i="23"/>
  <c r="C40" i="23"/>
  <c r="K43" i="23"/>
  <c r="G43" i="23"/>
  <c r="E43" i="23"/>
  <c r="K42" i="23"/>
  <c r="I42" i="23"/>
  <c r="G42" i="23"/>
  <c r="E42" i="23"/>
  <c r="K41" i="23"/>
  <c r="I41" i="23"/>
  <c r="G41" i="23"/>
  <c r="E41" i="23"/>
  <c r="K40" i="23"/>
  <c r="I40" i="23"/>
  <c r="G40" i="23"/>
  <c r="E40" i="23"/>
  <c r="K39" i="23"/>
  <c r="I39" i="23"/>
  <c r="G39" i="23"/>
  <c r="E39" i="23"/>
  <c r="C34" i="23"/>
  <c r="C33" i="23"/>
  <c r="C32" i="23"/>
  <c r="C31" i="23"/>
  <c r="C42" i="23"/>
  <c r="C41" i="23"/>
  <c r="C29" i="23"/>
  <c r="C28" i="23"/>
  <c r="C27" i="23"/>
  <c r="C25" i="23"/>
  <c r="C24" i="23"/>
  <c r="C23" i="23"/>
  <c r="C22" i="23"/>
  <c r="C21" i="23"/>
  <c r="C20" i="23"/>
  <c r="C17" i="23"/>
  <c r="K50" i="23"/>
  <c r="K49" i="23"/>
  <c r="K48" i="23"/>
  <c r="K47" i="23"/>
  <c r="K46" i="23"/>
  <c r="K45" i="23"/>
  <c r="I50" i="23"/>
  <c r="I49" i="23"/>
  <c r="I48" i="23"/>
  <c r="I47" i="23"/>
  <c r="I46" i="23"/>
  <c r="I45" i="23"/>
  <c r="G50" i="23"/>
  <c r="G49" i="23"/>
  <c r="G48" i="23"/>
  <c r="G47" i="23"/>
  <c r="G46" i="23"/>
  <c r="G45" i="23"/>
  <c r="E50" i="23"/>
  <c r="E49" i="23"/>
  <c r="E48" i="23"/>
  <c r="E47" i="23"/>
  <c r="E46" i="23"/>
  <c r="E45" i="23"/>
  <c r="C50" i="23"/>
  <c r="C49" i="23"/>
  <c r="C48" i="23"/>
  <c r="C47" i="23"/>
  <c r="C46" i="23"/>
  <c r="C45" i="23"/>
  <c r="C15" i="23"/>
  <c r="C14" i="23"/>
  <c r="K12" i="23"/>
  <c r="K11" i="23"/>
  <c r="K10" i="23"/>
  <c r="I12" i="23"/>
  <c r="I11" i="23"/>
  <c r="I10" i="23"/>
  <c r="G12" i="23"/>
  <c r="G11" i="23"/>
  <c r="G10" i="23"/>
  <c r="E12" i="23"/>
  <c r="E11" i="23"/>
  <c r="E10" i="23"/>
  <c r="C12" i="23"/>
  <c r="C11" i="23"/>
  <c r="C10" i="23"/>
  <c r="K9" i="23"/>
  <c r="I9" i="23"/>
  <c r="G9" i="23"/>
  <c r="E9" i="23"/>
  <c r="C9" i="23"/>
  <c r="U12" i="23"/>
  <c r="U11" i="23"/>
  <c r="U10" i="23"/>
  <c r="U9" i="23"/>
  <c r="U8" i="23"/>
  <c r="U7" i="23"/>
  <c r="U6" i="23"/>
  <c r="U5" i="23"/>
  <c r="U4" i="23"/>
  <c r="S3" i="23"/>
  <c r="R3" i="23"/>
  <c r="Q3" i="23"/>
  <c r="P3" i="23"/>
  <c r="O3" i="23"/>
  <c r="K7" i="23"/>
  <c r="I7" i="23"/>
  <c r="G7" i="23"/>
  <c r="E7" i="23"/>
  <c r="C7" i="23"/>
  <c r="K6" i="23"/>
  <c r="I6" i="23"/>
  <c r="G6" i="23"/>
  <c r="E6" i="23"/>
  <c r="C6" i="23"/>
  <c r="K5" i="23"/>
  <c r="I5" i="23"/>
  <c r="G5" i="23"/>
  <c r="E5" i="23"/>
  <c r="C5" i="23"/>
  <c r="K4" i="23"/>
  <c r="I4" i="23"/>
  <c r="G4" i="23"/>
  <c r="E4" i="23"/>
  <c r="C4" i="23"/>
  <c r="K3" i="23"/>
  <c r="I3" i="23"/>
  <c r="G3" i="23"/>
  <c r="E3" i="23"/>
  <c r="C3" i="23"/>
  <c r="D25" i="21"/>
  <c r="D26" i="21"/>
  <c r="D27" i="21"/>
  <c r="D28" i="21"/>
  <c r="D29" i="21"/>
  <c r="D30" i="21"/>
  <c r="D31" i="21"/>
  <c r="D32" i="21"/>
  <c r="D33" i="21"/>
  <c r="E24" i="21"/>
  <c r="F24" i="21"/>
  <c r="G24" i="21"/>
  <c r="H24" i="21"/>
  <c r="I24" i="21"/>
  <c r="G7" i="21"/>
  <c r="F7" i="21"/>
  <c r="E7" i="21"/>
  <c r="D7" i="21"/>
  <c r="G6" i="21"/>
  <c r="F6" i="21"/>
  <c r="E6" i="21"/>
  <c r="D6" i="21"/>
  <c r="G5" i="21"/>
  <c r="F5" i="21"/>
  <c r="E5" i="21"/>
  <c r="D5" i="21"/>
  <c r="G4" i="21"/>
  <c r="F4" i="21"/>
  <c r="E4" i="21"/>
  <c r="D4" i="21"/>
  <c r="G3" i="21"/>
  <c r="F3" i="21"/>
  <c r="E3" i="21"/>
  <c r="D3" i="21"/>
  <c r="C5" i="21"/>
  <c r="C6" i="21"/>
  <c r="C7" i="21"/>
  <c r="C4" i="21"/>
  <c r="C3" i="21"/>
  <c r="W89" i="16"/>
  <c r="W49" i="16"/>
  <c r="W15" i="16"/>
  <c r="W19" i="16"/>
  <c r="W59" i="16"/>
  <c r="W10" i="16"/>
  <c r="W45" i="16"/>
  <c r="W34" i="16"/>
  <c r="W36" i="16"/>
  <c r="W35" i="16"/>
  <c r="W32" i="16"/>
  <c r="W92" i="16"/>
  <c r="W37" i="16"/>
  <c r="W65" i="16"/>
  <c r="W26" i="16"/>
  <c r="W96" i="16"/>
  <c r="W91" i="16"/>
  <c r="W90" i="16"/>
  <c r="W73" i="16"/>
  <c r="W72" i="16"/>
  <c r="W50" i="16"/>
  <c r="W48" i="16"/>
  <c r="W81" i="16"/>
  <c r="W100" i="16"/>
  <c r="W21" i="16"/>
  <c r="W55" i="16"/>
  <c r="W103" i="16"/>
  <c r="W70" i="16"/>
  <c r="W71" i="16"/>
  <c r="W43" i="16"/>
  <c r="W31" i="16"/>
  <c r="W13" i="16"/>
  <c r="W18" i="16"/>
  <c r="W5" i="16"/>
  <c r="W57" i="16"/>
  <c r="W24" i="16"/>
  <c r="W69" i="16"/>
  <c r="W74" i="16"/>
  <c r="W62" i="16"/>
  <c r="W42" i="16"/>
  <c r="W86" i="16"/>
  <c r="W61" i="16"/>
  <c r="W80" i="16"/>
  <c r="W79" i="16"/>
  <c r="W60" i="16"/>
  <c r="W68" i="16"/>
  <c r="W25" i="16"/>
  <c r="W51" i="16"/>
  <c r="W94" i="16"/>
  <c r="W78" i="16"/>
  <c r="W85" i="16"/>
  <c r="W54" i="16"/>
  <c r="W46" i="16"/>
  <c r="W84" i="16"/>
  <c r="W58" i="16"/>
  <c r="W83" i="16"/>
  <c r="W41" i="16"/>
  <c r="W102" i="16"/>
  <c r="W27" i="16"/>
  <c r="W30" i="16"/>
  <c r="W77" i="16"/>
  <c r="W75" i="16"/>
  <c r="W64" i="16"/>
  <c r="W63" i="16"/>
  <c r="W44" i="16"/>
  <c r="W29" i="16"/>
  <c r="W33" i="16"/>
  <c r="W99" i="16"/>
  <c r="W40" i="16"/>
  <c r="W47" i="16"/>
  <c r="W76" i="16"/>
  <c r="W98" i="16"/>
  <c r="W82" i="16"/>
  <c r="W67" i="16"/>
  <c r="W56" i="16"/>
  <c r="W97" i="16"/>
  <c r="W93" i="16"/>
  <c r="W101" i="16"/>
  <c r="W53" i="16"/>
  <c r="W66" i="16"/>
  <c r="W39" i="16"/>
  <c r="W87" i="16"/>
  <c r="W88" i="16"/>
  <c r="W95" i="16"/>
  <c r="W20" i="16"/>
  <c r="W11" i="16"/>
  <c r="W6" i="16"/>
  <c r="W3" i="16"/>
  <c r="W52" i="16"/>
  <c r="W17" i="16"/>
  <c r="W16" i="16"/>
  <c r="W8" i="16"/>
  <c r="W38" i="16"/>
  <c r="W9" i="16"/>
  <c r="W22" i="16"/>
  <c r="W23" i="16"/>
  <c r="S9" i="16"/>
  <c r="S23" i="16"/>
  <c r="S98" i="16"/>
  <c r="S97" i="16"/>
  <c r="S99" i="16"/>
  <c r="S102" i="16"/>
  <c r="S103" i="16"/>
  <c r="S81" i="16"/>
  <c r="S93" i="16"/>
  <c r="S101" i="16"/>
  <c r="S88" i="16"/>
  <c r="S94" i="16"/>
  <c r="S87" i="16"/>
  <c r="S96" i="16"/>
  <c r="S95" i="16"/>
  <c r="S86" i="16"/>
  <c r="S77" i="16"/>
  <c r="S61" i="16"/>
  <c r="S80" i="16"/>
  <c r="S79" i="16"/>
  <c r="S60" i="16"/>
  <c r="S89" i="16"/>
  <c r="S68" i="16"/>
  <c r="S83" i="16"/>
  <c r="S92" i="16"/>
  <c r="S84" i="16"/>
  <c r="S91" i="16"/>
  <c r="S90" i="16"/>
  <c r="S66" i="16"/>
  <c r="S75" i="16"/>
  <c r="S64" i="16"/>
  <c r="S70" i="16"/>
  <c r="S51" i="16"/>
  <c r="S49" i="16"/>
  <c r="S69" i="16"/>
  <c r="S67" i="16"/>
  <c r="S74" i="16"/>
  <c r="S38" i="16"/>
  <c r="S82" i="16"/>
  <c r="S76" i="16"/>
  <c r="S100" i="16"/>
  <c r="S57" i="16"/>
  <c r="S59" i="16"/>
  <c r="S62" i="16"/>
  <c r="S21" i="16"/>
  <c r="S27" i="16"/>
  <c r="S41" i="16"/>
  <c r="S53" i="16"/>
  <c r="S56" i="16"/>
  <c r="S78" i="16"/>
  <c r="S52" i="16"/>
  <c r="S85" i="16"/>
  <c r="S58" i="16"/>
  <c r="S54" i="16"/>
  <c r="S55" i="16"/>
  <c r="S15" i="16"/>
  <c r="S73" i="16"/>
  <c r="S72" i="16"/>
  <c r="S63" i="16"/>
  <c r="S71" i="16"/>
  <c r="S65" i="16"/>
  <c r="S45" i="16"/>
  <c r="S44" i="16"/>
  <c r="S43" i="16"/>
  <c r="S13" i="16"/>
  <c r="S50" i="16"/>
  <c r="S30" i="16"/>
  <c r="S10" i="16"/>
  <c r="S29" i="16"/>
  <c r="S37" i="16"/>
  <c r="S48" i="16"/>
  <c r="S47" i="16"/>
  <c r="S46" i="16"/>
  <c r="S19" i="16"/>
  <c r="S42" i="16"/>
  <c r="S20" i="16"/>
  <c r="S40" i="16"/>
  <c r="S26" i="16"/>
  <c r="S25" i="16"/>
  <c r="S5" i="16"/>
  <c r="S24" i="16"/>
  <c r="S34" i="16"/>
  <c r="S36" i="16"/>
  <c r="S35" i="16"/>
  <c r="S33" i="16"/>
  <c r="S32" i="16"/>
  <c r="S39" i="16"/>
  <c r="S31" i="16"/>
  <c r="S22" i="16"/>
  <c r="S6" i="16"/>
  <c r="S17" i="16"/>
  <c r="S18" i="16"/>
  <c r="S11" i="16"/>
  <c r="S16" i="16"/>
  <c r="S8" i="16"/>
  <c r="S3" i="16"/>
  <c r="DT8" i="16"/>
  <c r="DT16" i="16"/>
  <c r="DT9" i="16"/>
  <c r="DT11" i="16"/>
  <c r="DT23" i="16"/>
  <c r="DT18" i="16"/>
  <c r="DT17" i="16"/>
  <c r="DT6" i="16"/>
  <c r="DT22" i="16"/>
  <c r="DT31" i="16"/>
  <c r="DT39" i="16"/>
  <c r="DT32" i="16"/>
  <c r="DT33" i="16"/>
  <c r="DT35" i="16"/>
  <c r="DT36" i="16"/>
  <c r="DT34" i="16"/>
  <c r="DT24" i="16"/>
  <c r="DT25" i="16"/>
  <c r="DT26" i="16"/>
  <c r="DT40" i="16"/>
  <c r="DT20" i="16"/>
  <c r="DT42" i="16"/>
  <c r="DT19" i="16"/>
  <c r="DT46" i="16"/>
  <c r="DT47" i="16"/>
  <c r="DT48" i="16"/>
  <c r="DT37" i="16"/>
  <c r="DT29" i="16"/>
  <c r="DT10" i="16"/>
  <c r="DT30" i="16"/>
  <c r="DT50" i="16"/>
  <c r="DT13" i="16"/>
  <c r="DT43" i="16"/>
  <c r="DT44" i="16"/>
  <c r="DT45" i="16"/>
  <c r="DT65" i="16"/>
  <c r="DT71" i="16"/>
  <c r="DT63" i="16"/>
  <c r="DT72" i="16"/>
  <c r="DT73" i="16"/>
  <c r="DT15" i="16"/>
  <c r="DT55" i="16"/>
  <c r="DT54" i="16"/>
  <c r="DT58" i="16"/>
  <c r="DT85" i="16"/>
  <c r="DT52" i="16"/>
  <c r="DT78" i="16"/>
  <c r="DT56" i="16"/>
  <c r="DT53" i="16"/>
  <c r="DT41" i="16"/>
  <c r="DT27" i="16"/>
  <c r="DT21" i="16"/>
  <c r="DT62" i="16"/>
  <c r="DT59" i="16"/>
  <c r="DT57" i="16"/>
  <c r="DT100" i="16"/>
  <c r="DT76" i="16"/>
  <c r="DT82" i="16"/>
  <c r="DT38" i="16"/>
  <c r="DT74" i="16"/>
  <c r="DT67" i="16"/>
  <c r="DT69" i="16"/>
  <c r="DT49" i="16"/>
  <c r="DT51" i="16"/>
  <c r="DT70" i="16"/>
  <c r="DT64" i="16"/>
  <c r="DT75" i="16"/>
  <c r="DT66" i="16"/>
  <c r="DT90" i="16"/>
  <c r="DT91" i="16"/>
  <c r="DT84" i="16"/>
  <c r="DT92" i="16"/>
  <c r="DT83" i="16"/>
  <c r="DT68" i="16"/>
  <c r="DT89" i="16"/>
  <c r="DT60" i="16"/>
  <c r="DT79" i="16"/>
  <c r="DT80" i="16"/>
  <c r="DT61" i="16"/>
  <c r="DT77" i="16"/>
  <c r="DT86" i="16"/>
  <c r="DT95" i="16"/>
  <c r="DT96" i="16"/>
  <c r="DT87" i="16"/>
  <c r="DT94" i="16"/>
  <c r="DT88" i="16"/>
  <c r="DT101" i="16"/>
  <c r="DT93" i="16"/>
  <c r="DT81" i="16"/>
  <c r="DT103" i="16"/>
  <c r="DT102" i="16"/>
  <c r="DT99" i="16"/>
  <c r="DT97" i="16"/>
  <c r="DT98" i="16"/>
  <c r="DQ8" i="16"/>
  <c r="DQ16" i="16"/>
  <c r="DQ9" i="16"/>
  <c r="DQ11" i="16"/>
  <c r="DQ23" i="16"/>
  <c r="DQ18" i="16"/>
  <c r="DQ17" i="16"/>
  <c r="DQ6" i="16"/>
  <c r="DQ22" i="16"/>
  <c r="DQ31" i="16"/>
  <c r="DQ39" i="16"/>
  <c r="DQ32" i="16"/>
  <c r="DQ33" i="16"/>
  <c r="DQ35" i="16"/>
  <c r="DQ36" i="16"/>
  <c r="DQ34" i="16"/>
  <c r="DQ24" i="16"/>
  <c r="DQ25" i="16"/>
  <c r="DQ26" i="16"/>
  <c r="DQ40" i="16"/>
  <c r="DQ20" i="16"/>
  <c r="DQ42" i="16"/>
  <c r="DQ19" i="16"/>
  <c r="DQ46" i="16"/>
  <c r="DQ47" i="16"/>
  <c r="DQ48" i="16"/>
  <c r="DQ37" i="16"/>
  <c r="DQ29" i="16"/>
  <c r="DQ10" i="16"/>
  <c r="DQ30" i="16"/>
  <c r="DQ50" i="16"/>
  <c r="DQ13" i="16"/>
  <c r="DQ43" i="16"/>
  <c r="DQ44" i="16"/>
  <c r="DQ45" i="16"/>
  <c r="DQ65" i="16"/>
  <c r="DQ71" i="16"/>
  <c r="DQ63" i="16"/>
  <c r="DQ72" i="16"/>
  <c r="DQ73" i="16"/>
  <c r="DQ15" i="16"/>
  <c r="DQ55" i="16"/>
  <c r="DQ54" i="16"/>
  <c r="DQ58" i="16"/>
  <c r="DQ85" i="16"/>
  <c r="DQ52" i="16"/>
  <c r="DQ78" i="16"/>
  <c r="DQ56" i="16"/>
  <c r="DQ53" i="16"/>
  <c r="DQ41" i="16"/>
  <c r="DQ27" i="16"/>
  <c r="DQ21" i="16"/>
  <c r="DQ62" i="16"/>
  <c r="DQ59" i="16"/>
  <c r="DQ57" i="16"/>
  <c r="DQ100" i="16"/>
  <c r="DQ76" i="16"/>
  <c r="DQ82" i="16"/>
  <c r="DQ38" i="16"/>
  <c r="DQ74" i="16"/>
  <c r="DQ67" i="16"/>
  <c r="DQ69" i="16"/>
  <c r="DQ49" i="16"/>
  <c r="DQ51" i="16"/>
  <c r="DQ70" i="16"/>
  <c r="DQ64" i="16"/>
  <c r="DQ75" i="16"/>
  <c r="DQ66" i="16"/>
  <c r="DQ90" i="16"/>
  <c r="DQ91" i="16"/>
  <c r="DQ84" i="16"/>
  <c r="DQ92" i="16"/>
  <c r="DQ83" i="16"/>
  <c r="DQ68" i="16"/>
  <c r="DQ89" i="16"/>
  <c r="DQ60" i="16"/>
  <c r="DQ79" i="16"/>
  <c r="DQ80" i="16"/>
  <c r="DQ61" i="16"/>
  <c r="DQ77" i="16"/>
  <c r="DQ86" i="16"/>
  <c r="DQ95" i="16"/>
  <c r="DQ96" i="16"/>
  <c r="DQ87" i="16"/>
  <c r="DQ94" i="16"/>
  <c r="DQ88" i="16"/>
  <c r="DQ101" i="16"/>
  <c r="DQ93" i="16"/>
  <c r="DQ81" i="16"/>
  <c r="DQ103" i="16"/>
  <c r="DQ102" i="16"/>
  <c r="DQ99" i="16"/>
  <c r="DQ97" i="16"/>
  <c r="DQ98" i="16"/>
  <c r="DN8" i="16"/>
  <c r="DN16" i="16"/>
  <c r="DN9" i="16"/>
  <c r="DN11" i="16"/>
  <c r="DN23" i="16"/>
  <c r="DN18" i="16"/>
  <c r="DN17" i="16"/>
  <c r="DN6" i="16"/>
  <c r="DN22" i="16"/>
  <c r="DN31" i="16"/>
  <c r="DN39" i="16"/>
  <c r="DN32" i="16"/>
  <c r="DN33" i="16"/>
  <c r="DN35" i="16"/>
  <c r="DN36" i="16"/>
  <c r="DN34" i="16"/>
  <c r="DN24" i="16"/>
  <c r="DN25" i="16"/>
  <c r="DN26" i="16"/>
  <c r="DN40" i="16"/>
  <c r="DN20" i="16"/>
  <c r="DN42" i="16"/>
  <c r="DN19" i="16"/>
  <c r="DN46" i="16"/>
  <c r="DN47" i="16"/>
  <c r="DN48" i="16"/>
  <c r="DN37" i="16"/>
  <c r="DN29" i="16"/>
  <c r="DN10" i="16"/>
  <c r="DN30" i="16"/>
  <c r="DN50" i="16"/>
  <c r="DN13" i="16"/>
  <c r="DN43" i="16"/>
  <c r="DN44" i="16"/>
  <c r="DN45" i="16"/>
  <c r="DN65" i="16"/>
  <c r="DN71" i="16"/>
  <c r="DN63" i="16"/>
  <c r="DN72" i="16"/>
  <c r="DN73" i="16"/>
  <c r="DN15" i="16"/>
  <c r="DN55" i="16"/>
  <c r="DN54" i="16"/>
  <c r="DN58" i="16"/>
  <c r="DN85" i="16"/>
  <c r="DN52" i="16"/>
  <c r="DN78" i="16"/>
  <c r="DN56" i="16"/>
  <c r="DN53" i="16"/>
  <c r="DN41" i="16"/>
  <c r="DN27" i="16"/>
  <c r="DN21" i="16"/>
  <c r="DN62" i="16"/>
  <c r="DN59" i="16"/>
  <c r="DN57" i="16"/>
  <c r="DN100" i="16"/>
  <c r="DN76" i="16"/>
  <c r="DN82" i="16"/>
  <c r="DN38" i="16"/>
  <c r="DN74" i="16"/>
  <c r="DN67" i="16"/>
  <c r="DN69" i="16"/>
  <c r="DN49" i="16"/>
  <c r="DN51" i="16"/>
  <c r="DN70" i="16"/>
  <c r="DN64" i="16"/>
  <c r="DN75" i="16"/>
  <c r="DN66" i="16"/>
  <c r="DN90" i="16"/>
  <c r="DN91" i="16"/>
  <c r="DN84" i="16"/>
  <c r="DN92" i="16"/>
  <c r="DN83" i="16"/>
  <c r="DN68" i="16"/>
  <c r="DN89" i="16"/>
  <c r="DN60" i="16"/>
  <c r="DN79" i="16"/>
  <c r="DN80" i="16"/>
  <c r="DN61" i="16"/>
  <c r="DN77" i="16"/>
  <c r="DN86" i="16"/>
  <c r="DN95" i="16"/>
  <c r="DN96" i="16"/>
  <c r="DN87" i="16"/>
  <c r="DN94" i="16"/>
  <c r="DN88" i="16"/>
  <c r="DN101" i="16"/>
  <c r="DN93" i="16"/>
  <c r="DN81" i="16"/>
  <c r="DN103" i="16"/>
  <c r="DN102" i="16"/>
  <c r="DN99" i="16"/>
  <c r="DN97" i="16"/>
  <c r="DN98" i="16"/>
  <c r="F47" i="23"/>
  <c r="D47" i="23"/>
  <c r="H47" i="23"/>
  <c r="J47" i="23"/>
  <c r="L47" i="23"/>
  <c r="DH8" i="16"/>
  <c r="DH16" i="16"/>
  <c r="DH9" i="16"/>
  <c r="DH11" i="16"/>
  <c r="DH23" i="16"/>
  <c r="DH18" i="16"/>
  <c r="DH17" i="16"/>
  <c r="DH6" i="16"/>
  <c r="DH22" i="16"/>
  <c r="DH31" i="16"/>
  <c r="DH39" i="16"/>
  <c r="DH32" i="16"/>
  <c r="DH33" i="16"/>
  <c r="DH35" i="16"/>
  <c r="DH36" i="16"/>
  <c r="DH34" i="16"/>
  <c r="DH24" i="16"/>
  <c r="DH25" i="16"/>
  <c r="DH26" i="16"/>
  <c r="DH40" i="16"/>
  <c r="DH20" i="16"/>
  <c r="DH42" i="16"/>
  <c r="DH19" i="16"/>
  <c r="DH46" i="16"/>
  <c r="DH47" i="16"/>
  <c r="DH48" i="16"/>
  <c r="DH37" i="16"/>
  <c r="DH29" i="16"/>
  <c r="DH10" i="16"/>
  <c r="DH30" i="16"/>
  <c r="DH50" i="16"/>
  <c r="DH13" i="16"/>
  <c r="DH43" i="16"/>
  <c r="DH44" i="16"/>
  <c r="DH45" i="16"/>
  <c r="DH65" i="16"/>
  <c r="DH71" i="16"/>
  <c r="DH63" i="16"/>
  <c r="DH72" i="16"/>
  <c r="DH73" i="16"/>
  <c r="DH15" i="16"/>
  <c r="DH55" i="16"/>
  <c r="DH54" i="16"/>
  <c r="DH58" i="16"/>
  <c r="DH85" i="16"/>
  <c r="DH52" i="16"/>
  <c r="DH78" i="16"/>
  <c r="DH56" i="16"/>
  <c r="DH53" i="16"/>
  <c r="DH41" i="16"/>
  <c r="DH27" i="16"/>
  <c r="DH21" i="16"/>
  <c r="DH62" i="16"/>
  <c r="DH59" i="16"/>
  <c r="DH57" i="16"/>
  <c r="DH100" i="16"/>
  <c r="DH76" i="16"/>
  <c r="DH82" i="16"/>
  <c r="DH38" i="16"/>
  <c r="DH74" i="16"/>
  <c r="DH67" i="16"/>
  <c r="DH69" i="16"/>
  <c r="DH49" i="16"/>
  <c r="DH51" i="16"/>
  <c r="DH70" i="16"/>
  <c r="DH64" i="16"/>
  <c r="DH75" i="16"/>
  <c r="DH66" i="16"/>
  <c r="DH90" i="16"/>
  <c r="DH91" i="16"/>
  <c r="DH84" i="16"/>
  <c r="DH92" i="16"/>
  <c r="DH83" i="16"/>
  <c r="DH68" i="16"/>
  <c r="DH89" i="16"/>
  <c r="DH60" i="16"/>
  <c r="DH79" i="16"/>
  <c r="DH80" i="16"/>
  <c r="DH61" i="16"/>
  <c r="DH77" i="16"/>
  <c r="DH86" i="16"/>
  <c r="DH95" i="16"/>
  <c r="DH96" i="16"/>
  <c r="DH87" i="16"/>
  <c r="DH94" i="16"/>
  <c r="DH88" i="16"/>
  <c r="DH101" i="16"/>
  <c r="DH93" i="16"/>
  <c r="DH81" i="16"/>
  <c r="DH103" i="16"/>
  <c r="DH102" i="16"/>
  <c r="DH99" i="16"/>
  <c r="DH97" i="16"/>
  <c r="DH98" i="16"/>
  <c r="J34" i="20"/>
  <c r="J33" i="20"/>
  <c r="J32" i="20"/>
  <c r="J6" i="20"/>
  <c r="J5" i="20"/>
  <c r="J35" i="20"/>
  <c r="J31" i="20"/>
  <c r="J30" i="20"/>
  <c r="J29" i="20"/>
  <c r="J28" i="20"/>
  <c r="J27" i="20"/>
  <c r="J26" i="20"/>
  <c r="J25" i="20"/>
  <c r="J24" i="20"/>
  <c r="J23" i="20"/>
  <c r="J22" i="20"/>
  <c r="J21" i="20"/>
  <c r="J20" i="20"/>
  <c r="J19" i="20"/>
  <c r="J18" i="20"/>
  <c r="J17" i="20"/>
  <c r="J16" i="20"/>
  <c r="J15" i="20"/>
  <c r="J14" i="20"/>
  <c r="J13" i="20"/>
  <c r="J12" i="20"/>
  <c r="J11" i="20"/>
  <c r="J10" i="20"/>
  <c r="J9" i="20"/>
  <c r="J8" i="20"/>
  <c r="J7" i="20"/>
  <c r="J4" i="20"/>
  <c r="J3" i="20"/>
  <c r="AL6" i="16"/>
  <c r="AL8" i="16"/>
  <c r="AL16" i="16"/>
  <c r="AL9" i="16"/>
  <c r="AL11" i="16"/>
  <c r="AL32" i="16"/>
  <c r="AL25" i="16"/>
  <c r="AL31" i="16"/>
  <c r="AL39" i="16"/>
  <c r="AL33" i="16"/>
  <c r="AL35" i="16"/>
  <c r="AL34" i="16"/>
  <c r="AL26" i="16"/>
  <c r="AL20" i="16"/>
  <c r="AL23" i="16"/>
  <c r="AL40" i="16"/>
  <c r="AL24" i="16"/>
  <c r="AL48" i="16"/>
  <c r="AL50" i="16"/>
  <c r="AL13" i="16"/>
  <c r="AL43" i="16"/>
  <c r="AL44" i="16"/>
  <c r="AL45" i="16"/>
  <c r="AL71" i="16"/>
  <c r="AL63" i="16"/>
  <c r="AL72" i="16"/>
  <c r="AL73" i="16"/>
  <c r="AL42" i="16"/>
  <c r="AL65" i="16"/>
  <c r="AL19" i="16"/>
  <c r="AL46" i="16"/>
  <c r="AL37" i="16"/>
  <c r="AL58" i="16"/>
  <c r="AL59" i="16"/>
  <c r="AL78" i="16"/>
  <c r="AL15" i="16"/>
  <c r="AL55" i="16"/>
  <c r="AL27" i="16"/>
  <c r="AL21" i="16"/>
  <c r="AL85" i="16"/>
  <c r="AL56" i="16"/>
  <c r="AL52" i="16"/>
  <c r="AL100" i="16"/>
  <c r="AL76" i="16"/>
  <c r="AL70" i="16"/>
  <c r="AL64" i="16"/>
  <c r="AL75" i="16"/>
  <c r="AL66" i="16"/>
  <c r="AL41" i="16"/>
  <c r="AL90" i="16"/>
  <c r="AL74" i="16"/>
  <c r="AL57" i="16"/>
  <c r="AL67" i="16"/>
  <c r="AL69" i="16"/>
  <c r="AL82" i="16"/>
  <c r="AL38" i="16"/>
  <c r="AL84" i="16"/>
  <c r="AL96" i="16"/>
  <c r="AL92" i="16"/>
  <c r="AL83" i="16"/>
  <c r="AL95" i="16"/>
  <c r="AL68" i="16"/>
  <c r="AL89" i="16"/>
  <c r="AL79" i="16"/>
  <c r="AL80" i="16"/>
  <c r="AL61" i="16"/>
  <c r="AL87" i="16"/>
  <c r="AL77" i="16"/>
  <c r="AL94" i="16"/>
  <c r="AL88" i="16"/>
  <c r="AL93" i="16"/>
  <c r="AL81" i="16"/>
  <c r="AL103" i="16"/>
  <c r="AL102" i="16"/>
  <c r="AL99" i="16"/>
  <c r="AL97" i="16"/>
  <c r="DE98" i="16"/>
  <c r="DE97" i="16"/>
  <c r="DE99" i="16"/>
  <c r="DE102" i="16"/>
  <c r="DE103" i="16"/>
  <c r="DE81" i="16"/>
  <c r="DE93" i="16"/>
  <c r="DE89" i="16"/>
  <c r="DE86" i="16"/>
  <c r="DE88" i="16"/>
  <c r="DE94" i="16"/>
  <c r="DE77" i="16"/>
  <c r="DE87" i="16"/>
  <c r="DE61" i="16"/>
  <c r="DE80" i="16"/>
  <c r="DE79" i="16"/>
  <c r="DE60" i="16"/>
  <c r="DE68" i="16"/>
  <c r="DE95" i="16"/>
  <c r="DE83" i="16"/>
  <c r="DE92" i="16"/>
  <c r="DE96" i="16"/>
  <c r="DE51" i="16"/>
  <c r="DE49" i="16"/>
  <c r="DE84" i="16"/>
  <c r="DE38" i="16"/>
  <c r="DE82" i="16"/>
  <c r="DE69" i="16"/>
  <c r="DE67" i="16"/>
  <c r="DE57" i="16"/>
  <c r="DE74" i="16"/>
  <c r="DE91" i="16"/>
  <c r="DE90" i="16"/>
  <c r="DE41" i="16"/>
  <c r="DE66" i="16"/>
  <c r="DE75" i="16"/>
  <c r="DE64" i="16"/>
  <c r="DE70" i="16"/>
  <c r="DE53" i="16"/>
  <c r="DE62" i="16"/>
  <c r="DE76" i="16"/>
  <c r="DE100" i="16"/>
  <c r="DE52" i="16"/>
  <c r="DE56" i="16"/>
  <c r="DE85" i="16"/>
  <c r="DE21" i="16"/>
  <c r="DE27" i="16"/>
  <c r="DE54" i="16"/>
  <c r="DE55" i="16"/>
  <c r="DE15" i="16"/>
  <c r="DE78" i="16"/>
  <c r="DE59" i="16"/>
  <c r="DE58" i="16"/>
  <c r="DE37" i="16"/>
  <c r="DE47" i="16"/>
  <c r="DE46" i="16"/>
  <c r="DE19" i="16"/>
  <c r="DE65" i="16"/>
  <c r="DE42" i="16"/>
  <c r="DE73" i="16"/>
  <c r="DE72" i="16"/>
  <c r="DE63" i="16"/>
  <c r="DE71" i="16"/>
  <c r="DE30" i="16"/>
  <c r="DE45" i="16"/>
  <c r="DE44" i="16"/>
  <c r="DE43" i="16"/>
  <c r="DE13" i="16"/>
  <c r="DE50" i="16"/>
  <c r="DE29" i="16"/>
  <c r="DE48" i="16"/>
  <c r="DE40" i="16"/>
  <c r="DE24" i="16"/>
  <c r="DE23" i="16"/>
  <c r="DE25" i="16"/>
  <c r="DE34" i="16"/>
  <c r="DE35" i="16"/>
  <c r="DE39" i="16"/>
  <c r="DE33" i="16"/>
  <c r="DE32" i="16"/>
  <c r="DE31" i="16"/>
  <c r="DE11" i="16"/>
  <c r="DE9" i="16"/>
  <c r="DE18" i="16"/>
  <c r="DE26" i="16"/>
  <c r="DE20" i="16"/>
  <c r="DE17" i="16"/>
  <c r="DE16" i="16"/>
  <c r="DE6" i="16"/>
  <c r="DE22" i="16"/>
  <c r="DE8" i="16"/>
  <c r="CO98" i="16"/>
  <c r="CO97" i="16"/>
  <c r="CO102" i="16"/>
  <c r="CO103" i="16"/>
  <c r="CO81" i="16"/>
  <c r="CO93" i="16"/>
  <c r="CO101" i="16"/>
  <c r="CO89" i="16"/>
  <c r="CO86" i="16"/>
  <c r="CO94" i="16"/>
  <c r="CO77" i="16"/>
  <c r="CO87" i="16"/>
  <c r="CO61" i="16"/>
  <c r="CO80" i="16"/>
  <c r="CO79" i="16"/>
  <c r="CO60" i="16"/>
  <c r="CO95" i="16"/>
  <c r="CO83" i="16"/>
  <c r="CO92" i="16"/>
  <c r="CO96" i="16"/>
  <c r="CO51" i="16"/>
  <c r="CO49" i="16"/>
  <c r="CO84" i="16"/>
  <c r="CO82" i="16"/>
  <c r="CO69" i="16"/>
  <c r="CO67" i="16"/>
  <c r="CO57" i="16"/>
  <c r="CO74" i="16"/>
  <c r="CO91" i="16"/>
  <c r="CO90" i="16"/>
  <c r="CO66" i="16"/>
  <c r="CO75" i="16"/>
  <c r="CO64" i="16"/>
  <c r="CO70" i="16"/>
  <c r="CO53" i="16"/>
  <c r="CO62" i="16"/>
  <c r="CO76" i="16"/>
  <c r="CO52" i="16"/>
  <c r="CO56" i="16"/>
  <c r="CO85" i="16"/>
  <c r="CO21" i="16"/>
  <c r="CO27" i="16"/>
  <c r="CO54" i="16"/>
  <c r="CO55" i="16"/>
  <c r="CO15" i="16"/>
  <c r="CO78" i="16"/>
  <c r="CO59" i="16"/>
  <c r="CO58" i="16"/>
  <c r="CO37" i="16"/>
  <c r="CO47" i="16"/>
  <c r="CO46" i="16"/>
  <c r="CO19" i="16"/>
  <c r="CO65" i="16"/>
  <c r="CO42" i="16"/>
  <c r="CO73" i="16"/>
  <c r="CO72" i="16"/>
  <c r="CO63" i="16"/>
  <c r="CO71" i="16"/>
  <c r="CO30" i="16"/>
  <c r="CO45" i="16"/>
  <c r="CO44" i="16"/>
  <c r="CO43" i="16"/>
  <c r="CO13" i="16"/>
  <c r="CO50" i="16"/>
  <c r="CO10" i="16"/>
  <c r="CO29" i="16"/>
  <c r="CO48" i="16"/>
  <c r="CO24" i="16"/>
  <c r="CO23" i="16"/>
  <c r="CO25" i="16"/>
  <c r="CO34" i="16"/>
  <c r="CO36" i="16"/>
  <c r="CO35" i="16"/>
  <c r="CO39" i="16"/>
  <c r="CO33" i="16"/>
  <c r="CO32" i="16"/>
  <c r="CO31" i="16"/>
  <c r="CO11" i="16"/>
  <c r="CO9" i="16"/>
  <c r="CO18" i="16"/>
  <c r="CO26" i="16"/>
  <c r="CO20" i="16"/>
  <c r="CO17" i="16"/>
  <c r="CO16" i="16"/>
  <c r="CO6" i="16"/>
  <c r="CO22" i="16"/>
  <c r="CK98" i="16"/>
  <c r="CK97" i="16"/>
  <c r="CK99" i="16"/>
  <c r="CK102" i="16"/>
  <c r="CK103" i="16"/>
  <c r="CK93" i="16"/>
  <c r="CK101" i="16"/>
  <c r="CK89" i="16"/>
  <c r="CK86" i="16"/>
  <c r="CK88" i="16"/>
  <c r="CK94" i="16"/>
  <c r="CK77" i="16"/>
  <c r="CK87" i="16"/>
  <c r="CK61" i="16"/>
  <c r="CK80" i="16"/>
  <c r="CK79" i="16"/>
  <c r="CK60" i="16"/>
  <c r="CK68" i="16"/>
  <c r="CK95" i="16"/>
  <c r="CK83" i="16"/>
  <c r="CK92" i="16"/>
  <c r="CK96" i="16"/>
  <c r="CK51" i="16"/>
  <c r="CK49" i="16"/>
  <c r="CK84" i="16"/>
  <c r="CK38" i="16"/>
  <c r="CK82" i="16"/>
  <c r="CK69" i="16"/>
  <c r="CK67" i="16"/>
  <c r="CK57" i="16"/>
  <c r="CK74" i="16"/>
  <c r="CK91" i="16"/>
  <c r="CK90" i="16"/>
  <c r="CK41" i="16"/>
  <c r="CK66" i="16"/>
  <c r="CK75" i="16"/>
  <c r="CK64" i="16"/>
  <c r="CK70" i="16"/>
  <c r="CK53" i="16"/>
  <c r="CK62" i="16"/>
  <c r="CK76" i="16"/>
  <c r="CK100" i="16"/>
  <c r="CK52" i="16"/>
  <c r="CK56" i="16"/>
  <c r="CK85" i="16"/>
  <c r="CK21" i="16"/>
  <c r="CK27" i="16"/>
  <c r="CK54" i="16"/>
  <c r="CK55" i="16"/>
  <c r="CK15" i="16"/>
  <c r="CK78" i="16"/>
  <c r="CK59" i="16"/>
  <c r="CK37" i="16"/>
  <c r="CK47" i="16"/>
  <c r="CK46" i="16"/>
  <c r="CK19" i="16"/>
  <c r="CK65" i="16"/>
  <c r="CK42" i="16"/>
  <c r="CK73" i="16"/>
  <c r="CK72" i="16"/>
  <c r="CK63" i="16"/>
  <c r="CK71" i="16"/>
  <c r="CK30" i="16"/>
  <c r="CK45" i="16"/>
  <c r="CK44" i="16"/>
  <c r="CK43" i="16"/>
  <c r="CK50" i="16"/>
  <c r="CK10" i="16"/>
  <c r="CK29" i="16"/>
  <c r="CK48" i="16"/>
  <c r="CK40" i="16"/>
  <c r="CK24" i="16"/>
  <c r="CK23" i="16"/>
  <c r="CK25" i="16"/>
  <c r="CK34" i="16"/>
  <c r="CK36" i="16"/>
  <c r="CK35" i="16"/>
  <c r="CK39" i="16"/>
  <c r="CK33" i="16"/>
  <c r="CK32" i="16"/>
  <c r="CK31" i="16"/>
  <c r="CK9" i="16"/>
  <c r="CK18" i="16"/>
  <c r="CK26" i="16"/>
  <c r="CK20" i="16"/>
  <c r="CK17" i="16"/>
  <c r="CK16" i="16"/>
  <c r="CK6" i="16"/>
  <c r="CK22" i="16"/>
  <c r="CK8" i="16"/>
  <c r="CH98" i="16"/>
  <c r="CH97" i="16"/>
  <c r="CH99" i="16"/>
  <c r="CH102" i="16"/>
  <c r="CH103" i="16"/>
  <c r="CH81" i="16"/>
  <c r="CH93" i="16"/>
  <c r="CH101" i="16"/>
  <c r="CH89" i="16"/>
  <c r="CH86" i="16"/>
  <c r="CH88" i="16"/>
  <c r="CH94" i="16"/>
  <c r="CH77" i="16"/>
  <c r="CH87" i="16"/>
  <c r="CH61" i="16"/>
  <c r="CH80" i="16"/>
  <c r="CH79" i="16"/>
  <c r="CH60" i="16"/>
  <c r="CH68" i="16"/>
  <c r="CH95" i="16"/>
  <c r="CH83" i="16"/>
  <c r="CH92" i="16"/>
  <c r="CH96" i="16"/>
  <c r="CH51" i="16"/>
  <c r="CH49" i="16"/>
  <c r="CH84" i="16"/>
  <c r="CH38" i="16"/>
  <c r="CH82" i="16"/>
  <c r="CH69" i="16"/>
  <c r="CH67" i="16"/>
  <c r="CH57" i="16"/>
  <c r="CH74" i="16"/>
  <c r="CH91" i="16"/>
  <c r="CH90" i="16"/>
  <c r="CH41" i="16"/>
  <c r="CH66" i="16"/>
  <c r="CH75" i="16"/>
  <c r="CH64" i="16"/>
  <c r="CH70" i="16"/>
  <c r="CH53" i="16"/>
  <c r="CH62" i="16"/>
  <c r="CH76" i="16"/>
  <c r="CH100" i="16"/>
  <c r="CH52" i="16"/>
  <c r="CH56" i="16"/>
  <c r="CH85" i="16"/>
  <c r="CH21" i="16"/>
  <c r="CH27" i="16"/>
  <c r="CH55" i="16"/>
  <c r="CH15" i="16"/>
  <c r="CH78" i="16"/>
  <c r="CH59" i="16"/>
  <c r="CH58" i="16"/>
  <c r="CH37" i="16"/>
  <c r="CH47" i="16"/>
  <c r="L36" i="23"/>
  <c r="CH46" i="16"/>
  <c r="CH19" i="16"/>
  <c r="CH65" i="16"/>
  <c r="CH42" i="16"/>
  <c r="CH73" i="16"/>
  <c r="CH72" i="16"/>
  <c r="CH63" i="16"/>
  <c r="CH71" i="16"/>
  <c r="CH30" i="16"/>
  <c r="CH45" i="16"/>
  <c r="CH44" i="16"/>
  <c r="CH43" i="16"/>
  <c r="CH13" i="16"/>
  <c r="CH50" i="16"/>
  <c r="CH10" i="16"/>
  <c r="CH29" i="16"/>
  <c r="CH48" i="16"/>
  <c r="CH40" i="16"/>
  <c r="CH24" i="16"/>
  <c r="CH23" i="16"/>
  <c r="CH25" i="16"/>
  <c r="CH34" i="16"/>
  <c r="CH36" i="16"/>
  <c r="CH35" i="16"/>
  <c r="CH39" i="16"/>
  <c r="CH33" i="16"/>
  <c r="CH32" i="16"/>
  <c r="CH31" i="16"/>
  <c r="CH11" i="16"/>
  <c r="CH9" i="16"/>
  <c r="CH18" i="16"/>
  <c r="CH20" i="16"/>
  <c r="CH17" i="16"/>
  <c r="CH16" i="16"/>
  <c r="CH6" i="16"/>
  <c r="CH8" i="16"/>
  <c r="CD98" i="16"/>
  <c r="CD97" i="16"/>
  <c r="CD99" i="16"/>
  <c r="CD102" i="16"/>
  <c r="CD103" i="16"/>
  <c r="CD81" i="16"/>
  <c r="CD93" i="16"/>
  <c r="CD101" i="16"/>
  <c r="CD89" i="16"/>
  <c r="CD86" i="16"/>
  <c r="CD88" i="16"/>
  <c r="CD94" i="16"/>
  <c r="CD77" i="16"/>
  <c r="CD87" i="16"/>
  <c r="CD61" i="16"/>
  <c r="CD80" i="16"/>
  <c r="CD79" i="16"/>
  <c r="CD60" i="16"/>
  <c r="CD68" i="16"/>
  <c r="CD95" i="16"/>
  <c r="CD83" i="16"/>
  <c r="CD92" i="16"/>
  <c r="CD96" i="16"/>
  <c r="CD51" i="16"/>
  <c r="CD49" i="16"/>
  <c r="CD84" i="16"/>
  <c r="CD38" i="16"/>
  <c r="CD69" i="16"/>
  <c r="CD67" i="16"/>
  <c r="CD57" i="16"/>
  <c r="CD74" i="16"/>
  <c r="CD91" i="16"/>
  <c r="CD90" i="16"/>
  <c r="CD41" i="16"/>
  <c r="CD66" i="16"/>
  <c r="CD75" i="16"/>
  <c r="CD64" i="16"/>
  <c r="CD70" i="16"/>
  <c r="CD53" i="16"/>
  <c r="CD62" i="16"/>
  <c r="CD76" i="16"/>
  <c r="CD100" i="16"/>
  <c r="CD52" i="16"/>
  <c r="CD56" i="16"/>
  <c r="CD85" i="16"/>
  <c r="CD21" i="16"/>
  <c r="CD27" i="16"/>
  <c r="CD54" i="16"/>
  <c r="CD55" i="16"/>
  <c r="CD15" i="16"/>
  <c r="CD78" i="16"/>
  <c r="CD59" i="16"/>
  <c r="CD58" i="16"/>
  <c r="CD37" i="16"/>
  <c r="CD47" i="16"/>
  <c r="CD46" i="16"/>
  <c r="CD19" i="16"/>
  <c r="CD42" i="16"/>
  <c r="CD73" i="16"/>
  <c r="CD72" i="16"/>
  <c r="CD63" i="16"/>
  <c r="CD71" i="16"/>
  <c r="CD30" i="16"/>
  <c r="CD45" i="16"/>
  <c r="CD44" i="16"/>
  <c r="CD43" i="16"/>
  <c r="CD13" i="16"/>
  <c r="CD50" i="16"/>
  <c r="CD10" i="16"/>
  <c r="CD29" i="16"/>
  <c r="CD48" i="16"/>
  <c r="CD40" i="16"/>
  <c r="CD24" i="16"/>
  <c r="CD23" i="16"/>
  <c r="CD25" i="16"/>
  <c r="CD34" i="16"/>
  <c r="CD36" i="16"/>
  <c r="CD35" i="16"/>
  <c r="CD39" i="16"/>
  <c r="CD33" i="16"/>
  <c r="CD32" i="16"/>
  <c r="CD31" i="16"/>
  <c r="CD11" i="16"/>
  <c r="CD9" i="16"/>
  <c r="CD18" i="16"/>
  <c r="CD26" i="16"/>
  <c r="CD20" i="16"/>
  <c r="CD17" i="16"/>
  <c r="CD16" i="16"/>
  <c r="CD6" i="16"/>
  <c r="CD22" i="16"/>
  <c r="CD8" i="16"/>
  <c r="CA98" i="16"/>
  <c r="CA97" i="16"/>
  <c r="CA99" i="16"/>
  <c r="CA102" i="16"/>
  <c r="CA103" i="16"/>
  <c r="CA81" i="16"/>
  <c r="CA93" i="16"/>
  <c r="CA101" i="16"/>
  <c r="CA89" i="16"/>
  <c r="CA86" i="16"/>
  <c r="CA88" i="16"/>
  <c r="CA94" i="16"/>
  <c r="CA77" i="16"/>
  <c r="CA87" i="16"/>
  <c r="CA61" i="16"/>
  <c r="CA80" i="16"/>
  <c r="CA79" i="16"/>
  <c r="CA60" i="16"/>
  <c r="CA68" i="16"/>
  <c r="CA95" i="16"/>
  <c r="CA83" i="16"/>
  <c r="CA92" i="16"/>
  <c r="CA96" i="16"/>
  <c r="CA51" i="16"/>
  <c r="CA49" i="16"/>
  <c r="CA84" i="16"/>
  <c r="CA38" i="16"/>
  <c r="CA82" i="16"/>
  <c r="CA69" i="16"/>
  <c r="CA67" i="16"/>
  <c r="CA57" i="16"/>
  <c r="CA74" i="16"/>
  <c r="CA91" i="16"/>
  <c r="CA90" i="16"/>
  <c r="CA41" i="16"/>
  <c r="CA66" i="16"/>
  <c r="CA75" i="16"/>
  <c r="CA64" i="16"/>
  <c r="CA70" i="16"/>
  <c r="CA53" i="16"/>
  <c r="CA62" i="16"/>
  <c r="CA76" i="16"/>
  <c r="CA100" i="16"/>
  <c r="CA52" i="16"/>
  <c r="CA56" i="16"/>
  <c r="CA85" i="16"/>
  <c r="CA21" i="16"/>
  <c r="CA27" i="16"/>
  <c r="CA54" i="16"/>
  <c r="CA55" i="16"/>
  <c r="CA15" i="16"/>
  <c r="CA78" i="16"/>
  <c r="CA59" i="16"/>
  <c r="CA58" i="16"/>
  <c r="CA37" i="16"/>
  <c r="CA47" i="16"/>
  <c r="CA46" i="16"/>
  <c r="CA19" i="16"/>
  <c r="CA65" i="16"/>
  <c r="CA42" i="16"/>
  <c r="CA73" i="16"/>
  <c r="CA72" i="16"/>
  <c r="CA63" i="16"/>
  <c r="CA71" i="16"/>
  <c r="CA30" i="16"/>
  <c r="CA45" i="16"/>
  <c r="CA44" i="16"/>
  <c r="CA43" i="16"/>
  <c r="CA13" i="16"/>
  <c r="CA50" i="16"/>
  <c r="CA10" i="16"/>
  <c r="CA29" i="16"/>
  <c r="CA48" i="16"/>
  <c r="CA40" i="16"/>
  <c r="CA24" i="16"/>
  <c r="CA23" i="16"/>
  <c r="CA25" i="16"/>
  <c r="CA34" i="16"/>
  <c r="CA36" i="16"/>
  <c r="CA35" i="16"/>
  <c r="CA39" i="16"/>
  <c r="CA33" i="16"/>
  <c r="CA32" i="16"/>
  <c r="CA31" i="16"/>
  <c r="CA11" i="16"/>
  <c r="CA9" i="16"/>
  <c r="CA18" i="16"/>
  <c r="CA26" i="16"/>
  <c r="CA20" i="16"/>
  <c r="CA17" i="16"/>
  <c r="CA16" i="16"/>
  <c r="CA6" i="16"/>
  <c r="CA22" i="16"/>
  <c r="CA8" i="16"/>
  <c r="BX98" i="16"/>
  <c r="BX97" i="16"/>
  <c r="BX99" i="16"/>
  <c r="BX102" i="16"/>
  <c r="BX103" i="16"/>
  <c r="BX81" i="16"/>
  <c r="BX93" i="16"/>
  <c r="BX101" i="16"/>
  <c r="BX89" i="16"/>
  <c r="BX86" i="16"/>
  <c r="BX88" i="16"/>
  <c r="BX94" i="16"/>
  <c r="BX77" i="16"/>
  <c r="BX87" i="16"/>
  <c r="BX61" i="16"/>
  <c r="BX80" i="16"/>
  <c r="BX79" i="16"/>
  <c r="BX60" i="16"/>
  <c r="BX68" i="16"/>
  <c r="BX95" i="16"/>
  <c r="BX83" i="16"/>
  <c r="BX92" i="16"/>
  <c r="BX96" i="16"/>
  <c r="BX51" i="16"/>
  <c r="BX49" i="16"/>
  <c r="BX84" i="16"/>
  <c r="BX38" i="16"/>
  <c r="BX82" i="16"/>
  <c r="BX69" i="16"/>
  <c r="BX67" i="16"/>
  <c r="BX57" i="16"/>
  <c r="BX74" i="16"/>
  <c r="BX91" i="16"/>
  <c r="BX90" i="16"/>
  <c r="BX41" i="16"/>
  <c r="BX66" i="16"/>
  <c r="BX75" i="16"/>
  <c r="BX64" i="16"/>
  <c r="BX70" i="16"/>
  <c r="BX53" i="16"/>
  <c r="BX62" i="16"/>
  <c r="BX76" i="16"/>
  <c r="BX100" i="16"/>
  <c r="BX52" i="16"/>
  <c r="BX56" i="16"/>
  <c r="BX85" i="16"/>
  <c r="BX21" i="16"/>
  <c r="BX27" i="16"/>
  <c r="BX54" i="16"/>
  <c r="BX55" i="16"/>
  <c r="BX15" i="16"/>
  <c r="BX78" i="16"/>
  <c r="BX59" i="16"/>
  <c r="BX58" i="16"/>
  <c r="BX37" i="16"/>
  <c r="BX47" i="16"/>
  <c r="BX46" i="16"/>
  <c r="BX19" i="16"/>
  <c r="BX65" i="16"/>
  <c r="BX42" i="16"/>
  <c r="BX73" i="16"/>
  <c r="BX72" i="16"/>
  <c r="BX63" i="16"/>
  <c r="BX71" i="16"/>
  <c r="BX30" i="16"/>
  <c r="BX45" i="16"/>
  <c r="BX44" i="16"/>
  <c r="BX43" i="16"/>
  <c r="BX13" i="16"/>
  <c r="BX50" i="16"/>
  <c r="BX10" i="16"/>
  <c r="BX29" i="16"/>
  <c r="BX48" i="16"/>
  <c r="BX40" i="16"/>
  <c r="BX24" i="16"/>
  <c r="BX23" i="16"/>
  <c r="BX25" i="16"/>
  <c r="BX34" i="16"/>
  <c r="BX36" i="16"/>
  <c r="BX35" i="16"/>
  <c r="BX39" i="16"/>
  <c r="BX33" i="16"/>
  <c r="BX32" i="16"/>
  <c r="BX31" i="16"/>
  <c r="BX11" i="16"/>
  <c r="BX9" i="16"/>
  <c r="BX18" i="16"/>
  <c r="BX26" i="16"/>
  <c r="BX20" i="16"/>
  <c r="BX17" i="16"/>
  <c r="BX16" i="16"/>
  <c r="BX6" i="16"/>
  <c r="BX22" i="16"/>
  <c r="BX8" i="16"/>
  <c r="BU98" i="16"/>
  <c r="BU97" i="16"/>
  <c r="BU99" i="16"/>
  <c r="BU102" i="16"/>
  <c r="BU103" i="16"/>
  <c r="BU81" i="16"/>
  <c r="BU93" i="16"/>
  <c r="BU101" i="16"/>
  <c r="BU89" i="16"/>
  <c r="BU86" i="16"/>
  <c r="BU88" i="16"/>
  <c r="BU94" i="16"/>
  <c r="BU77" i="16"/>
  <c r="BU87" i="16"/>
  <c r="BU61" i="16"/>
  <c r="BU80" i="16"/>
  <c r="BU79" i="16"/>
  <c r="BU60" i="16"/>
  <c r="BU68" i="16"/>
  <c r="BU95" i="16"/>
  <c r="BU83" i="16"/>
  <c r="BU92" i="16"/>
  <c r="BU96" i="16"/>
  <c r="BU51" i="16"/>
  <c r="BU49" i="16"/>
  <c r="BU84" i="16"/>
  <c r="BU38" i="16"/>
  <c r="BU82" i="16"/>
  <c r="BU69" i="16"/>
  <c r="BU67" i="16"/>
  <c r="BU57" i="16"/>
  <c r="BU74" i="16"/>
  <c r="BU91" i="16"/>
  <c r="BU90" i="16"/>
  <c r="BU41" i="16"/>
  <c r="BU66" i="16"/>
  <c r="BU75" i="16"/>
  <c r="BU64" i="16"/>
  <c r="BU70" i="16"/>
  <c r="BU53" i="16"/>
  <c r="BU62" i="16"/>
  <c r="BU76" i="16"/>
  <c r="BU100" i="16"/>
  <c r="BU52" i="16"/>
  <c r="BU56" i="16"/>
  <c r="BU85" i="16"/>
  <c r="BU21" i="16"/>
  <c r="BU27" i="16"/>
  <c r="BU54" i="16"/>
  <c r="BU55" i="16"/>
  <c r="BU15" i="16"/>
  <c r="BU78" i="16"/>
  <c r="BU59" i="16"/>
  <c r="BU58" i="16"/>
  <c r="BU37" i="16"/>
  <c r="BU47" i="16"/>
  <c r="BU46" i="16"/>
  <c r="BU19" i="16"/>
  <c r="BU65" i="16"/>
  <c r="BU42" i="16"/>
  <c r="BU73" i="16"/>
  <c r="BU72" i="16"/>
  <c r="BU63" i="16"/>
  <c r="BU71" i="16"/>
  <c r="BU30" i="16"/>
  <c r="BU45" i="16"/>
  <c r="BU44" i="16"/>
  <c r="BU43" i="16"/>
  <c r="BU13" i="16"/>
  <c r="BU50" i="16"/>
  <c r="BU10" i="16"/>
  <c r="BU29" i="16"/>
  <c r="BU48" i="16"/>
  <c r="BU40" i="16"/>
  <c r="BU24" i="16"/>
  <c r="BU23" i="16"/>
  <c r="BU25" i="16"/>
  <c r="BU34" i="16"/>
  <c r="BU36" i="16"/>
  <c r="BU35" i="16"/>
  <c r="BU39" i="16"/>
  <c r="BU33" i="16"/>
  <c r="BU32" i="16"/>
  <c r="BU31" i="16"/>
  <c r="BU11" i="16"/>
  <c r="BU9" i="16"/>
  <c r="BU18" i="16"/>
  <c r="BU26" i="16"/>
  <c r="BU20" i="16"/>
  <c r="BU17" i="16"/>
  <c r="BU16" i="16"/>
  <c r="BU6" i="16"/>
  <c r="BU22" i="16"/>
  <c r="BU8" i="16"/>
  <c r="BQ98" i="16"/>
  <c r="BQ97" i="16"/>
  <c r="BQ99" i="16"/>
  <c r="BQ102" i="16"/>
  <c r="BQ103" i="16"/>
  <c r="BQ81" i="16"/>
  <c r="BQ93" i="16"/>
  <c r="BQ101" i="16"/>
  <c r="BQ89" i="16"/>
  <c r="BQ86" i="16"/>
  <c r="BQ88" i="16"/>
  <c r="BQ94" i="16"/>
  <c r="BQ77" i="16"/>
  <c r="BQ87" i="16"/>
  <c r="BQ61" i="16"/>
  <c r="BQ80" i="16"/>
  <c r="BQ79" i="16"/>
  <c r="BQ60" i="16"/>
  <c r="BQ68" i="16"/>
  <c r="BQ95" i="16"/>
  <c r="BQ83" i="16"/>
  <c r="BQ92" i="16"/>
  <c r="BQ96" i="16"/>
  <c r="BQ51" i="16"/>
  <c r="BQ49" i="16"/>
  <c r="BQ84" i="16"/>
  <c r="BQ38" i="16"/>
  <c r="BQ82" i="16"/>
  <c r="BQ69" i="16"/>
  <c r="BQ67" i="16"/>
  <c r="BQ57" i="16"/>
  <c r="BQ74" i="16"/>
  <c r="BQ91" i="16"/>
  <c r="BQ90" i="16"/>
  <c r="BQ41" i="16"/>
  <c r="BQ66" i="16"/>
  <c r="BQ75" i="16"/>
  <c r="BQ64" i="16"/>
  <c r="BQ70" i="16"/>
  <c r="BQ53" i="16"/>
  <c r="BQ62" i="16"/>
  <c r="BQ76" i="16"/>
  <c r="BQ100" i="16"/>
  <c r="BQ52" i="16"/>
  <c r="BQ56" i="16"/>
  <c r="BQ85" i="16"/>
  <c r="BQ21" i="16"/>
  <c r="BQ27" i="16"/>
  <c r="BQ54" i="16"/>
  <c r="BQ55" i="16"/>
  <c r="BQ15" i="16"/>
  <c r="BQ78" i="16"/>
  <c r="BQ59" i="16"/>
  <c r="BQ58" i="16"/>
  <c r="BQ37" i="16"/>
  <c r="BQ47" i="16"/>
  <c r="BQ46" i="16"/>
  <c r="BQ19" i="16"/>
  <c r="BQ65" i="16"/>
  <c r="BQ42" i="16"/>
  <c r="BQ73" i="16"/>
  <c r="BQ72" i="16"/>
  <c r="BQ63" i="16"/>
  <c r="BQ71" i="16"/>
  <c r="BQ30" i="16"/>
  <c r="BQ45" i="16"/>
  <c r="BQ44" i="16"/>
  <c r="BQ43" i="16"/>
  <c r="BQ13" i="16"/>
  <c r="BQ50" i="16"/>
  <c r="BQ10" i="16"/>
  <c r="BQ29" i="16"/>
  <c r="BQ48" i="16"/>
  <c r="BQ40" i="16"/>
  <c r="BQ24" i="16"/>
  <c r="BQ23" i="16"/>
  <c r="BQ25" i="16"/>
  <c r="BQ34" i="16"/>
  <c r="BQ36" i="16"/>
  <c r="BQ35" i="16"/>
  <c r="BQ39" i="16"/>
  <c r="BQ33" i="16"/>
  <c r="BQ32" i="16"/>
  <c r="BQ31" i="16"/>
  <c r="BQ11" i="16"/>
  <c r="BQ9" i="16"/>
  <c r="BQ18" i="16"/>
  <c r="BQ26" i="16"/>
  <c r="BQ20" i="16"/>
  <c r="BQ17" i="16"/>
  <c r="BQ16" i="16"/>
  <c r="BQ6" i="16"/>
  <c r="BQ22" i="16"/>
  <c r="BQ8" i="16"/>
  <c r="BN98" i="16"/>
  <c r="BN97" i="16"/>
  <c r="BN99" i="16"/>
  <c r="BN102" i="16"/>
  <c r="BN103" i="16"/>
  <c r="BN81" i="16"/>
  <c r="BN93" i="16"/>
  <c r="BN101" i="16"/>
  <c r="BN89" i="16"/>
  <c r="BN86" i="16"/>
  <c r="BN88" i="16"/>
  <c r="BN94" i="16"/>
  <c r="BN77" i="16"/>
  <c r="BN87" i="16"/>
  <c r="BN61" i="16"/>
  <c r="BN80" i="16"/>
  <c r="BN79" i="16"/>
  <c r="BN60" i="16"/>
  <c r="BN68" i="16"/>
  <c r="BN95" i="16"/>
  <c r="BN83" i="16"/>
  <c r="BN92" i="16"/>
  <c r="BN96" i="16"/>
  <c r="BN51" i="16"/>
  <c r="BN49" i="16"/>
  <c r="BN84" i="16"/>
  <c r="BN38" i="16"/>
  <c r="BN82" i="16"/>
  <c r="BN69" i="16"/>
  <c r="BN67" i="16"/>
  <c r="BN57" i="16"/>
  <c r="BN74" i="16"/>
  <c r="BN91" i="16"/>
  <c r="BN90" i="16"/>
  <c r="BN41" i="16"/>
  <c r="BN66" i="16"/>
  <c r="BN75" i="16"/>
  <c r="BN64" i="16"/>
  <c r="BN70" i="16"/>
  <c r="BN53" i="16"/>
  <c r="BN62" i="16"/>
  <c r="BN76" i="16"/>
  <c r="BN100" i="16"/>
  <c r="BN52" i="16"/>
  <c r="BN56" i="16"/>
  <c r="BN85" i="16"/>
  <c r="BN21" i="16"/>
  <c r="BN27" i="16"/>
  <c r="BN54" i="16"/>
  <c r="BN55" i="16"/>
  <c r="BN15" i="16"/>
  <c r="BN78" i="16"/>
  <c r="BN59" i="16"/>
  <c r="BN58" i="16"/>
  <c r="BN37" i="16"/>
  <c r="BN47" i="16"/>
  <c r="BN46" i="16"/>
  <c r="BN19" i="16"/>
  <c r="BN65" i="16"/>
  <c r="BN42" i="16"/>
  <c r="BN73" i="16"/>
  <c r="BN72" i="16"/>
  <c r="BN63" i="16"/>
  <c r="BN71" i="16"/>
  <c r="BN30" i="16"/>
  <c r="BN45" i="16"/>
  <c r="BN44" i="16"/>
  <c r="BN43" i="16"/>
  <c r="BN13" i="16"/>
  <c r="BN50" i="16"/>
  <c r="BN10" i="16"/>
  <c r="BN29" i="16"/>
  <c r="BN48" i="16"/>
  <c r="BN40" i="16"/>
  <c r="BN24" i="16"/>
  <c r="BN23" i="16"/>
  <c r="BN25" i="16"/>
  <c r="BN34" i="16"/>
  <c r="BN36" i="16"/>
  <c r="BN35" i="16"/>
  <c r="BN39" i="16"/>
  <c r="BN33" i="16"/>
  <c r="BN32" i="16"/>
  <c r="BN31" i="16"/>
  <c r="BN11" i="16"/>
  <c r="BN9" i="16"/>
  <c r="BN18" i="16"/>
  <c r="BN26" i="16"/>
  <c r="BN20" i="16"/>
  <c r="BN17" i="16"/>
  <c r="BN16" i="16"/>
  <c r="BN6" i="16"/>
  <c r="BN22" i="16"/>
  <c r="BN8" i="16"/>
  <c r="BK98" i="16"/>
  <c r="BK97" i="16"/>
  <c r="BK99" i="16"/>
  <c r="BK102" i="16"/>
  <c r="BK103" i="16"/>
  <c r="BK81" i="16"/>
  <c r="BK93" i="16"/>
  <c r="BK101" i="16"/>
  <c r="BK89" i="16"/>
  <c r="BK86" i="16"/>
  <c r="BK88" i="16"/>
  <c r="BK94" i="16"/>
  <c r="BK77" i="16"/>
  <c r="BK87" i="16"/>
  <c r="BK61" i="16"/>
  <c r="BK80" i="16"/>
  <c r="BK79" i="16"/>
  <c r="BK60" i="16"/>
  <c r="BK68" i="16"/>
  <c r="BK95" i="16"/>
  <c r="BK83" i="16"/>
  <c r="BK92" i="16"/>
  <c r="BK96" i="16"/>
  <c r="BK51" i="16"/>
  <c r="BK49" i="16"/>
  <c r="BK84" i="16"/>
  <c r="BK38" i="16"/>
  <c r="BK82" i="16"/>
  <c r="BK69" i="16"/>
  <c r="BK67" i="16"/>
  <c r="BK57" i="16"/>
  <c r="BK74" i="16"/>
  <c r="BK91" i="16"/>
  <c r="BK90" i="16"/>
  <c r="BK41" i="16"/>
  <c r="BK66" i="16"/>
  <c r="BK75" i="16"/>
  <c r="BK64" i="16"/>
  <c r="BK70" i="16"/>
  <c r="BK53" i="16"/>
  <c r="BK62" i="16"/>
  <c r="BK76" i="16"/>
  <c r="BK100" i="16"/>
  <c r="BK52" i="16"/>
  <c r="BK56" i="16"/>
  <c r="BK85" i="16"/>
  <c r="BK21" i="16"/>
  <c r="BK27" i="16"/>
  <c r="BK54" i="16"/>
  <c r="BK55" i="16"/>
  <c r="BK15" i="16"/>
  <c r="BK78" i="16"/>
  <c r="BK59" i="16"/>
  <c r="BK58" i="16"/>
  <c r="BK37" i="16"/>
  <c r="BK47" i="16"/>
  <c r="BK12" i="16"/>
  <c r="BK46" i="16"/>
  <c r="BK19" i="16"/>
  <c r="BK65" i="16"/>
  <c r="BK42" i="16"/>
  <c r="BK73" i="16"/>
  <c r="BK72" i="16"/>
  <c r="BK63" i="16"/>
  <c r="BK71" i="16"/>
  <c r="BK30" i="16"/>
  <c r="BK45" i="16"/>
  <c r="BK44" i="16"/>
  <c r="BK43" i="16"/>
  <c r="BK13" i="16"/>
  <c r="BK50" i="16"/>
  <c r="BK10" i="16"/>
  <c r="BK29" i="16"/>
  <c r="BK48" i="16"/>
  <c r="BK40" i="16"/>
  <c r="BK24" i="16"/>
  <c r="BK23" i="16"/>
  <c r="BK25" i="16"/>
  <c r="BK34" i="16"/>
  <c r="BK36" i="16"/>
  <c r="BK35" i="16"/>
  <c r="BK39" i="16"/>
  <c r="BK33" i="16"/>
  <c r="BK32" i="16"/>
  <c r="BK31" i="16"/>
  <c r="BK11" i="16"/>
  <c r="BK9" i="16"/>
  <c r="BK18" i="16"/>
  <c r="BK26" i="16"/>
  <c r="BK20" i="16"/>
  <c r="BK14" i="16"/>
  <c r="BK4" i="16"/>
  <c r="BK17" i="16"/>
  <c r="BK16" i="16"/>
  <c r="BK6" i="16"/>
  <c r="BK22" i="16"/>
  <c r="BK8" i="16"/>
  <c r="BK28" i="16"/>
  <c r="BK7" i="16"/>
  <c r="BG98" i="16"/>
  <c r="BG97" i="16"/>
  <c r="BG99" i="16"/>
  <c r="BG102" i="16"/>
  <c r="BG103" i="16"/>
  <c r="BG81" i="16"/>
  <c r="BG93" i="16"/>
  <c r="BG101" i="16"/>
  <c r="BG89" i="16"/>
  <c r="BG86" i="16"/>
  <c r="BG88" i="16"/>
  <c r="BG94" i="16"/>
  <c r="BG77" i="16"/>
  <c r="BG87" i="16"/>
  <c r="BG61" i="16"/>
  <c r="BG80" i="16"/>
  <c r="BG79" i="16"/>
  <c r="BG60" i="16"/>
  <c r="BG68" i="16"/>
  <c r="BG95" i="16"/>
  <c r="BG83" i="16"/>
  <c r="BG92" i="16"/>
  <c r="BG96" i="16"/>
  <c r="BG51" i="16"/>
  <c r="BG49" i="16"/>
  <c r="BG84" i="16"/>
  <c r="BG38" i="16"/>
  <c r="BG82" i="16"/>
  <c r="BG69" i="16"/>
  <c r="BG67" i="16"/>
  <c r="BG57" i="16"/>
  <c r="BG74" i="16"/>
  <c r="BG91" i="16"/>
  <c r="BG90" i="16"/>
  <c r="BG41" i="16"/>
  <c r="BG66" i="16"/>
  <c r="BG75" i="16"/>
  <c r="BG64" i="16"/>
  <c r="BG70" i="16"/>
  <c r="BG53" i="16"/>
  <c r="BG62" i="16"/>
  <c r="BG76" i="16"/>
  <c r="BG100" i="16"/>
  <c r="BG52" i="16"/>
  <c r="BG56" i="16"/>
  <c r="BG85" i="16"/>
  <c r="BG21" i="16"/>
  <c r="BG27" i="16"/>
  <c r="BG54" i="16"/>
  <c r="BG55" i="16"/>
  <c r="BG15" i="16"/>
  <c r="BG78" i="16"/>
  <c r="BG59" i="16"/>
  <c r="BG58" i="16"/>
  <c r="BG37" i="16"/>
  <c r="BG47" i="16"/>
  <c r="BG46" i="16"/>
  <c r="BG19" i="16"/>
  <c r="BG65" i="16"/>
  <c r="BG42" i="16"/>
  <c r="BG73" i="16"/>
  <c r="BG72" i="16"/>
  <c r="BG63" i="16"/>
  <c r="BG71" i="16"/>
  <c r="BG30" i="16"/>
  <c r="BG45" i="16"/>
  <c r="BG44" i="16"/>
  <c r="BG43" i="16"/>
  <c r="BG13" i="16"/>
  <c r="BG50" i="16"/>
  <c r="BG10" i="16"/>
  <c r="BG29" i="16"/>
  <c r="BG48" i="16"/>
  <c r="BG40" i="16"/>
  <c r="BG24" i="16"/>
  <c r="BG23" i="16"/>
  <c r="BG25" i="16"/>
  <c r="BG34" i="16"/>
  <c r="BG36" i="16"/>
  <c r="BG35" i="16"/>
  <c r="BG39" i="16"/>
  <c r="BG33" i="16"/>
  <c r="BG32" i="16"/>
  <c r="BG31" i="16"/>
  <c r="BG11" i="16"/>
  <c r="BG9" i="16"/>
  <c r="BG18" i="16"/>
  <c r="BG26" i="16"/>
  <c r="BG20" i="16"/>
  <c r="BG17" i="16"/>
  <c r="BG16" i="16"/>
  <c r="BG6" i="16"/>
  <c r="BG22" i="16"/>
  <c r="BG8" i="16"/>
  <c r="BD98" i="16"/>
  <c r="BD97" i="16"/>
  <c r="BD99" i="16"/>
  <c r="BD102" i="16"/>
  <c r="BD103" i="16"/>
  <c r="BD81" i="16"/>
  <c r="BD93" i="16"/>
  <c r="BD101" i="16"/>
  <c r="BD89" i="16"/>
  <c r="BD86" i="16"/>
  <c r="BD88" i="16"/>
  <c r="BD94" i="16"/>
  <c r="BD77" i="16"/>
  <c r="BD87" i="16"/>
  <c r="BD61" i="16"/>
  <c r="BD80" i="16"/>
  <c r="BD79" i="16"/>
  <c r="BD60" i="16"/>
  <c r="BD68" i="16"/>
  <c r="BD95" i="16"/>
  <c r="BD83" i="16"/>
  <c r="BD92" i="16"/>
  <c r="BD96" i="16"/>
  <c r="BD51" i="16"/>
  <c r="BD49" i="16"/>
  <c r="BD84" i="16"/>
  <c r="BD38" i="16"/>
  <c r="BD82" i="16"/>
  <c r="BD69" i="16"/>
  <c r="BD67" i="16"/>
  <c r="BD57" i="16"/>
  <c r="BD74" i="16"/>
  <c r="BD91" i="16"/>
  <c r="BD90" i="16"/>
  <c r="BD41" i="16"/>
  <c r="BD66" i="16"/>
  <c r="BD75" i="16"/>
  <c r="BD64" i="16"/>
  <c r="BD70" i="16"/>
  <c r="BD53" i="16"/>
  <c r="BD62" i="16"/>
  <c r="BD76" i="16"/>
  <c r="BD100" i="16"/>
  <c r="BD52" i="16"/>
  <c r="BD56" i="16"/>
  <c r="BD85" i="16"/>
  <c r="BD21" i="16"/>
  <c r="BD27" i="16"/>
  <c r="BD54" i="16"/>
  <c r="BD55" i="16"/>
  <c r="BD15" i="16"/>
  <c r="BD78" i="16"/>
  <c r="BD59" i="16"/>
  <c r="BD58" i="16"/>
  <c r="BD37" i="16"/>
  <c r="BD47" i="16"/>
  <c r="BD46" i="16"/>
  <c r="BD19" i="16"/>
  <c r="BD65" i="16"/>
  <c r="BD42" i="16"/>
  <c r="BD73" i="16"/>
  <c r="BD72" i="16"/>
  <c r="BD63" i="16"/>
  <c r="BD71" i="16"/>
  <c r="BD30" i="16"/>
  <c r="BD45" i="16"/>
  <c r="BD44" i="16"/>
  <c r="BD43" i="16"/>
  <c r="BD13" i="16"/>
  <c r="BD50" i="16"/>
  <c r="BD10" i="16"/>
  <c r="BD29" i="16"/>
  <c r="BD48" i="16"/>
  <c r="BD40" i="16"/>
  <c r="BD24" i="16"/>
  <c r="BD23" i="16"/>
  <c r="BD25" i="16"/>
  <c r="BD34" i="16"/>
  <c r="BD36" i="16"/>
  <c r="BD35" i="16"/>
  <c r="BD39" i="16"/>
  <c r="BD33" i="16"/>
  <c r="BD32" i="16"/>
  <c r="BD31" i="16"/>
  <c r="BD11" i="16"/>
  <c r="BD9" i="16"/>
  <c r="BD18" i="16"/>
  <c r="BD26" i="16"/>
  <c r="BD20" i="16"/>
  <c r="BD17" i="16"/>
  <c r="BD16" i="16"/>
  <c r="BD6" i="16"/>
  <c r="BD22" i="16"/>
  <c r="BD8" i="16"/>
  <c r="BA98" i="16"/>
  <c r="BA97" i="16"/>
  <c r="BA99" i="16"/>
  <c r="BA102" i="16"/>
  <c r="BA103" i="16"/>
  <c r="BA81" i="16"/>
  <c r="BA93" i="16"/>
  <c r="BA101" i="16"/>
  <c r="BA89" i="16"/>
  <c r="BA86" i="16"/>
  <c r="BA88" i="16"/>
  <c r="BA94" i="16"/>
  <c r="BA77" i="16"/>
  <c r="BA87" i="16"/>
  <c r="BA61" i="16"/>
  <c r="BA80" i="16"/>
  <c r="BA79" i="16"/>
  <c r="BA60" i="16"/>
  <c r="BA68" i="16"/>
  <c r="BA95" i="16"/>
  <c r="BA83" i="16"/>
  <c r="BA92" i="16"/>
  <c r="BA96" i="16"/>
  <c r="BA51" i="16"/>
  <c r="BA49" i="16"/>
  <c r="BA84" i="16"/>
  <c r="BA38" i="16"/>
  <c r="BA82" i="16"/>
  <c r="BA69" i="16"/>
  <c r="BA67" i="16"/>
  <c r="BA57" i="16"/>
  <c r="BA74" i="16"/>
  <c r="BA91" i="16"/>
  <c r="BA90" i="16"/>
  <c r="BA41" i="16"/>
  <c r="BA66" i="16"/>
  <c r="BA75" i="16"/>
  <c r="BA64" i="16"/>
  <c r="BA70" i="16"/>
  <c r="BA53" i="16"/>
  <c r="BA62" i="16"/>
  <c r="BA76" i="16"/>
  <c r="BA100" i="16"/>
  <c r="BA52" i="16"/>
  <c r="BA56" i="16"/>
  <c r="BA85" i="16"/>
  <c r="BA21" i="16"/>
  <c r="BA27" i="16"/>
  <c r="BA54" i="16"/>
  <c r="BA55" i="16"/>
  <c r="BA15" i="16"/>
  <c r="BA78" i="16"/>
  <c r="BA59" i="16"/>
  <c r="BA58" i="16"/>
  <c r="BA37" i="16"/>
  <c r="BA47" i="16"/>
  <c r="BA46" i="16"/>
  <c r="BA19" i="16"/>
  <c r="BA65" i="16"/>
  <c r="BA42" i="16"/>
  <c r="BA73" i="16"/>
  <c r="BA72" i="16"/>
  <c r="BA63" i="16"/>
  <c r="BA71" i="16"/>
  <c r="BA30" i="16"/>
  <c r="BA45" i="16"/>
  <c r="BA44" i="16"/>
  <c r="BA43" i="16"/>
  <c r="BA13" i="16"/>
  <c r="BA50" i="16"/>
  <c r="BA10" i="16"/>
  <c r="BA29" i="16"/>
  <c r="BA48" i="16"/>
  <c r="BA40" i="16"/>
  <c r="BA24" i="16"/>
  <c r="BA23" i="16"/>
  <c r="BA25" i="16"/>
  <c r="BA34" i="16"/>
  <c r="BA36" i="16"/>
  <c r="BA35" i="16"/>
  <c r="BA39" i="16"/>
  <c r="BA33" i="16"/>
  <c r="BA32" i="16"/>
  <c r="BA31" i="16"/>
  <c r="BA11" i="16"/>
  <c r="BA9" i="16"/>
  <c r="BA18" i="16"/>
  <c r="BA26" i="16"/>
  <c r="BA20" i="16"/>
  <c r="BA17" i="16"/>
  <c r="BA16" i="16"/>
  <c r="BA6" i="16"/>
  <c r="BA22" i="16"/>
  <c r="BA8" i="16"/>
  <c r="AX98" i="16"/>
  <c r="AX97" i="16"/>
  <c r="AX99" i="16"/>
  <c r="AX102" i="16"/>
  <c r="AX103" i="16"/>
  <c r="AX81" i="16"/>
  <c r="AX93" i="16"/>
  <c r="AX101" i="16"/>
  <c r="AX89" i="16"/>
  <c r="AX86" i="16"/>
  <c r="AX88" i="16"/>
  <c r="AX94" i="16"/>
  <c r="AX77" i="16"/>
  <c r="AX87" i="16"/>
  <c r="AX61" i="16"/>
  <c r="AX80" i="16"/>
  <c r="AX79" i="16"/>
  <c r="AX60" i="16"/>
  <c r="AX68" i="16"/>
  <c r="AX95" i="16"/>
  <c r="AX83" i="16"/>
  <c r="AX92" i="16"/>
  <c r="AX96" i="16"/>
  <c r="AX51" i="16"/>
  <c r="AX49" i="16"/>
  <c r="AX84" i="16"/>
  <c r="AX38" i="16"/>
  <c r="AX82" i="16"/>
  <c r="AX69" i="16"/>
  <c r="AX67" i="16"/>
  <c r="AX57" i="16"/>
  <c r="AX74" i="16"/>
  <c r="AX91" i="16"/>
  <c r="AX90" i="16"/>
  <c r="AX41" i="16"/>
  <c r="AX66" i="16"/>
  <c r="AX75" i="16"/>
  <c r="AX64" i="16"/>
  <c r="AX70" i="16"/>
  <c r="AX53" i="16"/>
  <c r="AX62" i="16"/>
  <c r="AX76" i="16"/>
  <c r="AX100" i="16"/>
  <c r="AX52" i="16"/>
  <c r="AX56" i="16"/>
  <c r="AX85" i="16"/>
  <c r="AX21" i="16"/>
  <c r="AX27" i="16"/>
  <c r="AX54" i="16"/>
  <c r="AX55" i="16"/>
  <c r="AX15" i="16"/>
  <c r="AX78" i="16"/>
  <c r="AX59" i="16"/>
  <c r="AX58" i="16"/>
  <c r="AX37" i="16"/>
  <c r="AX47" i="16"/>
  <c r="AX46" i="16"/>
  <c r="AX19" i="16"/>
  <c r="AX65" i="16"/>
  <c r="AX42" i="16"/>
  <c r="AX73" i="16"/>
  <c r="AX72" i="16"/>
  <c r="AX63" i="16"/>
  <c r="AX71" i="16"/>
  <c r="AX30" i="16"/>
  <c r="AX45" i="16"/>
  <c r="AX44" i="16"/>
  <c r="AX43" i="16"/>
  <c r="AX13" i="16"/>
  <c r="AX50" i="16"/>
  <c r="AX10" i="16"/>
  <c r="AX29" i="16"/>
  <c r="AX48" i="16"/>
  <c r="AX40" i="16"/>
  <c r="AX24" i="16"/>
  <c r="AX23" i="16"/>
  <c r="AX25" i="16"/>
  <c r="AX34" i="16"/>
  <c r="AX36" i="16"/>
  <c r="AX35" i="16"/>
  <c r="AX39" i="16"/>
  <c r="AX33" i="16"/>
  <c r="AX32" i="16"/>
  <c r="AX31" i="16"/>
  <c r="AX11" i="16"/>
  <c r="AX9" i="16"/>
  <c r="AX18" i="16"/>
  <c r="AX26" i="16"/>
  <c r="AX20" i="16"/>
  <c r="AX17" i="16"/>
  <c r="AX16" i="16"/>
  <c r="AX6" i="16"/>
  <c r="AX22" i="16"/>
  <c r="AX8" i="16"/>
  <c r="AU98" i="16"/>
  <c r="AU97" i="16"/>
  <c r="AU99" i="16"/>
  <c r="AU102" i="16"/>
  <c r="AU103" i="16"/>
  <c r="AU81" i="16"/>
  <c r="AU93" i="16"/>
  <c r="AU101" i="16"/>
  <c r="AU89" i="16"/>
  <c r="AU86" i="16"/>
  <c r="AU88" i="16"/>
  <c r="AU94" i="16"/>
  <c r="AU77" i="16"/>
  <c r="AU87" i="16"/>
  <c r="AU61" i="16"/>
  <c r="AU80" i="16"/>
  <c r="AU79" i="16"/>
  <c r="AU60" i="16"/>
  <c r="AU68" i="16"/>
  <c r="AU95" i="16"/>
  <c r="AU83" i="16"/>
  <c r="AU92" i="16"/>
  <c r="AU96" i="16"/>
  <c r="AU51" i="16"/>
  <c r="AU49" i="16"/>
  <c r="AU84" i="16"/>
  <c r="AU38" i="16"/>
  <c r="AU82" i="16"/>
  <c r="AU69" i="16"/>
  <c r="AU67" i="16"/>
  <c r="AU57" i="16"/>
  <c r="AU74" i="16"/>
  <c r="AU91" i="16"/>
  <c r="AU90" i="16"/>
  <c r="AU41" i="16"/>
  <c r="AU66" i="16"/>
  <c r="AU75" i="16"/>
  <c r="AU64" i="16"/>
  <c r="AU70" i="16"/>
  <c r="AU53" i="16"/>
  <c r="AU62" i="16"/>
  <c r="AU76" i="16"/>
  <c r="AU100" i="16"/>
  <c r="AU52" i="16"/>
  <c r="AU56" i="16"/>
  <c r="AU85" i="16"/>
  <c r="AU21" i="16"/>
  <c r="AU27" i="16"/>
  <c r="AU54" i="16"/>
  <c r="AU55" i="16"/>
  <c r="AU15" i="16"/>
  <c r="AU78" i="16"/>
  <c r="AU59" i="16"/>
  <c r="AU58" i="16"/>
  <c r="AU37" i="16"/>
  <c r="AU47" i="16"/>
  <c r="AU46" i="16"/>
  <c r="AU19" i="16"/>
  <c r="AU65" i="16"/>
  <c r="AU42" i="16"/>
  <c r="AU73" i="16"/>
  <c r="AU72" i="16"/>
  <c r="AU63" i="16"/>
  <c r="AU71" i="16"/>
  <c r="AU30" i="16"/>
  <c r="AU45" i="16"/>
  <c r="AU44" i="16"/>
  <c r="AU43" i="16"/>
  <c r="AU13" i="16"/>
  <c r="AU50" i="16"/>
  <c r="AU10" i="16"/>
  <c r="AU29" i="16"/>
  <c r="AU48" i="16"/>
  <c r="AU40" i="16"/>
  <c r="AU24" i="16"/>
  <c r="AU23" i="16"/>
  <c r="AU25" i="16"/>
  <c r="AU34" i="16"/>
  <c r="AU36" i="16"/>
  <c r="AU35" i="16"/>
  <c r="AU39" i="16"/>
  <c r="AU33" i="16"/>
  <c r="AU32" i="16"/>
  <c r="AU31" i="16"/>
  <c r="AU11" i="16"/>
  <c r="AU9" i="16"/>
  <c r="AU18" i="16"/>
  <c r="AU26" i="16"/>
  <c r="AU20" i="16"/>
  <c r="AU17" i="16"/>
  <c r="AU16" i="16"/>
  <c r="AU6" i="16"/>
  <c r="AU22" i="16"/>
  <c r="AU8" i="16"/>
  <c r="AR98" i="16"/>
  <c r="AR97" i="16"/>
  <c r="AR99" i="16"/>
  <c r="AR102" i="16"/>
  <c r="AR103" i="16"/>
  <c r="AR81" i="16"/>
  <c r="AR93" i="16"/>
  <c r="AR101" i="16"/>
  <c r="AR89" i="16"/>
  <c r="AR86" i="16"/>
  <c r="AR88" i="16"/>
  <c r="AR94" i="16"/>
  <c r="AR77" i="16"/>
  <c r="AR87" i="16"/>
  <c r="AR61" i="16"/>
  <c r="AR80" i="16"/>
  <c r="AR79" i="16"/>
  <c r="AR60" i="16"/>
  <c r="AR68" i="16"/>
  <c r="AR95" i="16"/>
  <c r="AR83" i="16"/>
  <c r="AR92" i="16"/>
  <c r="AR96" i="16"/>
  <c r="AR51" i="16"/>
  <c r="AR49" i="16"/>
  <c r="AR84" i="16"/>
  <c r="AR38" i="16"/>
  <c r="AR82" i="16"/>
  <c r="AR69" i="16"/>
  <c r="AR67" i="16"/>
  <c r="AR57" i="16"/>
  <c r="AR74" i="16"/>
  <c r="AR91" i="16"/>
  <c r="AR90" i="16"/>
  <c r="AR41" i="16"/>
  <c r="AR66" i="16"/>
  <c r="AR75" i="16"/>
  <c r="AR64" i="16"/>
  <c r="AR70" i="16"/>
  <c r="AR53" i="16"/>
  <c r="AR62" i="16"/>
  <c r="AR76" i="16"/>
  <c r="AR100" i="16"/>
  <c r="AR52" i="16"/>
  <c r="AR56" i="16"/>
  <c r="AR85" i="16"/>
  <c r="AR21" i="16"/>
  <c r="AR27" i="16"/>
  <c r="AR54" i="16"/>
  <c r="AR55" i="16"/>
  <c r="AR15" i="16"/>
  <c r="AR78" i="16"/>
  <c r="AR59" i="16"/>
  <c r="AR58" i="16"/>
  <c r="AR37" i="16"/>
  <c r="AR47" i="16"/>
  <c r="AR46" i="16"/>
  <c r="AR19" i="16"/>
  <c r="AR65" i="16"/>
  <c r="AR42" i="16"/>
  <c r="AR73" i="16"/>
  <c r="AR72" i="16"/>
  <c r="AR63" i="16"/>
  <c r="AR71" i="16"/>
  <c r="AR30" i="16"/>
  <c r="AR45" i="16"/>
  <c r="AR44" i="16"/>
  <c r="AR43" i="16"/>
  <c r="AR13" i="16"/>
  <c r="AR50" i="16"/>
  <c r="AR10" i="16"/>
  <c r="AR29" i="16"/>
  <c r="AR48" i="16"/>
  <c r="AR40" i="16"/>
  <c r="AR24" i="16"/>
  <c r="AR23" i="16"/>
  <c r="AR25" i="16"/>
  <c r="AR34" i="16"/>
  <c r="AR36" i="16"/>
  <c r="AR35" i="16"/>
  <c r="AR39" i="16"/>
  <c r="AR33" i="16"/>
  <c r="AR32" i="16"/>
  <c r="AR31" i="16"/>
  <c r="AR11" i="16"/>
  <c r="AR9" i="16"/>
  <c r="AR18" i="16"/>
  <c r="AR26" i="16"/>
  <c r="AR20" i="16"/>
  <c r="AR17" i="16"/>
  <c r="AR16" i="16"/>
  <c r="AR6" i="16"/>
  <c r="AR22" i="16"/>
  <c r="AR8" i="16"/>
  <c r="AA8" i="16"/>
  <c r="AA22" i="16"/>
  <c r="AA6" i="16"/>
  <c r="AA16" i="16"/>
  <c r="AA17" i="16"/>
  <c r="AA20" i="16"/>
  <c r="AA26" i="16"/>
  <c r="AA18" i="16"/>
  <c r="AA9" i="16"/>
  <c r="AA11" i="16"/>
  <c r="AA31" i="16"/>
  <c r="AA32" i="16"/>
  <c r="AA33" i="16"/>
  <c r="AA39" i="16"/>
  <c r="AA35" i="16"/>
  <c r="AA36" i="16"/>
  <c r="AA34" i="16"/>
  <c r="AA25" i="16"/>
  <c r="AA23" i="16"/>
  <c r="AA24" i="16"/>
  <c r="AA40" i="16"/>
  <c r="AA48" i="16"/>
  <c r="AA29" i="16"/>
  <c r="AA10" i="16"/>
  <c r="AA50" i="16"/>
  <c r="AA13" i="16"/>
  <c r="AA43" i="16"/>
  <c r="AA44" i="16"/>
  <c r="AA45" i="16"/>
  <c r="AA30" i="16"/>
  <c r="AA71" i="16"/>
  <c r="AA63" i="16"/>
  <c r="AA72" i="16"/>
  <c r="AA73" i="16"/>
  <c r="AA42" i="16"/>
  <c r="AA65" i="16"/>
  <c r="AA19" i="16"/>
  <c r="AA46" i="16"/>
  <c r="AA47" i="16"/>
  <c r="AA37" i="16"/>
  <c r="AA58" i="16"/>
  <c r="AA59" i="16"/>
  <c r="AA78" i="16"/>
  <c r="AA15" i="16"/>
  <c r="AA55" i="16"/>
  <c r="AA54" i="16"/>
  <c r="AA27" i="16"/>
  <c r="AA21" i="16"/>
  <c r="AA85" i="16"/>
  <c r="AA56" i="16"/>
  <c r="AA52" i="16"/>
  <c r="AA100" i="16"/>
  <c r="AA76" i="16"/>
  <c r="AA62" i="16"/>
  <c r="AA53" i="16"/>
  <c r="AA70" i="16"/>
  <c r="AA64" i="16"/>
  <c r="AA75" i="16"/>
  <c r="AA66" i="16"/>
  <c r="AA41" i="16"/>
  <c r="AA90" i="16"/>
  <c r="AA91" i="16"/>
  <c r="AA74" i="16"/>
  <c r="AA57" i="16"/>
  <c r="AA67" i="16"/>
  <c r="AA69" i="16"/>
  <c r="AA82" i="16"/>
  <c r="AA38" i="16"/>
  <c r="AA84" i="16"/>
  <c r="AA49" i="16"/>
  <c r="AA51" i="16"/>
  <c r="AA96" i="16"/>
  <c r="AA92" i="16"/>
  <c r="AA83" i="16"/>
  <c r="AA95" i="16"/>
  <c r="AA68" i="16"/>
  <c r="AA60" i="16"/>
  <c r="AA79" i="16"/>
  <c r="AA80" i="16"/>
  <c r="AA61" i="16"/>
  <c r="AA87" i="16"/>
  <c r="AA77" i="16"/>
  <c r="AA94" i="16"/>
  <c r="AA88" i="16"/>
  <c r="AA86" i="16"/>
  <c r="AA89" i="16"/>
  <c r="AA101" i="16"/>
  <c r="AA93" i="16"/>
  <c r="AA81" i="16"/>
  <c r="AA103" i="16"/>
  <c r="AA102" i="16"/>
  <c r="AA99" i="16"/>
  <c r="AA97" i="16"/>
  <c r="AA98" i="16"/>
  <c r="CY39" i="16"/>
  <c r="CZ39" i="16" s="1" a="1"/>
  <c r="CZ39" i="16" s="1"/>
  <c r="CY25" i="16"/>
  <c r="CZ25" i="16" s="1" a="1"/>
  <c r="CZ25" i="16" s="1"/>
  <c r="CY26" i="16"/>
  <c r="CZ26" i="16" s="1" a="1"/>
  <c r="CZ26" i="16" s="1"/>
  <c r="CY14" i="16"/>
  <c r="CY4" i="16"/>
  <c r="CY24" i="16"/>
  <c r="CZ24" i="16" s="1" a="1"/>
  <c r="CZ24" i="16" s="1"/>
  <c r="CY23" i="16"/>
  <c r="CZ23" i="16" s="1" a="1"/>
  <c r="CZ23" i="16" s="1"/>
  <c r="DE10" i="16"/>
  <c r="DE101" i="16"/>
  <c r="DE36" i="16"/>
  <c r="CZ27" i="16" a="1"/>
  <c r="CZ27" i="16" s="1"/>
  <c r="CZ88" i="16" a="1"/>
  <c r="CZ88" i="16" s="1"/>
  <c r="CZ95" i="16" a="1"/>
  <c r="CZ95" i="16" s="1"/>
  <c r="CZ65" i="16" a="1"/>
  <c r="CZ65" i="16" s="1"/>
  <c r="CZ51" i="16" a="1"/>
  <c r="CZ51" i="16" s="1"/>
  <c r="CZ54" i="16" a="1"/>
  <c r="CZ54" i="16" s="1"/>
  <c r="CZ46" i="16" a="1"/>
  <c r="CZ46" i="16" s="1"/>
  <c r="CZ82" i="16" a="1"/>
  <c r="CZ82" i="16" s="1"/>
  <c r="CZ100" i="16" a="1"/>
  <c r="CZ100" i="16" s="1"/>
  <c r="CZ21" i="16" a="1"/>
  <c r="CZ21" i="16" s="1"/>
  <c r="CZ55" i="16" a="1"/>
  <c r="CZ55" i="16" s="1"/>
  <c r="CZ47" i="16" a="1"/>
  <c r="CZ47" i="16" s="1"/>
  <c r="CZ38" i="16" a="1"/>
  <c r="CZ38" i="16" s="1"/>
  <c r="CZ83" i="16" a="1"/>
  <c r="CZ83" i="16" s="1"/>
  <c r="CZ41" i="16" a="1"/>
  <c r="CZ41" i="16" s="1"/>
  <c r="CZ94" i="16" a="1"/>
  <c r="CZ94" i="16" s="1"/>
  <c r="CZ78" i="16" a="1"/>
  <c r="CZ78" i="16" s="1"/>
  <c r="CZ59" i="16" a="1"/>
  <c r="CZ59" i="16" s="1"/>
  <c r="CZ45" i="16" a="1"/>
  <c r="CZ45" i="16" s="1"/>
  <c r="CZ10" i="16" a="1"/>
  <c r="CZ10" i="16" s="1"/>
  <c r="CZ98" i="16" a="1"/>
  <c r="CZ98" i="16" s="1"/>
  <c r="CZ69" i="16" a="1"/>
  <c r="CZ69" i="16" s="1"/>
  <c r="CZ74" i="16" a="1"/>
  <c r="CZ74" i="16" s="1"/>
  <c r="CZ62" i="16" a="1"/>
  <c r="CZ62" i="16" s="1"/>
  <c r="CZ42" i="16" a="1"/>
  <c r="CZ42" i="16" s="1"/>
  <c r="CZ96" i="16" a="1"/>
  <c r="CZ96" i="16" s="1"/>
  <c r="CZ91" i="16" a="1"/>
  <c r="CZ91" i="16" s="1"/>
  <c r="CZ90" i="16" a="1"/>
  <c r="CZ90" i="16" s="1"/>
  <c r="CZ73" i="16" a="1"/>
  <c r="CZ73" i="16" s="1"/>
  <c r="CZ72" i="16" a="1"/>
  <c r="CZ72" i="16" s="1"/>
  <c r="CZ50" i="16" a="1"/>
  <c r="CZ50" i="16" s="1"/>
  <c r="CZ48" i="16" a="1"/>
  <c r="CZ48" i="16" s="1"/>
  <c r="CZ30" i="16" a="1"/>
  <c r="CZ30" i="16" s="1"/>
  <c r="CZ102" i="16" a="1"/>
  <c r="CZ102" i="16" s="1"/>
  <c r="CZ68" i="16" a="1"/>
  <c r="CZ68" i="16" s="1"/>
  <c r="CZ103" i="16" a="1"/>
  <c r="CZ103" i="16" s="1"/>
  <c r="CZ12" i="16" a="1"/>
  <c r="CZ12" i="16" s="1"/>
  <c r="CZ81" i="16" a="1"/>
  <c r="CZ81" i="16" s="1"/>
  <c r="CZ85" i="16" a="1"/>
  <c r="CZ85" i="16" s="1"/>
  <c r="CZ67" i="16" a="1"/>
  <c r="CZ67" i="16" s="1"/>
  <c r="CZ56" i="16" a="1"/>
  <c r="CZ56" i="16" s="1"/>
  <c r="CZ87" i="16" a="1"/>
  <c r="CZ87" i="16" s="1"/>
  <c r="CZ84" i="16" a="1"/>
  <c r="CZ84" i="16" s="1"/>
  <c r="CZ58" i="16" a="1"/>
  <c r="CZ58" i="16" s="1"/>
  <c r="CZ86" i="16" a="1"/>
  <c r="CZ86" i="16" s="1"/>
  <c r="CZ66" i="16" a="1"/>
  <c r="CZ66" i="16" s="1"/>
  <c r="CZ77" i="16" a="1"/>
  <c r="CZ77" i="16" s="1"/>
  <c r="CZ76" i="16" a="1"/>
  <c r="CZ76" i="16" s="1"/>
  <c r="CZ75" i="16" a="1"/>
  <c r="CZ75" i="16" s="1"/>
  <c r="CZ64" i="16" a="1"/>
  <c r="CZ64" i="16" s="1"/>
  <c r="CZ63" i="16" a="1"/>
  <c r="CZ63" i="16" s="1"/>
  <c r="CZ44" i="16" a="1"/>
  <c r="CZ44" i="16" s="1"/>
  <c r="CZ29" i="16" a="1"/>
  <c r="CZ29" i="16" s="1"/>
  <c r="CZ92" i="16" a="1"/>
  <c r="CZ92" i="16" s="1"/>
  <c r="CZ37" i="16" a="1"/>
  <c r="CZ37" i="16" s="1"/>
  <c r="CZ61" i="16" a="1"/>
  <c r="CZ61" i="16" s="1"/>
  <c r="CZ80" i="16" a="1"/>
  <c r="CZ80" i="16" s="1"/>
  <c r="CZ79" i="16" a="1"/>
  <c r="CZ79" i="16" s="1"/>
  <c r="CZ60" i="16" a="1"/>
  <c r="CZ60" i="16" s="1"/>
  <c r="CZ52" i="16" a="1"/>
  <c r="CZ52" i="16" s="1"/>
  <c r="CZ70" i="16" a="1"/>
  <c r="CZ70" i="16" s="1"/>
  <c r="CZ71" i="16" a="1"/>
  <c r="CZ71" i="16" s="1"/>
  <c r="CZ43" i="16" a="1"/>
  <c r="CZ43" i="16" s="1"/>
  <c r="CZ13" i="16" a="1"/>
  <c r="CZ13" i="16" s="1"/>
  <c r="CZ15" i="16" a="1"/>
  <c r="CZ15" i="16" s="1"/>
  <c r="CZ19" i="16" a="1"/>
  <c r="CZ19" i="16" s="1"/>
  <c r="CZ99" i="16" a="1"/>
  <c r="CZ99" i="16" s="1"/>
  <c r="CZ49" i="16" a="1"/>
  <c r="CZ49" i="16" s="1"/>
  <c r="CZ57" i="16" a="1"/>
  <c r="CZ57" i="16" s="1"/>
  <c r="CZ97" i="16" a="1"/>
  <c r="CZ97" i="16" s="1"/>
  <c r="CZ93" i="16" a="1"/>
  <c r="CZ93" i="16" s="1"/>
  <c r="CZ101" i="16" a="1"/>
  <c r="CZ101" i="16" s="1"/>
  <c r="CZ53" i="16" a="1"/>
  <c r="CZ53" i="16" s="1"/>
  <c r="CZ89" i="16" a="1"/>
  <c r="CZ89" i="16" s="1"/>
  <c r="CZ40" i="16" a="1"/>
  <c r="CZ40" i="16" s="1"/>
  <c r="CZ34" i="16" a="1"/>
  <c r="CZ34" i="16" s="1"/>
  <c r="CZ36" i="16" a="1"/>
  <c r="CZ36" i="16" s="1"/>
  <c r="CZ35" i="16" a="1"/>
  <c r="CZ35" i="16" s="1"/>
  <c r="CZ32" i="16" a="1"/>
  <c r="CZ32" i="16" s="1"/>
  <c r="CZ11" i="16" a="1"/>
  <c r="CZ11" i="16" s="1"/>
  <c r="CZ6" i="16" a="1"/>
  <c r="CZ6" i="16" s="1"/>
  <c r="CZ22" i="16" a="1"/>
  <c r="CZ22" i="16" s="1"/>
  <c r="CZ20" i="16" a="1"/>
  <c r="CZ20" i="16" s="1"/>
  <c r="CZ28" i="16" a="1"/>
  <c r="CZ28" i="16" s="1"/>
  <c r="CZ33" i="16" a="1"/>
  <c r="CZ33" i="16" s="1"/>
  <c r="CZ9" i="16" a="1"/>
  <c r="CZ9" i="16" s="1"/>
  <c r="CZ16" i="16" a="1"/>
  <c r="CZ16" i="16" s="1"/>
  <c r="CZ17" i="16" a="1"/>
  <c r="CZ17" i="16" s="1"/>
  <c r="CZ7" i="16" a="1"/>
  <c r="CZ7" i="16" s="1"/>
  <c r="CZ8" i="16" a="1"/>
  <c r="CZ8" i="16" s="1"/>
  <c r="CZ31" i="16" a="1"/>
  <c r="CZ31" i="16" s="1"/>
  <c r="CZ18" i="16" a="1"/>
  <c r="CZ18" i="16" s="1"/>
  <c r="CW27" i="16" a="1"/>
  <c r="CW27" i="16" s="1"/>
  <c r="CW88" i="16" a="1"/>
  <c r="CW88" i="16" s="1"/>
  <c r="CW95" i="16" a="1"/>
  <c r="CW95" i="16" s="1"/>
  <c r="CW65" i="16" a="1"/>
  <c r="CW65" i="16" s="1"/>
  <c r="CW51" i="16" a="1"/>
  <c r="CW51" i="16" s="1"/>
  <c r="CW54" i="16" a="1"/>
  <c r="CW54" i="16" s="1"/>
  <c r="CW46" i="16" a="1"/>
  <c r="CW46" i="16" s="1"/>
  <c r="CW82" i="16" a="1"/>
  <c r="CW82" i="16" s="1"/>
  <c r="CW100" i="16" a="1"/>
  <c r="CW100" i="16" s="1"/>
  <c r="CW21" i="16" a="1"/>
  <c r="CW21" i="16" s="1"/>
  <c r="CW55" i="16" a="1"/>
  <c r="CW55" i="16" s="1"/>
  <c r="CW47" i="16" a="1"/>
  <c r="CW47" i="16" s="1"/>
  <c r="CW38" i="16" a="1"/>
  <c r="CW38" i="16" s="1"/>
  <c r="CW83" i="16" a="1"/>
  <c r="CW83" i="16" s="1"/>
  <c r="CW41" i="16" a="1"/>
  <c r="CW41" i="16" s="1"/>
  <c r="CW94" i="16" a="1"/>
  <c r="CW94" i="16" s="1"/>
  <c r="CW78" i="16" a="1"/>
  <c r="CW78" i="16" s="1"/>
  <c r="CW59" i="16" a="1"/>
  <c r="CW59" i="16" s="1"/>
  <c r="CW45" i="16" a="1"/>
  <c r="CW45" i="16" s="1"/>
  <c r="CW10" i="16" a="1"/>
  <c r="CW10" i="16" s="1"/>
  <c r="CW98" i="16" a="1"/>
  <c r="CW98" i="16" s="1"/>
  <c r="CW69" i="16" a="1"/>
  <c r="CW69" i="16" s="1"/>
  <c r="CW74" i="16" a="1"/>
  <c r="CW74" i="16" s="1"/>
  <c r="CW62" i="16" a="1"/>
  <c r="CW62" i="16" s="1"/>
  <c r="CW42" i="16" a="1"/>
  <c r="CW42" i="16" s="1"/>
  <c r="CW96" i="16" a="1"/>
  <c r="CW96" i="16" s="1"/>
  <c r="CW91" i="16" a="1"/>
  <c r="CW91" i="16" s="1"/>
  <c r="CW90" i="16" a="1"/>
  <c r="CW90" i="16" s="1"/>
  <c r="CW73" i="16" a="1"/>
  <c r="CW73" i="16" s="1"/>
  <c r="CW72" i="16" a="1"/>
  <c r="CW72" i="16" s="1"/>
  <c r="CW50" i="16" a="1"/>
  <c r="CW50" i="16" s="1"/>
  <c r="CW48" i="16" a="1"/>
  <c r="CW48" i="16" s="1"/>
  <c r="CW30" i="16" a="1"/>
  <c r="CW30" i="16" s="1"/>
  <c r="CW102" i="16" a="1"/>
  <c r="CW102" i="16" s="1"/>
  <c r="CW68" i="16" a="1"/>
  <c r="CW68" i="16" s="1"/>
  <c r="CW103" i="16" a="1"/>
  <c r="CW103" i="16" s="1"/>
  <c r="CW12" i="16" a="1"/>
  <c r="CW12" i="16" s="1"/>
  <c r="CW81" i="16" a="1"/>
  <c r="CW81" i="16" s="1"/>
  <c r="CW85" i="16" a="1"/>
  <c r="CW85" i="16" s="1"/>
  <c r="CW67" i="16" a="1"/>
  <c r="CW67" i="16" s="1"/>
  <c r="CW56" i="16" a="1"/>
  <c r="CW56" i="16" s="1"/>
  <c r="CW87" i="16" a="1"/>
  <c r="CW87" i="16" s="1"/>
  <c r="CW84" i="16" a="1"/>
  <c r="CW84" i="16" s="1"/>
  <c r="CW58" i="16" a="1"/>
  <c r="CW58" i="16" s="1"/>
  <c r="CW86" i="16" a="1"/>
  <c r="CW86" i="16" s="1"/>
  <c r="CW66" i="16" a="1"/>
  <c r="CW66" i="16" s="1"/>
  <c r="CW77" i="16" a="1"/>
  <c r="CW77" i="16" s="1"/>
  <c r="CW76" i="16" a="1"/>
  <c r="CW76" i="16" s="1"/>
  <c r="CW75" i="16" a="1"/>
  <c r="CW75" i="16" s="1"/>
  <c r="CW64" i="16" a="1"/>
  <c r="CW64" i="16" s="1"/>
  <c r="CW63" i="16" a="1"/>
  <c r="CW63" i="16" s="1"/>
  <c r="CW44" i="16" a="1"/>
  <c r="CW44" i="16" s="1"/>
  <c r="CW29" i="16" a="1"/>
  <c r="CW29" i="16" s="1"/>
  <c r="CW92" i="16" a="1"/>
  <c r="CW92" i="16" s="1"/>
  <c r="CW37" i="16" a="1"/>
  <c r="CW37" i="16" s="1"/>
  <c r="CW61" i="16" a="1"/>
  <c r="CW61" i="16" s="1"/>
  <c r="CW80" i="16" a="1"/>
  <c r="CW80" i="16" s="1"/>
  <c r="CW79" i="16" a="1"/>
  <c r="CW79" i="16" s="1"/>
  <c r="CW60" i="16" a="1"/>
  <c r="CW60" i="16" s="1"/>
  <c r="CW52" i="16" a="1"/>
  <c r="CW52" i="16" s="1"/>
  <c r="CW70" i="16" a="1"/>
  <c r="CW70" i="16" s="1"/>
  <c r="CW71" i="16" a="1"/>
  <c r="CW71" i="16" s="1"/>
  <c r="CW43" i="16" a="1"/>
  <c r="CW43" i="16" s="1"/>
  <c r="CW13" i="16" a="1"/>
  <c r="CW13" i="16" s="1"/>
  <c r="CW15" i="16" a="1"/>
  <c r="CW15" i="16" s="1"/>
  <c r="CW19" i="16" a="1"/>
  <c r="CW19" i="16" s="1"/>
  <c r="CW99" i="16" a="1"/>
  <c r="CW99" i="16" s="1"/>
  <c r="CW49" i="16" a="1"/>
  <c r="CW49" i="16" s="1"/>
  <c r="CW57" i="16" a="1"/>
  <c r="CW57" i="16" s="1"/>
  <c r="CW97" i="16" a="1"/>
  <c r="CW97" i="16" s="1"/>
  <c r="CW93" i="16" a="1"/>
  <c r="CW93" i="16" s="1"/>
  <c r="CW101" i="16" a="1"/>
  <c r="CW101" i="16" s="1"/>
  <c r="CW53" i="16" a="1"/>
  <c r="CW53" i="16" s="1"/>
  <c r="CW89" i="16" a="1"/>
  <c r="CW89" i="16" s="1"/>
  <c r="CW40" i="16" a="1"/>
  <c r="CW40" i="16" s="1"/>
  <c r="CW24" i="16" a="1"/>
  <c r="CW24" i="16" s="1"/>
  <c r="CW23" i="16" a="1"/>
  <c r="CW23" i="16" s="1"/>
  <c r="CW25" i="16" a="1"/>
  <c r="CW25" i="16" s="1"/>
  <c r="CW34" i="16" a="1"/>
  <c r="CW34" i="16" s="1"/>
  <c r="CW36" i="16" a="1"/>
  <c r="CW36" i="16" s="1"/>
  <c r="CW35" i="16" a="1"/>
  <c r="CW35" i="16" s="1"/>
  <c r="CW32" i="16" a="1"/>
  <c r="CW32" i="16" s="1"/>
  <c r="CW11" i="16" a="1"/>
  <c r="CW11" i="16" s="1"/>
  <c r="CW6" i="16" a="1"/>
  <c r="CW6" i="16" s="1"/>
  <c r="CW22" i="16" a="1"/>
  <c r="CW22" i="16" s="1"/>
  <c r="CW20" i="16" a="1"/>
  <c r="CW20" i="16" s="1"/>
  <c r="CW28" i="16" a="1"/>
  <c r="CW28" i="16" s="1"/>
  <c r="CW39" i="16" a="1"/>
  <c r="CW39" i="16" s="1"/>
  <c r="CW33" i="16" a="1"/>
  <c r="CW33" i="16" s="1"/>
  <c r="CW9" i="16" a="1"/>
  <c r="CW9" i="16" s="1"/>
  <c r="CW14" i="16" a="1"/>
  <c r="CW14" i="16" s="1"/>
  <c r="CW16" i="16" a="1"/>
  <c r="CW16" i="16" s="1"/>
  <c r="CW17" i="16" a="1"/>
  <c r="CW17" i="16" s="1"/>
  <c r="CW7" i="16" a="1"/>
  <c r="CW7" i="16" s="1"/>
  <c r="CW8" i="16" a="1"/>
  <c r="CW8" i="16" s="1"/>
  <c r="CW31" i="16" a="1"/>
  <c r="CW31" i="16" s="1"/>
  <c r="CW18" i="16" a="1"/>
  <c r="CW18" i="16" s="1"/>
  <c r="CW4" i="16" a="1"/>
  <c r="CW4" i="16" s="1"/>
  <c r="CW26" i="16" a="1"/>
  <c r="CW26" i="16" s="1"/>
  <c r="CU27" i="16"/>
  <c r="CU88" i="16"/>
  <c r="CU95" i="16"/>
  <c r="CU65" i="16"/>
  <c r="CU51" i="16"/>
  <c r="CU54" i="16"/>
  <c r="CU46" i="16"/>
  <c r="CU82" i="16"/>
  <c r="CU100" i="16"/>
  <c r="CU21" i="16"/>
  <c r="CU55" i="16"/>
  <c r="CU47" i="16"/>
  <c r="CU38" i="16"/>
  <c r="CU83" i="16"/>
  <c r="CU41" i="16"/>
  <c r="CU94" i="16"/>
  <c r="CU78" i="16"/>
  <c r="CU59" i="16"/>
  <c r="CU45" i="16"/>
  <c r="CU10" i="16"/>
  <c r="CU98" i="16"/>
  <c r="CU69" i="16"/>
  <c r="CU74" i="16"/>
  <c r="CU62" i="16"/>
  <c r="CU42" i="16"/>
  <c r="CU96" i="16"/>
  <c r="CU91" i="16"/>
  <c r="CU90" i="16"/>
  <c r="CU73" i="16"/>
  <c r="CU72" i="16"/>
  <c r="CU50" i="16"/>
  <c r="CU48" i="16"/>
  <c r="CU30" i="16"/>
  <c r="CU102" i="16"/>
  <c r="CU68" i="16"/>
  <c r="CU103" i="16"/>
  <c r="CU81" i="16"/>
  <c r="CU85" i="16"/>
  <c r="CU67" i="16"/>
  <c r="CU56" i="16"/>
  <c r="CU87" i="16"/>
  <c r="CU84" i="16"/>
  <c r="CU58" i="16"/>
  <c r="CU86" i="16"/>
  <c r="CU66" i="16"/>
  <c r="CU77" i="16"/>
  <c r="CU76" i="16"/>
  <c r="CU75" i="16"/>
  <c r="CU64" i="16"/>
  <c r="CU63" i="16"/>
  <c r="CU44" i="16"/>
  <c r="CU29" i="16"/>
  <c r="CU92" i="16"/>
  <c r="CU37" i="16"/>
  <c r="CU61" i="16"/>
  <c r="CU80" i="16"/>
  <c r="CU79" i="16"/>
  <c r="CU60" i="16"/>
  <c r="CU52" i="16"/>
  <c r="CU70" i="16"/>
  <c r="CU71" i="16"/>
  <c r="CU43" i="16"/>
  <c r="CU13" i="16"/>
  <c r="CU15" i="16"/>
  <c r="CU19" i="16"/>
  <c r="CU99" i="16"/>
  <c r="CU49" i="16"/>
  <c r="CU57" i="16"/>
  <c r="CU97" i="16"/>
  <c r="CU93" i="16"/>
  <c r="CU101" i="16"/>
  <c r="CU53" i="16"/>
  <c r="CU89" i="16"/>
  <c r="CU40" i="16"/>
  <c r="CU24" i="16"/>
  <c r="CU23" i="16"/>
  <c r="CU25" i="16"/>
  <c r="CU34" i="16"/>
  <c r="CU36" i="16"/>
  <c r="CU35" i="16"/>
  <c r="CU32" i="16"/>
  <c r="CU11" i="16"/>
  <c r="CU6" i="16"/>
  <c r="CU22" i="16"/>
  <c r="CU20" i="16"/>
  <c r="CU39" i="16"/>
  <c r="CU33" i="16"/>
  <c r="CU9" i="16"/>
  <c r="CU16" i="16"/>
  <c r="CU17" i="16"/>
  <c r="CU8" i="16"/>
  <c r="CU31" i="16"/>
  <c r="CU18" i="16"/>
  <c r="CU26" i="16"/>
  <c r="CR27" i="16"/>
  <c r="CR88" i="16"/>
  <c r="CR95" i="16"/>
  <c r="CR65" i="16"/>
  <c r="CR51" i="16"/>
  <c r="CR54" i="16"/>
  <c r="CR46" i="16"/>
  <c r="CR82" i="16"/>
  <c r="CR100" i="16"/>
  <c r="CR21" i="16"/>
  <c r="CR55" i="16"/>
  <c r="CR47" i="16"/>
  <c r="CR38" i="16"/>
  <c r="CR83" i="16"/>
  <c r="CR41" i="16"/>
  <c r="CR94" i="16"/>
  <c r="CR78" i="16"/>
  <c r="CR59" i="16"/>
  <c r="CR45" i="16"/>
  <c r="CR10" i="16"/>
  <c r="CR98" i="16"/>
  <c r="CR69" i="16"/>
  <c r="CR74" i="16"/>
  <c r="CR62" i="16"/>
  <c r="CR42" i="16"/>
  <c r="CR96" i="16"/>
  <c r="CR91" i="16"/>
  <c r="CR90" i="16"/>
  <c r="CR73" i="16"/>
  <c r="CR72" i="16"/>
  <c r="CR50" i="16"/>
  <c r="CR48" i="16"/>
  <c r="CR30" i="16"/>
  <c r="CR102" i="16"/>
  <c r="CR68" i="16"/>
  <c r="CR103" i="16"/>
  <c r="CR81" i="16"/>
  <c r="CR85" i="16"/>
  <c r="CR67" i="16"/>
  <c r="CR56" i="16"/>
  <c r="CR87" i="16"/>
  <c r="CR84" i="16"/>
  <c r="CR58" i="16"/>
  <c r="CR86" i="16"/>
  <c r="CR66" i="16"/>
  <c r="CR77" i="16"/>
  <c r="CR76" i="16"/>
  <c r="CR75" i="16"/>
  <c r="CR64" i="16"/>
  <c r="CR63" i="16"/>
  <c r="CR44" i="16"/>
  <c r="CR29" i="16"/>
  <c r="CR92" i="16"/>
  <c r="CR37" i="16"/>
  <c r="CR61" i="16"/>
  <c r="CR80" i="16"/>
  <c r="CR79" i="16"/>
  <c r="CR60" i="16"/>
  <c r="CR52" i="16"/>
  <c r="CR70" i="16"/>
  <c r="CR71" i="16"/>
  <c r="CR43" i="16"/>
  <c r="CR13" i="16"/>
  <c r="CR15" i="16"/>
  <c r="CR19" i="16"/>
  <c r="CR99" i="16"/>
  <c r="CR49" i="16"/>
  <c r="CR57" i="16"/>
  <c r="CR97" i="16"/>
  <c r="CR93" i="16"/>
  <c r="CR101" i="16"/>
  <c r="CR53" i="16"/>
  <c r="CR89" i="16"/>
  <c r="CR40" i="16"/>
  <c r="CR24" i="16"/>
  <c r="CR23" i="16"/>
  <c r="CR25" i="16"/>
  <c r="CR34" i="16"/>
  <c r="CR36" i="16"/>
  <c r="CR35" i="16"/>
  <c r="CR32" i="16"/>
  <c r="CR11" i="16"/>
  <c r="CR6" i="16"/>
  <c r="CR22" i="16"/>
  <c r="CR20" i="16"/>
  <c r="CR39" i="16"/>
  <c r="CR33" i="16"/>
  <c r="CR9" i="16"/>
  <c r="CR16" i="16"/>
  <c r="CR17" i="16"/>
  <c r="CR8" i="16"/>
  <c r="CR31" i="16"/>
  <c r="CR18" i="16"/>
  <c r="CR26" i="16"/>
  <c r="CO88" i="16"/>
  <c r="CO100" i="16"/>
  <c r="CO38" i="16"/>
  <c r="CO41" i="16"/>
  <c r="CO68" i="16"/>
  <c r="CO99" i="16"/>
  <c r="CO40" i="16"/>
  <c r="CO8" i="16"/>
  <c r="CK81" i="16"/>
  <c r="CK58" i="16"/>
  <c r="CK13" i="16"/>
  <c r="CK11" i="16"/>
  <c r="CH54" i="16"/>
  <c r="CH12" i="16"/>
  <c r="CH22" i="16"/>
  <c r="CH26" i="16"/>
  <c r="CD65" i="16"/>
  <c r="CD82" i="16"/>
  <c r="K24" i="16"/>
  <c r="K87" i="16"/>
  <c r="K18" i="16"/>
  <c r="K10" i="16"/>
  <c r="K99" i="16"/>
  <c r="K49" i="16"/>
  <c r="K26" i="16"/>
  <c r="K19" i="16"/>
  <c r="K15" i="16"/>
  <c r="K57" i="16"/>
  <c r="K60" i="16"/>
  <c r="K29" i="16"/>
  <c r="K9" i="16"/>
  <c r="K76" i="16"/>
  <c r="K77" i="16"/>
  <c r="K3" i="16"/>
  <c r="K96" i="16"/>
  <c r="K28" i="16"/>
  <c r="K86" i="16"/>
  <c r="K58" i="16"/>
  <c r="K20" i="16"/>
  <c r="K56" i="16"/>
  <c r="K67" i="16"/>
  <c r="K81" i="16"/>
  <c r="K68" i="16"/>
  <c r="K30" i="16"/>
  <c r="K4" i="16"/>
  <c r="K52" i="16"/>
  <c r="K79" i="16"/>
  <c r="K8" i="16"/>
  <c r="K80" i="16"/>
  <c r="K61" i="16"/>
  <c r="K16" i="16"/>
  <c r="K23" i="16"/>
  <c r="K62" i="16"/>
  <c r="K69" i="16"/>
  <c r="K17" i="16"/>
  <c r="K11" i="16"/>
  <c r="K59" i="16"/>
  <c r="K41" i="16"/>
  <c r="K83" i="16"/>
  <c r="K14" i="16"/>
  <c r="K38" i="16"/>
  <c r="K47" i="16"/>
  <c r="K55" i="16"/>
  <c r="K94" i="16"/>
  <c r="K21" i="16"/>
  <c r="K40" i="16"/>
  <c r="K70" i="16"/>
  <c r="K100" i="16"/>
  <c r="K97" i="16"/>
  <c r="K7" i="16"/>
  <c r="K71" i="16"/>
  <c r="K98" i="16"/>
  <c r="K54" i="16"/>
  <c r="K46" i="16"/>
  <c r="K51" i="16"/>
  <c r="K22" i="16"/>
  <c r="K66" i="16"/>
  <c r="K5" i="16"/>
  <c r="K88" i="16"/>
  <c r="K93" i="16"/>
  <c r="K25" i="16"/>
  <c r="K27" i="16"/>
  <c r="K13" i="16"/>
  <c r="K6" i="16"/>
  <c r="K12" i="16"/>
  <c r="K53" i="16"/>
  <c r="K90" i="16"/>
  <c r="K78" i="16"/>
  <c r="K48" i="16"/>
  <c r="K91" i="16"/>
  <c r="K74" i="16"/>
  <c r="K92" i="16"/>
  <c r="K32" i="16"/>
  <c r="K72" i="16"/>
  <c r="K63" i="16"/>
  <c r="K64" i="16"/>
  <c r="K39" i="16"/>
  <c r="K95" i="16"/>
  <c r="K35" i="16"/>
  <c r="K44" i="16"/>
  <c r="K37" i="16"/>
  <c r="K84" i="16"/>
  <c r="K33" i="16"/>
  <c r="K101" i="16"/>
  <c r="K42" i="16"/>
  <c r="K50" i="16"/>
  <c r="K31" i="16"/>
  <c r="K43" i="16"/>
  <c r="K85" i="16"/>
  <c r="K36" i="16"/>
  <c r="K34" i="16"/>
  <c r="K65" i="16"/>
  <c r="K45" i="16"/>
  <c r="K73" i="16"/>
  <c r="K75" i="16"/>
  <c r="K103" i="16"/>
  <c r="K102" i="16"/>
  <c r="K82" i="16"/>
  <c r="K89" i="16"/>
  <c r="O89" i="16"/>
  <c r="O82" i="16"/>
  <c r="O102" i="16"/>
  <c r="O103" i="16"/>
  <c r="O75" i="16"/>
  <c r="O73" i="16"/>
  <c r="O45" i="16"/>
  <c r="O65" i="16"/>
  <c r="O34" i="16"/>
  <c r="O36" i="16"/>
  <c r="O85" i="16"/>
  <c r="O43" i="16"/>
  <c r="O31" i="16"/>
  <c r="O50" i="16"/>
  <c r="O42" i="16"/>
  <c r="O101" i="16"/>
  <c r="O33" i="16"/>
  <c r="O84" i="16"/>
  <c r="O37" i="16"/>
  <c r="O44" i="16"/>
  <c r="O35" i="16"/>
  <c r="O95" i="16"/>
  <c r="O39" i="16"/>
  <c r="O64" i="16"/>
  <c r="O63" i="16"/>
  <c r="O72" i="16"/>
  <c r="O32" i="16"/>
  <c r="O92" i="16"/>
  <c r="O74" i="16"/>
  <c r="O91" i="16"/>
  <c r="O48" i="16"/>
  <c r="O78" i="16"/>
  <c r="O90" i="16"/>
  <c r="O53" i="16"/>
  <c r="O6" i="16"/>
  <c r="O13" i="16"/>
  <c r="O27" i="16"/>
  <c r="O25" i="16"/>
  <c r="O93" i="16"/>
  <c r="O88" i="16"/>
  <c r="O5" i="16"/>
  <c r="O66" i="16"/>
  <c r="O22" i="16"/>
  <c r="O51" i="16"/>
  <c r="O46" i="16"/>
  <c r="O54" i="16"/>
  <c r="O98" i="16"/>
  <c r="O71" i="16"/>
  <c r="O97" i="16"/>
  <c r="O100" i="16"/>
  <c r="O70" i="16"/>
  <c r="O40" i="16"/>
  <c r="O21" i="16"/>
  <c r="O94" i="16"/>
  <c r="O55" i="16"/>
  <c r="O47" i="16"/>
  <c r="O38" i="16"/>
  <c r="O83" i="16"/>
  <c r="O41" i="16"/>
  <c r="O59" i="16"/>
  <c r="O11" i="16"/>
  <c r="O17" i="16"/>
  <c r="O69" i="16"/>
  <c r="O62" i="16"/>
  <c r="O23" i="16"/>
  <c r="O16" i="16"/>
  <c r="O61" i="16"/>
  <c r="O80" i="16"/>
  <c r="O8" i="16"/>
  <c r="O79" i="16"/>
  <c r="O52" i="16"/>
  <c r="O30" i="16"/>
  <c r="O68" i="16"/>
  <c r="O81" i="16"/>
  <c r="O67" i="16"/>
  <c r="O56" i="16"/>
  <c r="O20" i="16"/>
  <c r="O58" i="16"/>
  <c r="O86" i="16"/>
  <c r="O96" i="16"/>
  <c r="O3" i="16"/>
  <c r="O77" i="16"/>
  <c r="O76" i="16"/>
  <c r="O9" i="16"/>
  <c r="O29" i="16"/>
  <c r="O60" i="16"/>
  <c r="O57" i="16"/>
  <c r="O15" i="16"/>
  <c r="O19" i="16"/>
  <c r="O26" i="16"/>
  <c r="O49" i="16"/>
  <c r="O99" i="16"/>
  <c r="O10" i="16"/>
  <c r="O18" i="16"/>
  <c r="O87" i="16"/>
  <c r="O24" i="16"/>
  <c r="AL18" i="16"/>
  <c r="AL10" i="16"/>
  <c r="AL49" i="16"/>
  <c r="AL60" i="16"/>
  <c r="AL29" i="16"/>
  <c r="AL86" i="16"/>
  <c r="AL30" i="16"/>
  <c r="AL62" i="16"/>
  <c r="AL17" i="16"/>
  <c r="AL47" i="16"/>
  <c r="AL98" i="16"/>
  <c r="AL54" i="16"/>
  <c r="AL51" i="16"/>
  <c r="AL22" i="16"/>
  <c r="AL12" i="16"/>
  <c r="AL53" i="16"/>
  <c r="AL91" i="16"/>
  <c r="AL101" i="16"/>
  <c r="AL36" i="16"/>
  <c r="AH24" i="16"/>
  <c r="AH89" i="16"/>
  <c r="AH82" i="16"/>
  <c r="AH102" i="16"/>
  <c r="AH103" i="16"/>
  <c r="AH75" i="16"/>
  <c r="AH73" i="16"/>
  <c r="AH45" i="16"/>
  <c r="AH65" i="16"/>
  <c r="AH34" i="16"/>
  <c r="AH36" i="16"/>
  <c r="AH85" i="16"/>
  <c r="AH43" i="16"/>
  <c r="AH31" i="16"/>
  <c r="AH50" i="16"/>
  <c r="AH42" i="16"/>
  <c r="AH101" i="16"/>
  <c r="AH33" i="16"/>
  <c r="AH84" i="16"/>
  <c r="AH37" i="16"/>
  <c r="AH44" i="16"/>
  <c r="AH35" i="16"/>
  <c r="AH95" i="16"/>
  <c r="AH39" i="16"/>
  <c r="AH64" i="16"/>
  <c r="AH63" i="16"/>
  <c r="AH72" i="16"/>
  <c r="AH32" i="16"/>
  <c r="AH92" i="16"/>
  <c r="AH74" i="16"/>
  <c r="AH91" i="16"/>
  <c r="AH48" i="16"/>
  <c r="AH78" i="16"/>
  <c r="AH90" i="16"/>
  <c r="AH53" i="16"/>
  <c r="AH6" i="16"/>
  <c r="AH13" i="16"/>
  <c r="AH27" i="16"/>
  <c r="AH25" i="16"/>
  <c r="AH93" i="16"/>
  <c r="AH88" i="16"/>
  <c r="AH66" i="16"/>
  <c r="AH22" i="16"/>
  <c r="AH51" i="16"/>
  <c r="AH46" i="16"/>
  <c r="AH54" i="16"/>
  <c r="AH98" i="16"/>
  <c r="AH71" i="16"/>
  <c r="AH97" i="16"/>
  <c r="AH100" i="16"/>
  <c r="AH70" i="16"/>
  <c r="AH40" i="16"/>
  <c r="AH21" i="16"/>
  <c r="AH94" i="16"/>
  <c r="AH55" i="16"/>
  <c r="AH47" i="16"/>
  <c r="AH38" i="16"/>
  <c r="AH83" i="16"/>
  <c r="AH41" i="16"/>
  <c r="AH59" i="16"/>
  <c r="AH11" i="16"/>
  <c r="AH17" i="16"/>
  <c r="AH69" i="16"/>
  <c r="AH62" i="16"/>
  <c r="AH23" i="16"/>
  <c r="AH16" i="16"/>
  <c r="AH61" i="16"/>
  <c r="AH80" i="16"/>
  <c r="AH8" i="16"/>
  <c r="AH79" i="16"/>
  <c r="AH52" i="16"/>
  <c r="AH30" i="16"/>
  <c r="AH68" i="16"/>
  <c r="AH81" i="16"/>
  <c r="AH67" i="16"/>
  <c r="AH56" i="16"/>
  <c r="AH20" i="16"/>
  <c r="AH58" i="16"/>
  <c r="AH86" i="16"/>
  <c r="AH96" i="16"/>
  <c r="AH77" i="16"/>
  <c r="AH76" i="16"/>
  <c r="AH9" i="16"/>
  <c r="AH29" i="16"/>
  <c r="AH60" i="16"/>
  <c r="AH57" i="16"/>
  <c r="AH15" i="16"/>
  <c r="AH19" i="16"/>
  <c r="AH26" i="16"/>
  <c r="AH49" i="16"/>
  <c r="AH99" i="16"/>
  <c r="AH10" i="16"/>
  <c r="AH18" i="16"/>
  <c r="AH87" i="16"/>
  <c r="AC24" i="16"/>
  <c r="AC87" i="16"/>
  <c r="AC18" i="16"/>
  <c r="AC10" i="16"/>
  <c r="AC99" i="16"/>
  <c r="AC49" i="16"/>
  <c r="AC26" i="16"/>
  <c r="AC19" i="16"/>
  <c r="AC15" i="16"/>
  <c r="AC57" i="16"/>
  <c r="AC60" i="16"/>
  <c r="AC29" i="16"/>
  <c r="AC9" i="16"/>
  <c r="AC76" i="16"/>
  <c r="AC77" i="16"/>
  <c r="AC3" i="16"/>
  <c r="AC96" i="16"/>
  <c r="AC28" i="16"/>
  <c r="AC86" i="16"/>
  <c r="AC58" i="16"/>
  <c r="AC20" i="16"/>
  <c r="AC56" i="16"/>
  <c r="AC67" i="16"/>
  <c r="AC81" i="16"/>
  <c r="AC68" i="16"/>
  <c r="AC30" i="16"/>
  <c r="AC4" i="16"/>
  <c r="AC52" i="16"/>
  <c r="AC79" i="16"/>
  <c r="AC8" i="16"/>
  <c r="AC80" i="16"/>
  <c r="AC61" i="16"/>
  <c r="AC16" i="16"/>
  <c r="AC23" i="16"/>
  <c r="AC62" i="16"/>
  <c r="AC69" i="16"/>
  <c r="AC17" i="16"/>
  <c r="AC11" i="16"/>
  <c r="AC59" i="16"/>
  <c r="AC41" i="16"/>
  <c r="AC83" i="16"/>
  <c r="AC14" i="16"/>
  <c r="AC38" i="16"/>
  <c r="AC47" i="16"/>
  <c r="AC55" i="16"/>
  <c r="AC94" i="16"/>
  <c r="AC21" i="16"/>
  <c r="AC40" i="16"/>
  <c r="AC70" i="16"/>
  <c r="AC100" i="16"/>
  <c r="AC97" i="16"/>
  <c r="AC7" i="16"/>
  <c r="AC71" i="16"/>
  <c r="AC98" i="16"/>
  <c r="AC54" i="16"/>
  <c r="AC46" i="16"/>
  <c r="AC51" i="16"/>
  <c r="AC22" i="16"/>
  <c r="AC66" i="16"/>
  <c r="AC5" i="16"/>
  <c r="AC88" i="16"/>
  <c r="AC93" i="16"/>
  <c r="AC25" i="16"/>
  <c r="AC27" i="16"/>
  <c r="AC13" i="16"/>
  <c r="AC6" i="16"/>
  <c r="AC12" i="16"/>
  <c r="AC53" i="16"/>
  <c r="AC90" i="16"/>
  <c r="AC78" i="16"/>
  <c r="AC48" i="16"/>
  <c r="AC91" i="16"/>
  <c r="AC74" i="16"/>
  <c r="AC92" i="16"/>
  <c r="AC32" i="16"/>
  <c r="AC72" i="16"/>
  <c r="AC63" i="16"/>
  <c r="AC64" i="16"/>
  <c r="AC39" i="16"/>
  <c r="AC95" i="16"/>
  <c r="AC35" i="16"/>
  <c r="AC44" i="16"/>
  <c r="AC37" i="16"/>
  <c r="AC84" i="16"/>
  <c r="AC33" i="16"/>
  <c r="AC101" i="16"/>
  <c r="AC42" i="16"/>
  <c r="AC50" i="16"/>
  <c r="AC31" i="16"/>
  <c r="AC43" i="16"/>
  <c r="AC85" i="16"/>
  <c r="AC36" i="16"/>
  <c r="AC34" i="16"/>
  <c r="AC65" i="16"/>
  <c r="AC45" i="16"/>
  <c r="AC73" i="16"/>
  <c r="AC75" i="16"/>
  <c r="AC103" i="16"/>
  <c r="AC102" i="16"/>
  <c r="AC82" i="16"/>
  <c r="AC89" i="16"/>
  <c r="D6" i="14"/>
  <c r="E6" i="14"/>
  <c r="F6" i="14"/>
  <c r="D7" i="14"/>
  <c r="E7" i="14"/>
  <c r="F7" i="14"/>
  <c r="D8" i="14"/>
  <c r="E8" i="14"/>
  <c r="F8" i="14"/>
  <c r="D9" i="14"/>
  <c r="E9" i="14"/>
  <c r="F9" i="14"/>
  <c r="D10" i="14"/>
  <c r="E10" i="14"/>
  <c r="F10" i="14"/>
  <c r="D11" i="14"/>
  <c r="E11" i="14"/>
  <c r="F11" i="14"/>
  <c r="D12" i="14"/>
  <c r="E12" i="14"/>
  <c r="F12" i="14"/>
  <c r="D13" i="14"/>
  <c r="E13" i="14"/>
  <c r="F13" i="14"/>
  <c r="D14" i="14"/>
  <c r="E14" i="14"/>
  <c r="F14" i="14"/>
  <c r="D15" i="14"/>
  <c r="E15" i="14"/>
  <c r="F15" i="14"/>
  <c r="D16" i="14"/>
  <c r="E16" i="14"/>
  <c r="F16" i="14"/>
  <c r="D17" i="14"/>
  <c r="E17" i="14"/>
  <c r="F17" i="14"/>
  <c r="D18" i="14"/>
  <c r="E18" i="14"/>
  <c r="F18" i="14"/>
  <c r="D19" i="14"/>
  <c r="E19" i="14"/>
  <c r="F19" i="14"/>
  <c r="D20" i="14"/>
  <c r="E20" i="14"/>
  <c r="F20" i="14"/>
  <c r="D21" i="14"/>
  <c r="E21" i="14"/>
  <c r="F21" i="14"/>
  <c r="D22" i="14"/>
  <c r="E22" i="14"/>
  <c r="F22" i="14"/>
  <c r="D23" i="14"/>
  <c r="E23" i="14"/>
  <c r="F23" i="14"/>
  <c r="D24" i="14"/>
  <c r="E24" i="14"/>
  <c r="F24" i="14"/>
  <c r="D25" i="14"/>
  <c r="E25" i="14"/>
  <c r="F25" i="14"/>
  <c r="D26" i="14"/>
  <c r="E26" i="14"/>
  <c r="F26" i="14"/>
  <c r="D27" i="14"/>
  <c r="E27" i="14"/>
  <c r="F27" i="14"/>
  <c r="D28" i="14"/>
  <c r="E28" i="14"/>
  <c r="F28" i="14"/>
  <c r="D29" i="14"/>
  <c r="E29" i="14"/>
  <c r="F29" i="14"/>
  <c r="D30" i="14"/>
  <c r="E30" i="14"/>
  <c r="F30" i="14"/>
  <c r="D31" i="14"/>
  <c r="E31" i="14"/>
  <c r="F31" i="14"/>
  <c r="D32" i="14"/>
  <c r="E32" i="14"/>
  <c r="F32" i="14"/>
  <c r="D33" i="14"/>
  <c r="E33" i="14"/>
  <c r="F33" i="14"/>
  <c r="D34" i="14"/>
  <c r="E34" i="14"/>
  <c r="F34" i="14"/>
  <c r="D35" i="14"/>
  <c r="E35" i="14"/>
  <c r="F35" i="14"/>
  <c r="D36" i="14"/>
  <c r="E36" i="14"/>
  <c r="F36" i="14"/>
  <c r="D37" i="14"/>
  <c r="E37" i="14"/>
  <c r="F37" i="14"/>
  <c r="D38" i="14"/>
  <c r="E38" i="14"/>
  <c r="F38" i="14"/>
  <c r="D39" i="14"/>
  <c r="E39" i="14"/>
  <c r="F39" i="14"/>
  <c r="D40" i="14"/>
  <c r="E40" i="14"/>
  <c r="F40" i="14"/>
  <c r="D41" i="14"/>
  <c r="E41" i="14"/>
  <c r="F41" i="14"/>
  <c r="D42" i="14"/>
  <c r="E42" i="14"/>
  <c r="F42" i="14"/>
  <c r="D43" i="14"/>
  <c r="E43" i="14"/>
  <c r="F43" i="14"/>
  <c r="D44" i="14"/>
  <c r="E44" i="14"/>
  <c r="F44" i="14"/>
  <c r="D45" i="14"/>
  <c r="E45" i="14"/>
  <c r="F45" i="14"/>
  <c r="D46" i="14"/>
  <c r="E46" i="14"/>
  <c r="F46" i="14"/>
  <c r="D47" i="14"/>
  <c r="E47" i="14"/>
  <c r="F47" i="14"/>
  <c r="D48" i="14"/>
  <c r="E48" i="14"/>
  <c r="F48" i="14"/>
  <c r="D49" i="14"/>
  <c r="E49" i="14"/>
  <c r="F49" i="14"/>
  <c r="D50" i="14"/>
  <c r="E50" i="14"/>
  <c r="F50" i="14"/>
  <c r="D51" i="14"/>
  <c r="E51" i="14"/>
  <c r="F51" i="14"/>
  <c r="D52" i="14"/>
  <c r="E52" i="14"/>
  <c r="F52" i="14"/>
  <c r="D53" i="14"/>
  <c r="E53" i="14"/>
  <c r="F53" i="14"/>
  <c r="D54" i="14"/>
  <c r="E54" i="14"/>
  <c r="F54" i="14"/>
  <c r="D55" i="14"/>
  <c r="E55" i="14"/>
  <c r="F55" i="14"/>
  <c r="D56" i="14"/>
  <c r="E56" i="14"/>
  <c r="F56" i="14"/>
  <c r="D57" i="14"/>
  <c r="E57" i="14"/>
  <c r="F57" i="14"/>
  <c r="D58" i="14"/>
  <c r="E58" i="14"/>
  <c r="F58" i="14"/>
  <c r="D59" i="14"/>
  <c r="E59" i="14"/>
  <c r="F59" i="14"/>
  <c r="D60" i="14"/>
  <c r="E60" i="14"/>
  <c r="F60" i="14"/>
  <c r="D61" i="14"/>
  <c r="E61" i="14"/>
  <c r="F61" i="14"/>
  <c r="D62" i="14"/>
  <c r="E62" i="14"/>
  <c r="F62" i="14"/>
  <c r="D63" i="14"/>
  <c r="E63" i="14"/>
  <c r="F63" i="14"/>
  <c r="D64" i="14"/>
  <c r="E64" i="14"/>
  <c r="F64" i="14"/>
  <c r="D65" i="14"/>
  <c r="E65" i="14"/>
  <c r="F65" i="14"/>
  <c r="D66" i="14"/>
  <c r="E66" i="14"/>
  <c r="F66" i="14"/>
  <c r="D67" i="14"/>
  <c r="E67" i="14"/>
  <c r="F67" i="14"/>
  <c r="D68" i="14"/>
  <c r="E68" i="14"/>
  <c r="F68" i="14"/>
  <c r="D69" i="14"/>
  <c r="E69" i="14"/>
  <c r="F69" i="14"/>
  <c r="D70" i="14"/>
  <c r="E70" i="14"/>
  <c r="F70" i="14"/>
  <c r="D71" i="14"/>
  <c r="E71" i="14"/>
  <c r="F71" i="14"/>
  <c r="D72" i="14"/>
  <c r="E72" i="14"/>
  <c r="F72" i="14"/>
  <c r="D73" i="14"/>
  <c r="E73" i="14"/>
  <c r="F73" i="14"/>
  <c r="D74" i="14"/>
  <c r="E74" i="14"/>
  <c r="F74" i="14"/>
  <c r="D75" i="14"/>
  <c r="E75" i="14"/>
  <c r="F75" i="14"/>
  <c r="D76" i="14"/>
  <c r="E76" i="14"/>
  <c r="F76" i="14"/>
  <c r="D77" i="14"/>
  <c r="E77" i="14"/>
  <c r="F77" i="14"/>
  <c r="D78" i="14"/>
  <c r="E78" i="14"/>
  <c r="F78" i="14"/>
  <c r="D79" i="14"/>
  <c r="E79" i="14"/>
  <c r="F79" i="14"/>
  <c r="D80" i="14"/>
  <c r="E80" i="14"/>
  <c r="F80" i="14"/>
  <c r="D81" i="14"/>
  <c r="E81" i="14"/>
  <c r="F81" i="14"/>
  <c r="D82" i="14"/>
  <c r="E82" i="14"/>
  <c r="F82" i="14"/>
  <c r="D83" i="14"/>
  <c r="E83" i="14"/>
  <c r="F83" i="14"/>
  <c r="D84" i="14"/>
  <c r="E84" i="14"/>
  <c r="F84" i="14"/>
  <c r="D85" i="14"/>
  <c r="E85" i="14"/>
  <c r="F85" i="14"/>
  <c r="D86" i="14"/>
  <c r="E86" i="14"/>
  <c r="F86" i="14"/>
  <c r="D87" i="14"/>
  <c r="E87" i="14"/>
  <c r="F87" i="14"/>
  <c r="D88" i="14"/>
  <c r="E88" i="14"/>
  <c r="F88" i="14"/>
  <c r="D89" i="14"/>
  <c r="E89" i="14"/>
  <c r="F89" i="14"/>
  <c r="D90" i="14"/>
  <c r="E90" i="14"/>
  <c r="F90" i="14"/>
  <c r="D91" i="14"/>
  <c r="E91" i="14"/>
  <c r="F91" i="14"/>
  <c r="D92" i="14"/>
  <c r="E92" i="14"/>
  <c r="F92" i="14"/>
  <c r="D93" i="14"/>
  <c r="E93" i="14"/>
  <c r="F93" i="14"/>
  <c r="D94" i="14"/>
  <c r="E94" i="14"/>
  <c r="F94" i="14"/>
  <c r="D95" i="14"/>
  <c r="E95" i="14"/>
  <c r="F95" i="14"/>
  <c r="D96" i="14"/>
  <c r="E96" i="14"/>
  <c r="F96" i="14"/>
  <c r="D97" i="14"/>
  <c r="E97" i="14"/>
  <c r="F97" i="14"/>
  <c r="D98" i="14"/>
  <c r="E98" i="14"/>
  <c r="F98" i="14"/>
  <c r="D99" i="14"/>
  <c r="E99" i="14"/>
  <c r="F99" i="14"/>
  <c r="D100" i="14"/>
  <c r="E100" i="14"/>
  <c r="F100" i="14"/>
  <c r="D101" i="14"/>
  <c r="E101" i="14"/>
  <c r="F101" i="14"/>
  <c r="D102" i="14"/>
  <c r="E102" i="14"/>
  <c r="F102" i="14"/>
  <c r="D103" i="14"/>
  <c r="E103" i="14"/>
  <c r="F103" i="14"/>
  <c r="D104" i="14"/>
  <c r="E104" i="14"/>
  <c r="F104" i="14"/>
  <c r="D105" i="14"/>
  <c r="E105" i="14"/>
  <c r="F105" i="14"/>
  <c r="E5" i="14"/>
  <c r="F5" i="14"/>
  <c r="D5" i="14"/>
  <c r="Y1" i="14"/>
  <c r="N6" i="14"/>
  <c r="N7" i="14"/>
  <c r="N8" i="14"/>
  <c r="N9" i="14"/>
  <c r="N10" i="14"/>
  <c r="N11" i="14"/>
  <c r="N12" i="1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N42" i="14"/>
  <c r="N43" i="14"/>
  <c r="N44" i="14"/>
  <c r="N45" i="14"/>
  <c r="N46" i="14"/>
  <c r="N47" i="14"/>
  <c r="N48" i="14"/>
  <c r="N49" i="14"/>
  <c r="N50" i="14"/>
  <c r="N51" i="14"/>
  <c r="N52" i="14"/>
  <c r="N53" i="14"/>
  <c r="N54" i="14"/>
  <c r="N55" i="14"/>
  <c r="N56" i="14"/>
  <c r="N57" i="14"/>
  <c r="N58" i="14"/>
  <c r="N59" i="14"/>
  <c r="N60" i="14"/>
  <c r="N61" i="14"/>
  <c r="N62" i="14"/>
  <c r="N63" i="14"/>
  <c r="N64" i="14"/>
  <c r="N65" i="14"/>
  <c r="N66" i="14"/>
  <c r="N67" i="14"/>
  <c r="N68" i="14"/>
  <c r="N69" i="14"/>
  <c r="N70" i="14"/>
  <c r="N71" i="14"/>
  <c r="N72" i="14"/>
  <c r="N73" i="14"/>
  <c r="N74" i="14"/>
  <c r="N75" i="14"/>
  <c r="N76" i="14"/>
  <c r="N77" i="14"/>
  <c r="N78" i="14"/>
  <c r="N79" i="14"/>
  <c r="N80" i="14"/>
  <c r="N81" i="14"/>
  <c r="N82" i="14"/>
  <c r="N83" i="14"/>
  <c r="N84" i="14"/>
  <c r="N85" i="14"/>
  <c r="N86" i="14"/>
  <c r="N87" i="14"/>
  <c r="N88" i="14"/>
  <c r="N89" i="14"/>
  <c r="N90" i="14"/>
  <c r="N91" i="14"/>
  <c r="N92" i="14"/>
  <c r="N93" i="14"/>
  <c r="N94" i="14"/>
  <c r="N95" i="14"/>
  <c r="N96" i="14"/>
  <c r="N97" i="14"/>
  <c r="N98" i="14"/>
  <c r="N99" i="14"/>
  <c r="N100" i="14"/>
  <c r="N101" i="14"/>
  <c r="N102" i="14"/>
  <c r="N103" i="14"/>
  <c r="N104" i="14"/>
  <c r="N105" i="14"/>
  <c r="N5" i="14"/>
  <c r="M5" i="14"/>
  <c r="M6" i="14"/>
  <c r="M7" i="14"/>
  <c r="M8" i="14"/>
  <c r="M9" i="14"/>
  <c r="M10" i="14"/>
  <c r="M11" i="14"/>
  <c r="M12" i="14"/>
  <c r="M13" i="14"/>
  <c r="M14" i="14"/>
  <c r="M15" i="14"/>
  <c r="M16" i="14"/>
  <c r="M17" i="14"/>
  <c r="M18" i="14"/>
  <c r="M19" i="14"/>
  <c r="M20" i="14"/>
  <c r="M21" i="14"/>
  <c r="M22" i="14"/>
  <c r="M23" i="14"/>
  <c r="M24" i="14"/>
  <c r="M25" i="14"/>
  <c r="M26" i="14"/>
  <c r="M27" i="14"/>
  <c r="M28" i="14"/>
  <c r="M29" i="14"/>
  <c r="M30" i="14"/>
  <c r="M31" i="14"/>
  <c r="M32" i="14"/>
  <c r="M33" i="14"/>
  <c r="M34" i="14"/>
  <c r="M35" i="14"/>
  <c r="M36" i="14"/>
  <c r="M37" i="14"/>
  <c r="M38" i="14"/>
  <c r="M39" i="14"/>
  <c r="M40" i="14"/>
  <c r="M41" i="14"/>
  <c r="M42" i="14"/>
  <c r="M43" i="14"/>
  <c r="M44" i="14"/>
  <c r="M45" i="14"/>
  <c r="M46" i="14"/>
  <c r="M47" i="14"/>
  <c r="M48" i="14"/>
  <c r="M49" i="14"/>
  <c r="M50" i="14"/>
  <c r="M51" i="14"/>
  <c r="M52" i="14"/>
  <c r="M53" i="14"/>
  <c r="M54" i="14"/>
  <c r="M55" i="14"/>
  <c r="M56" i="14"/>
  <c r="M57" i="14"/>
  <c r="M58" i="14"/>
  <c r="M59" i="14"/>
  <c r="M60" i="14"/>
  <c r="M61" i="14"/>
  <c r="M62" i="14"/>
  <c r="M63" i="14"/>
  <c r="M64" i="14"/>
  <c r="M65" i="14"/>
  <c r="M66" i="14"/>
  <c r="M67" i="14"/>
  <c r="M68" i="14"/>
  <c r="M69" i="14"/>
  <c r="M70" i="14"/>
  <c r="M71" i="14"/>
  <c r="M72" i="14"/>
  <c r="M73" i="14"/>
  <c r="M74" i="14"/>
  <c r="M75" i="14"/>
  <c r="M76" i="14"/>
  <c r="M77" i="14"/>
  <c r="M78" i="14"/>
  <c r="M79" i="14"/>
  <c r="M80" i="14"/>
  <c r="M81" i="14"/>
  <c r="M82" i="14"/>
  <c r="M83" i="14"/>
  <c r="M84" i="14"/>
  <c r="M85" i="14"/>
  <c r="M86" i="14"/>
  <c r="M87" i="14"/>
  <c r="M88" i="14"/>
  <c r="M89" i="14"/>
  <c r="M90" i="14"/>
  <c r="M91" i="14"/>
  <c r="M92" i="14"/>
  <c r="M93" i="14"/>
  <c r="M94" i="14"/>
  <c r="M95" i="14"/>
  <c r="M96" i="14"/>
  <c r="M97" i="14"/>
  <c r="M98" i="14"/>
  <c r="M99" i="14"/>
  <c r="M100" i="14"/>
  <c r="M101" i="14"/>
  <c r="M102" i="14"/>
  <c r="M103" i="14"/>
  <c r="M104" i="14"/>
  <c r="M105" i="14"/>
  <c r="L6" i="14"/>
  <c r="L7" i="14"/>
  <c r="L8" i="14"/>
  <c r="L9" i="14"/>
  <c r="L10" i="14"/>
  <c r="L11" i="14"/>
  <c r="L12" i="14"/>
  <c r="L13" i="14"/>
  <c r="L14" i="14"/>
  <c r="L15"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L41" i="14"/>
  <c r="L42" i="14"/>
  <c r="L43" i="14"/>
  <c r="L44" i="14"/>
  <c r="L45" i="14"/>
  <c r="L46" i="14"/>
  <c r="L47" i="14"/>
  <c r="L48" i="14"/>
  <c r="L49" i="14"/>
  <c r="L50" i="14"/>
  <c r="L51" i="14"/>
  <c r="L52" i="14"/>
  <c r="L53" i="14"/>
  <c r="L54" i="14"/>
  <c r="L55" i="14"/>
  <c r="L56" i="14"/>
  <c r="L57" i="14"/>
  <c r="L58" i="14"/>
  <c r="L59" i="14"/>
  <c r="L60" i="14"/>
  <c r="L61" i="14"/>
  <c r="L62" i="14"/>
  <c r="L63" i="14"/>
  <c r="L64" i="14"/>
  <c r="L65" i="14"/>
  <c r="L66" i="14"/>
  <c r="L67" i="14"/>
  <c r="L68" i="14"/>
  <c r="L69" i="14"/>
  <c r="L70" i="14"/>
  <c r="L71" i="14"/>
  <c r="L72" i="14"/>
  <c r="L73" i="14"/>
  <c r="L74" i="14"/>
  <c r="L75" i="14"/>
  <c r="L76" i="14"/>
  <c r="L77" i="14"/>
  <c r="L78" i="14"/>
  <c r="L79" i="14"/>
  <c r="L80" i="14"/>
  <c r="L81" i="14"/>
  <c r="L82" i="14"/>
  <c r="L83" i="14"/>
  <c r="L84" i="14"/>
  <c r="L85" i="14"/>
  <c r="L86" i="14"/>
  <c r="L87" i="14"/>
  <c r="L88" i="14"/>
  <c r="L89" i="14"/>
  <c r="L90" i="14"/>
  <c r="L91" i="14"/>
  <c r="L92" i="14"/>
  <c r="L93" i="14"/>
  <c r="L94" i="14"/>
  <c r="L95" i="14"/>
  <c r="L96" i="14"/>
  <c r="L97" i="14"/>
  <c r="L98" i="14"/>
  <c r="L99" i="14"/>
  <c r="L100" i="14"/>
  <c r="L101" i="14"/>
  <c r="L102" i="14"/>
  <c r="L103" i="14"/>
  <c r="L104" i="14"/>
  <c r="L105" i="14"/>
  <c r="L5" i="14"/>
  <c r="P37" i="14"/>
  <c r="Q37" i="14" s="1"/>
  <c r="P38" i="14"/>
  <c r="Q38" i="14" s="1"/>
  <c r="P39" i="14"/>
  <c r="Q39" i="14" s="1"/>
  <c r="P40" i="14"/>
  <c r="P41" i="14"/>
  <c r="Q41" i="14" s="1"/>
  <c r="P42" i="14"/>
  <c r="Q42" i="14" s="1"/>
  <c r="P43" i="14"/>
  <c r="Q43" i="14" s="1"/>
  <c r="P44" i="14"/>
  <c r="Q44" i="14" s="1"/>
  <c r="P45" i="14"/>
  <c r="Q45" i="14" s="1"/>
  <c r="P46" i="14"/>
  <c r="Q46" i="14" s="1"/>
  <c r="P47" i="14"/>
  <c r="Q47" i="14" s="1"/>
  <c r="P48" i="14"/>
  <c r="Q48" i="14" s="1"/>
  <c r="P49" i="14"/>
  <c r="Q49" i="14" s="1"/>
  <c r="P50" i="14"/>
  <c r="Q50" i="14" s="1"/>
  <c r="P51" i="14"/>
  <c r="Q51" i="14" s="1"/>
  <c r="P52" i="14"/>
  <c r="Q52" i="14" s="1"/>
  <c r="P53" i="14"/>
  <c r="Q53" i="14" s="1"/>
  <c r="P54" i="14"/>
  <c r="Q54" i="14" s="1"/>
  <c r="P55" i="14"/>
  <c r="Q55" i="14" s="1"/>
  <c r="P56" i="14"/>
  <c r="Q56" i="14" s="1"/>
  <c r="P57" i="14"/>
  <c r="Q57" i="14" s="1"/>
  <c r="P58" i="14"/>
  <c r="Q58" i="14" s="1"/>
  <c r="P59" i="14"/>
  <c r="Q59" i="14" s="1"/>
  <c r="P60" i="14"/>
  <c r="Q60" i="14" s="1"/>
  <c r="P61" i="14"/>
  <c r="Q61" i="14" s="1"/>
  <c r="P62" i="14"/>
  <c r="Q62" i="14" s="1"/>
  <c r="P63" i="14"/>
  <c r="Q63" i="14" s="1"/>
  <c r="P64" i="14"/>
  <c r="Q64" i="14" s="1"/>
  <c r="P65" i="14"/>
  <c r="Q65" i="14" s="1"/>
  <c r="P66" i="14"/>
  <c r="Q66" i="14" s="1"/>
  <c r="P67" i="14"/>
  <c r="Q67" i="14" s="1"/>
  <c r="P68" i="14"/>
  <c r="Q68" i="14" s="1"/>
  <c r="P69" i="14"/>
  <c r="Q69" i="14" s="1"/>
  <c r="P70" i="14"/>
  <c r="Q70" i="14" s="1"/>
  <c r="P71" i="14"/>
  <c r="P72" i="14"/>
  <c r="Q72" i="14" s="1"/>
  <c r="P73" i="14"/>
  <c r="Q73" i="14" s="1"/>
  <c r="P74" i="14"/>
  <c r="Q74" i="14" s="1"/>
  <c r="P75" i="14"/>
  <c r="Q75" i="14" s="1"/>
  <c r="P76" i="14"/>
  <c r="Q76" i="14" s="1"/>
  <c r="P77" i="14"/>
  <c r="Q77" i="14" s="1"/>
  <c r="P78" i="14"/>
  <c r="Q78" i="14" s="1"/>
  <c r="P79" i="14"/>
  <c r="Q79" i="14" s="1"/>
  <c r="P80" i="14"/>
  <c r="Q80" i="14" s="1"/>
  <c r="P81" i="14"/>
  <c r="Q81" i="14" s="1"/>
  <c r="P82" i="14"/>
  <c r="Q82" i="14" s="1"/>
  <c r="P83" i="14"/>
  <c r="Q83" i="14" s="1"/>
  <c r="P84" i="14"/>
  <c r="Q84" i="14" s="1"/>
  <c r="P85" i="14"/>
  <c r="Q85" i="14" s="1"/>
  <c r="P86" i="14"/>
  <c r="Q86" i="14" s="1"/>
  <c r="P87" i="14"/>
  <c r="Q87" i="14" s="1"/>
  <c r="P88" i="14"/>
  <c r="Q88" i="14" s="1"/>
  <c r="P89" i="14"/>
  <c r="Q89" i="14" s="1"/>
  <c r="P90" i="14"/>
  <c r="Q90" i="14" s="1"/>
  <c r="P91" i="14"/>
  <c r="Q91" i="14" s="1"/>
  <c r="P92" i="14"/>
  <c r="Q92" i="14" s="1"/>
  <c r="P93" i="14"/>
  <c r="Q93" i="14" s="1"/>
  <c r="P94" i="14"/>
  <c r="Q94" i="14" s="1"/>
  <c r="P95" i="14"/>
  <c r="P96" i="14"/>
  <c r="Q96" i="14" s="1"/>
  <c r="P97" i="14"/>
  <c r="Q97" i="14" s="1"/>
  <c r="P98" i="14"/>
  <c r="Q98" i="14" s="1"/>
  <c r="P99" i="14"/>
  <c r="Q99" i="14" s="1"/>
  <c r="P100" i="14"/>
  <c r="Q100" i="14" s="1"/>
  <c r="P101" i="14"/>
  <c r="Q101" i="14" s="1"/>
  <c r="P102" i="14"/>
  <c r="Q102" i="14" s="1"/>
  <c r="P103" i="14"/>
  <c r="Q103" i="14" s="1"/>
  <c r="P104" i="14"/>
  <c r="Q104" i="14" s="1"/>
  <c r="P105" i="14"/>
  <c r="Q105" i="14" s="1"/>
  <c r="O6" i="14"/>
  <c r="V6" i="14" s="1"/>
  <c r="X6" i="14" s="1"/>
  <c r="O7" i="14"/>
  <c r="X7" i="14" s="1"/>
  <c r="O8" i="14"/>
  <c r="X8" i="14" s="1"/>
  <c r="O9" i="14"/>
  <c r="X9" i="14" s="1"/>
  <c r="O10" i="14"/>
  <c r="V10" i="14" s="1"/>
  <c r="X10" i="14" s="1"/>
  <c r="O11" i="14"/>
  <c r="X11" i="14" s="1"/>
  <c r="O12" i="14"/>
  <c r="X12" i="14" s="1"/>
  <c r="O13" i="14"/>
  <c r="X13" i="14" s="1"/>
  <c r="O14" i="14"/>
  <c r="X14" i="14" s="1"/>
  <c r="O15" i="14"/>
  <c r="X15" i="14" s="1"/>
  <c r="O16" i="14"/>
  <c r="X16" i="14" s="1"/>
  <c r="O17" i="14"/>
  <c r="X17" i="14" s="1"/>
  <c r="O18" i="14"/>
  <c r="V18" i="14" s="1"/>
  <c r="X18" i="14" s="1"/>
  <c r="O19" i="14"/>
  <c r="X19" i="14" s="1"/>
  <c r="O20" i="14"/>
  <c r="X20" i="14" s="1"/>
  <c r="O21" i="14"/>
  <c r="X21" i="14" s="1"/>
  <c r="O22" i="14"/>
  <c r="X22" i="14" s="1"/>
  <c r="O23" i="14"/>
  <c r="X23" i="14" s="1"/>
  <c r="O24" i="14"/>
  <c r="X24" i="14" s="1"/>
  <c r="O25" i="14"/>
  <c r="X25" i="14" s="1"/>
  <c r="O26" i="14"/>
  <c r="X26" i="14" s="1"/>
  <c r="O27" i="14"/>
  <c r="X27" i="14" s="1"/>
  <c r="O28" i="14"/>
  <c r="X28" i="14" s="1"/>
  <c r="O29" i="14"/>
  <c r="X29" i="14" s="1"/>
  <c r="O30" i="14"/>
  <c r="X30" i="14" s="1"/>
  <c r="O31" i="14"/>
  <c r="X31" i="14" s="1"/>
  <c r="O32" i="14"/>
  <c r="X32" i="14" s="1"/>
  <c r="O33" i="14"/>
  <c r="X33" i="14" s="1"/>
  <c r="O34" i="14"/>
  <c r="X34" i="14" s="1"/>
  <c r="O35" i="14"/>
  <c r="X35" i="14" s="1"/>
  <c r="O36" i="14"/>
  <c r="X36" i="14" s="1"/>
  <c r="O37" i="14"/>
  <c r="X37" i="14" s="1"/>
  <c r="O38" i="14"/>
  <c r="X38" i="14" s="1"/>
  <c r="O39" i="14"/>
  <c r="X39" i="14" s="1"/>
  <c r="O40" i="14"/>
  <c r="X40" i="14" s="1"/>
  <c r="O41" i="14"/>
  <c r="X41" i="14" s="1"/>
  <c r="O42" i="14"/>
  <c r="X42" i="14" s="1"/>
  <c r="O43" i="14"/>
  <c r="X43" i="14" s="1"/>
  <c r="O44" i="14"/>
  <c r="X44" i="14" s="1"/>
  <c r="O45" i="14"/>
  <c r="X45" i="14" s="1"/>
  <c r="O46" i="14"/>
  <c r="X46" i="14" s="1"/>
  <c r="O47" i="14"/>
  <c r="X47" i="14" s="1"/>
  <c r="O48" i="14"/>
  <c r="X48" i="14" s="1"/>
  <c r="O49" i="14"/>
  <c r="X49" i="14" s="1"/>
  <c r="O50" i="14"/>
  <c r="X50" i="14" s="1"/>
  <c r="O51" i="14"/>
  <c r="X51" i="14" s="1"/>
  <c r="O52" i="14"/>
  <c r="X52" i="14" s="1"/>
  <c r="O53" i="14"/>
  <c r="X53" i="14" s="1"/>
  <c r="O54" i="14"/>
  <c r="V54" i="14" s="1"/>
  <c r="X54" i="14" s="1"/>
  <c r="O55" i="14"/>
  <c r="X55" i="14" s="1"/>
  <c r="O56" i="14"/>
  <c r="X56" i="14" s="1"/>
  <c r="O57" i="14"/>
  <c r="X57" i="14" s="1"/>
  <c r="O58" i="14"/>
  <c r="X58" i="14" s="1"/>
  <c r="O59" i="14"/>
  <c r="X59" i="14" s="1"/>
  <c r="O60" i="14"/>
  <c r="X60" i="14" s="1"/>
  <c r="O61" i="14"/>
  <c r="X61" i="14" s="1"/>
  <c r="O62" i="14"/>
  <c r="X62" i="14" s="1"/>
  <c r="O63" i="14"/>
  <c r="X63" i="14" s="1"/>
  <c r="O64" i="14"/>
  <c r="X64" i="14" s="1"/>
  <c r="O65" i="14"/>
  <c r="X65" i="14" s="1"/>
  <c r="O66" i="14"/>
  <c r="X66" i="14" s="1"/>
  <c r="O67" i="14"/>
  <c r="X67" i="14" s="1"/>
  <c r="O68" i="14"/>
  <c r="V68" i="14" s="1"/>
  <c r="X68" i="14" s="1"/>
  <c r="O69" i="14"/>
  <c r="X69" i="14" s="1"/>
  <c r="O70" i="14"/>
  <c r="X70" i="14" s="1"/>
  <c r="O71" i="14"/>
  <c r="V71" i="14" s="1"/>
  <c r="X71" i="14" s="1"/>
  <c r="O72" i="14"/>
  <c r="X72" i="14" s="1"/>
  <c r="O73" i="14"/>
  <c r="X73" i="14" s="1"/>
  <c r="O74" i="14"/>
  <c r="V74" i="14" s="1"/>
  <c r="X74" i="14" s="1"/>
  <c r="O75" i="14"/>
  <c r="X75" i="14" s="1"/>
  <c r="O76" i="14"/>
  <c r="X76" i="14" s="1"/>
  <c r="O77" i="14"/>
  <c r="X77" i="14" s="1"/>
  <c r="O78" i="14"/>
  <c r="X78" i="14" s="1"/>
  <c r="O79" i="14"/>
  <c r="X79" i="14" s="1"/>
  <c r="O80" i="14"/>
  <c r="X80" i="14" s="1"/>
  <c r="O81" i="14"/>
  <c r="X81" i="14" s="1"/>
  <c r="O82" i="14"/>
  <c r="X82" i="14" s="1"/>
  <c r="O83" i="14"/>
  <c r="X83" i="14" s="1"/>
  <c r="O84" i="14"/>
  <c r="X84" i="14" s="1"/>
  <c r="O85" i="14"/>
  <c r="X85" i="14" s="1"/>
  <c r="O86" i="14"/>
  <c r="X86" i="14" s="1"/>
  <c r="O87" i="14"/>
  <c r="X87" i="14" s="1"/>
  <c r="O88" i="14"/>
  <c r="X88" i="14" s="1"/>
  <c r="O89" i="14"/>
  <c r="X89" i="14" s="1"/>
  <c r="O90" i="14"/>
  <c r="X90" i="14" s="1"/>
  <c r="O91" i="14"/>
  <c r="X91" i="14" s="1"/>
  <c r="O92" i="14"/>
  <c r="X92" i="14" s="1"/>
  <c r="O93" i="14"/>
  <c r="X93" i="14" s="1"/>
  <c r="O94" i="14"/>
  <c r="X94" i="14" s="1"/>
  <c r="O95" i="14"/>
  <c r="X95" i="14" s="1"/>
  <c r="O96" i="14"/>
  <c r="X96" i="14" s="1"/>
  <c r="O97" i="14"/>
  <c r="X97" i="14" s="1"/>
  <c r="O98" i="14"/>
  <c r="X98" i="14" s="1"/>
  <c r="O99" i="14"/>
  <c r="X99" i="14" s="1"/>
  <c r="O100" i="14"/>
  <c r="X100" i="14" s="1"/>
  <c r="O101" i="14"/>
  <c r="X101" i="14" s="1"/>
  <c r="O102" i="14"/>
  <c r="X102" i="14" s="1"/>
  <c r="O103" i="14"/>
  <c r="X103" i="14" s="1"/>
  <c r="O104" i="14"/>
  <c r="X104" i="14" s="1"/>
  <c r="O105" i="14"/>
  <c r="V105" i="14" s="1"/>
  <c r="X105" i="14" s="1"/>
  <c r="O5" i="14"/>
  <c r="X5" i="14" s="1"/>
  <c r="I6" i="14"/>
  <c r="S6" i="14" s="1"/>
  <c r="I7" i="14"/>
  <c r="S7" i="14" s="1"/>
  <c r="I8" i="14"/>
  <c r="S8" i="14" s="1"/>
  <c r="I9" i="14"/>
  <c r="S9" i="14" s="1"/>
  <c r="I10" i="14"/>
  <c r="S10" i="14" s="1"/>
  <c r="I11" i="14"/>
  <c r="S11" i="14" s="1"/>
  <c r="I12" i="14"/>
  <c r="S12" i="14" s="1"/>
  <c r="I13" i="14"/>
  <c r="S13" i="14" s="1"/>
  <c r="I14" i="14"/>
  <c r="S14" i="14" s="1"/>
  <c r="I15" i="14"/>
  <c r="S15" i="14" s="1"/>
  <c r="I16" i="14"/>
  <c r="S16" i="14" s="1"/>
  <c r="I17" i="14"/>
  <c r="S17" i="14" s="1"/>
  <c r="I18" i="14"/>
  <c r="S18" i="14" s="1"/>
  <c r="I19" i="14"/>
  <c r="S19" i="14" s="1"/>
  <c r="I20" i="14"/>
  <c r="S20" i="14" s="1"/>
  <c r="I21" i="14"/>
  <c r="S21" i="14" s="1"/>
  <c r="I22" i="14"/>
  <c r="S22" i="14" s="1"/>
  <c r="I23" i="14"/>
  <c r="S23" i="14" s="1"/>
  <c r="I24" i="14"/>
  <c r="S24" i="14" s="1"/>
  <c r="I25" i="14"/>
  <c r="S25" i="14" s="1"/>
  <c r="I26" i="14"/>
  <c r="S26" i="14" s="1"/>
  <c r="I27" i="14"/>
  <c r="S27" i="14" s="1"/>
  <c r="I28" i="14"/>
  <c r="S28" i="14" s="1"/>
  <c r="I29" i="14"/>
  <c r="S29" i="14" s="1"/>
  <c r="I30" i="14"/>
  <c r="S30" i="14" s="1"/>
  <c r="I31" i="14"/>
  <c r="S31" i="14" s="1"/>
  <c r="I32" i="14"/>
  <c r="S32" i="14" s="1"/>
  <c r="I33" i="14"/>
  <c r="S33" i="14" s="1"/>
  <c r="I34" i="14"/>
  <c r="S34" i="14" s="1"/>
  <c r="I35" i="14"/>
  <c r="S35" i="14" s="1"/>
  <c r="I36" i="14"/>
  <c r="S36" i="14" s="1"/>
  <c r="I37" i="14"/>
  <c r="S37" i="14" s="1"/>
  <c r="I38" i="14"/>
  <c r="S38" i="14" s="1"/>
  <c r="I39" i="14"/>
  <c r="S39" i="14" s="1"/>
  <c r="I40" i="14"/>
  <c r="S40" i="14" s="1"/>
  <c r="I41" i="14"/>
  <c r="S41" i="14" s="1"/>
  <c r="I42" i="14"/>
  <c r="S42" i="14" s="1"/>
  <c r="I43" i="14"/>
  <c r="S43" i="14" s="1"/>
  <c r="I44" i="14"/>
  <c r="S44" i="14" s="1"/>
  <c r="I45" i="14"/>
  <c r="S45" i="14" s="1"/>
  <c r="I46" i="14"/>
  <c r="S46" i="14" s="1"/>
  <c r="I47" i="14"/>
  <c r="S47" i="14" s="1"/>
  <c r="I48" i="14"/>
  <c r="S48" i="14" s="1"/>
  <c r="I49" i="14"/>
  <c r="S49" i="14" s="1"/>
  <c r="I50" i="14"/>
  <c r="S50" i="14" s="1"/>
  <c r="I51" i="14"/>
  <c r="S51" i="14" s="1"/>
  <c r="I52" i="14"/>
  <c r="S52" i="14" s="1"/>
  <c r="I53" i="14"/>
  <c r="S53" i="14" s="1"/>
  <c r="I54" i="14"/>
  <c r="S54" i="14" s="1"/>
  <c r="I55" i="14"/>
  <c r="S55" i="14" s="1"/>
  <c r="I56" i="14"/>
  <c r="S56" i="14" s="1"/>
  <c r="I57" i="14"/>
  <c r="S57" i="14" s="1"/>
  <c r="I58" i="14"/>
  <c r="S58" i="14" s="1"/>
  <c r="I59" i="14"/>
  <c r="S59" i="14" s="1"/>
  <c r="I60" i="14"/>
  <c r="S60" i="14" s="1"/>
  <c r="I61" i="14"/>
  <c r="S61" i="14" s="1"/>
  <c r="I62" i="14"/>
  <c r="S62" i="14" s="1"/>
  <c r="I63" i="14"/>
  <c r="S63" i="14" s="1"/>
  <c r="I64" i="14"/>
  <c r="S64" i="14" s="1"/>
  <c r="I65" i="14"/>
  <c r="S65" i="14" s="1"/>
  <c r="I66" i="14"/>
  <c r="S66" i="14" s="1"/>
  <c r="I67" i="14"/>
  <c r="S67" i="14" s="1"/>
  <c r="I68" i="14"/>
  <c r="S68" i="14" s="1"/>
  <c r="I69" i="14"/>
  <c r="S69" i="14" s="1"/>
  <c r="I70" i="14"/>
  <c r="S70" i="14" s="1"/>
  <c r="I71" i="14"/>
  <c r="S71" i="14" s="1"/>
  <c r="I72" i="14"/>
  <c r="S72" i="14" s="1"/>
  <c r="I73" i="14"/>
  <c r="S73" i="14" s="1"/>
  <c r="I74" i="14"/>
  <c r="S74" i="14" s="1"/>
  <c r="I75" i="14"/>
  <c r="S75" i="14" s="1"/>
  <c r="I76" i="14"/>
  <c r="S76" i="14" s="1"/>
  <c r="I77" i="14"/>
  <c r="S77" i="14" s="1"/>
  <c r="I78" i="14"/>
  <c r="S78" i="14" s="1"/>
  <c r="I79" i="14"/>
  <c r="S79" i="14" s="1"/>
  <c r="I80" i="14"/>
  <c r="S80" i="14" s="1"/>
  <c r="I81" i="14"/>
  <c r="S81" i="14" s="1"/>
  <c r="I82" i="14"/>
  <c r="S82" i="14" s="1"/>
  <c r="I83" i="14"/>
  <c r="S83" i="14" s="1"/>
  <c r="I84" i="14"/>
  <c r="S84" i="14" s="1"/>
  <c r="I85" i="14"/>
  <c r="S85" i="14" s="1"/>
  <c r="I86" i="14"/>
  <c r="S86" i="14" s="1"/>
  <c r="I87" i="14"/>
  <c r="S87" i="14" s="1"/>
  <c r="I88" i="14"/>
  <c r="S88" i="14" s="1"/>
  <c r="I89" i="14"/>
  <c r="S89" i="14" s="1"/>
  <c r="I90" i="14"/>
  <c r="S90" i="14" s="1"/>
  <c r="I91" i="14"/>
  <c r="S91" i="14" s="1"/>
  <c r="I92" i="14"/>
  <c r="S92" i="14" s="1"/>
  <c r="I93" i="14"/>
  <c r="S93" i="14" s="1"/>
  <c r="I94" i="14"/>
  <c r="S94" i="14" s="1"/>
  <c r="I95" i="14"/>
  <c r="S95" i="14" s="1"/>
  <c r="I96" i="14"/>
  <c r="S96" i="14" s="1"/>
  <c r="I97" i="14"/>
  <c r="S97" i="14" s="1"/>
  <c r="I98" i="14"/>
  <c r="S98" i="14" s="1"/>
  <c r="I99" i="14"/>
  <c r="S99" i="14" s="1"/>
  <c r="I100" i="14"/>
  <c r="S100" i="14" s="1"/>
  <c r="I101" i="14"/>
  <c r="S101" i="14" s="1"/>
  <c r="I102" i="14"/>
  <c r="S102" i="14" s="1"/>
  <c r="I103" i="14"/>
  <c r="S103" i="14" s="1"/>
  <c r="I104" i="14"/>
  <c r="S104" i="14" s="1"/>
  <c r="I105" i="14"/>
  <c r="S105" i="14" s="1"/>
  <c r="I5" i="14"/>
  <c r="S5" i="14" s="1"/>
  <c r="H6" i="14"/>
  <c r="R6" i="14" s="1"/>
  <c r="H7" i="14"/>
  <c r="R7" i="14" s="1"/>
  <c r="H8" i="14"/>
  <c r="R8" i="14" s="1"/>
  <c r="H9" i="14"/>
  <c r="R9" i="14" s="1"/>
  <c r="H10" i="14"/>
  <c r="R10" i="14" s="1"/>
  <c r="H11" i="14"/>
  <c r="R11" i="14" s="1"/>
  <c r="H12" i="14"/>
  <c r="R12" i="14" s="1"/>
  <c r="H13" i="14"/>
  <c r="R13" i="14" s="1"/>
  <c r="H14" i="14"/>
  <c r="R14" i="14" s="1"/>
  <c r="H15" i="14"/>
  <c r="R15" i="14" s="1"/>
  <c r="H16" i="14"/>
  <c r="R16" i="14" s="1"/>
  <c r="H17" i="14"/>
  <c r="R17" i="14" s="1"/>
  <c r="H18" i="14"/>
  <c r="R18" i="14" s="1"/>
  <c r="H19" i="14"/>
  <c r="R19" i="14" s="1"/>
  <c r="H20" i="14"/>
  <c r="R20" i="14" s="1"/>
  <c r="H21" i="14"/>
  <c r="R21" i="14" s="1"/>
  <c r="H22" i="14"/>
  <c r="R22" i="14" s="1"/>
  <c r="H23" i="14"/>
  <c r="R23" i="14" s="1"/>
  <c r="H24" i="14"/>
  <c r="R24" i="14" s="1"/>
  <c r="H25" i="14"/>
  <c r="R25" i="14" s="1"/>
  <c r="H26" i="14"/>
  <c r="R26" i="14" s="1"/>
  <c r="H27" i="14"/>
  <c r="R27" i="14" s="1"/>
  <c r="H28" i="14"/>
  <c r="R28" i="14" s="1"/>
  <c r="H29" i="14"/>
  <c r="R29" i="14" s="1"/>
  <c r="H30" i="14"/>
  <c r="R30" i="14" s="1"/>
  <c r="H31" i="14"/>
  <c r="R31" i="14" s="1"/>
  <c r="H32" i="14"/>
  <c r="R32" i="14" s="1"/>
  <c r="H33" i="14"/>
  <c r="R33" i="14" s="1"/>
  <c r="H34" i="14"/>
  <c r="R34" i="14" s="1"/>
  <c r="H35" i="14"/>
  <c r="R35" i="14" s="1"/>
  <c r="H36" i="14"/>
  <c r="R36" i="14" s="1"/>
  <c r="H37" i="14"/>
  <c r="R37" i="14" s="1"/>
  <c r="H38" i="14"/>
  <c r="R38" i="14" s="1"/>
  <c r="H39" i="14"/>
  <c r="R39" i="14" s="1"/>
  <c r="H40" i="14"/>
  <c r="R40" i="14" s="1"/>
  <c r="H41" i="14"/>
  <c r="R41" i="14" s="1"/>
  <c r="H42" i="14"/>
  <c r="R42" i="14" s="1"/>
  <c r="H43" i="14"/>
  <c r="R43" i="14" s="1"/>
  <c r="H44" i="14"/>
  <c r="R44" i="14" s="1"/>
  <c r="H45" i="14"/>
  <c r="R45" i="14" s="1"/>
  <c r="H46" i="14"/>
  <c r="R46" i="14" s="1"/>
  <c r="H47" i="14"/>
  <c r="R47" i="14" s="1"/>
  <c r="H48" i="14"/>
  <c r="R48" i="14" s="1"/>
  <c r="H49" i="14"/>
  <c r="R49" i="14" s="1"/>
  <c r="H50" i="14"/>
  <c r="R50" i="14" s="1"/>
  <c r="H51" i="14"/>
  <c r="R51" i="14" s="1"/>
  <c r="H52" i="14"/>
  <c r="R52" i="14" s="1"/>
  <c r="H53" i="14"/>
  <c r="R53" i="14" s="1"/>
  <c r="H54" i="14"/>
  <c r="R54" i="14" s="1"/>
  <c r="H55" i="14"/>
  <c r="R55" i="14" s="1"/>
  <c r="H56" i="14"/>
  <c r="R56" i="14" s="1"/>
  <c r="H57" i="14"/>
  <c r="R57" i="14" s="1"/>
  <c r="H58" i="14"/>
  <c r="R58" i="14" s="1"/>
  <c r="H59" i="14"/>
  <c r="R59" i="14" s="1"/>
  <c r="H60" i="14"/>
  <c r="R60" i="14" s="1"/>
  <c r="H61" i="14"/>
  <c r="R61" i="14" s="1"/>
  <c r="H62" i="14"/>
  <c r="R62" i="14" s="1"/>
  <c r="H63" i="14"/>
  <c r="R63" i="14" s="1"/>
  <c r="H64" i="14"/>
  <c r="R64" i="14" s="1"/>
  <c r="H65" i="14"/>
  <c r="R65" i="14" s="1"/>
  <c r="H66" i="14"/>
  <c r="R66" i="14" s="1"/>
  <c r="H67" i="14"/>
  <c r="R67" i="14" s="1"/>
  <c r="H68" i="14"/>
  <c r="R68" i="14" s="1"/>
  <c r="H69" i="14"/>
  <c r="R69" i="14" s="1"/>
  <c r="H70" i="14"/>
  <c r="R70" i="14" s="1"/>
  <c r="H71" i="14"/>
  <c r="R71" i="14" s="1"/>
  <c r="H72" i="14"/>
  <c r="R72" i="14" s="1"/>
  <c r="H73" i="14"/>
  <c r="R73" i="14" s="1"/>
  <c r="H74" i="14"/>
  <c r="R74" i="14" s="1"/>
  <c r="H75" i="14"/>
  <c r="R75" i="14" s="1"/>
  <c r="H76" i="14"/>
  <c r="R76" i="14" s="1"/>
  <c r="H77" i="14"/>
  <c r="R77" i="14" s="1"/>
  <c r="H78" i="14"/>
  <c r="R78" i="14" s="1"/>
  <c r="H79" i="14"/>
  <c r="R79" i="14" s="1"/>
  <c r="H80" i="14"/>
  <c r="R80" i="14" s="1"/>
  <c r="H81" i="14"/>
  <c r="R81" i="14" s="1"/>
  <c r="H82" i="14"/>
  <c r="R82" i="14" s="1"/>
  <c r="H83" i="14"/>
  <c r="R83" i="14" s="1"/>
  <c r="H84" i="14"/>
  <c r="R84" i="14" s="1"/>
  <c r="H85" i="14"/>
  <c r="R85" i="14" s="1"/>
  <c r="H86" i="14"/>
  <c r="R86" i="14" s="1"/>
  <c r="H87" i="14"/>
  <c r="R87" i="14" s="1"/>
  <c r="H88" i="14"/>
  <c r="R88" i="14" s="1"/>
  <c r="H89" i="14"/>
  <c r="R89" i="14" s="1"/>
  <c r="H90" i="14"/>
  <c r="R90" i="14" s="1"/>
  <c r="H91" i="14"/>
  <c r="R91" i="14" s="1"/>
  <c r="H92" i="14"/>
  <c r="R92" i="14" s="1"/>
  <c r="H93" i="14"/>
  <c r="R93" i="14" s="1"/>
  <c r="H94" i="14"/>
  <c r="R94" i="14" s="1"/>
  <c r="H95" i="14"/>
  <c r="R95" i="14" s="1"/>
  <c r="H96" i="14"/>
  <c r="R96" i="14" s="1"/>
  <c r="H97" i="14"/>
  <c r="R97" i="14" s="1"/>
  <c r="H98" i="14"/>
  <c r="R98" i="14" s="1"/>
  <c r="H99" i="14"/>
  <c r="R99" i="14" s="1"/>
  <c r="H100" i="14"/>
  <c r="R100" i="14" s="1"/>
  <c r="H101" i="14"/>
  <c r="R101" i="14" s="1"/>
  <c r="H102" i="14"/>
  <c r="R102" i="14" s="1"/>
  <c r="H103" i="14"/>
  <c r="R103" i="14" s="1"/>
  <c r="H104" i="14"/>
  <c r="R104" i="14" s="1"/>
  <c r="H105" i="14"/>
  <c r="R105" i="14" s="1"/>
  <c r="H5" i="14"/>
  <c r="R5" i="14" s="1"/>
  <c r="Q40" i="14"/>
  <c r="G6" i="14"/>
  <c r="G7" i="14"/>
  <c r="P7" i="14" s="1"/>
  <c r="G8" i="14"/>
  <c r="P8" i="14" s="1"/>
  <c r="G9" i="14"/>
  <c r="P9" i="14" s="1"/>
  <c r="G10" i="14"/>
  <c r="P10" i="14" s="1"/>
  <c r="G11" i="14"/>
  <c r="P11" i="14" s="1"/>
  <c r="G12" i="14"/>
  <c r="P12" i="14" s="1"/>
  <c r="G13" i="14"/>
  <c r="P13" i="14" s="1"/>
  <c r="G14" i="14"/>
  <c r="G15" i="14"/>
  <c r="G16" i="14"/>
  <c r="P16" i="14" s="1"/>
  <c r="G17" i="14"/>
  <c r="P17" i="14" s="1"/>
  <c r="G18" i="14"/>
  <c r="P18" i="14" s="1"/>
  <c r="G19" i="14"/>
  <c r="P19" i="14" s="1"/>
  <c r="G20" i="14"/>
  <c r="P20" i="14" s="1"/>
  <c r="G21" i="14"/>
  <c r="P21" i="14" s="1"/>
  <c r="G22" i="14"/>
  <c r="G23" i="14"/>
  <c r="G24" i="14"/>
  <c r="P24" i="14" s="1"/>
  <c r="G25" i="14"/>
  <c r="P25" i="14" s="1"/>
  <c r="G26" i="14"/>
  <c r="P26" i="14" s="1"/>
  <c r="G27" i="14"/>
  <c r="P27" i="14" s="1"/>
  <c r="G28" i="14"/>
  <c r="P28" i="14" s="1"/>
  <c r="G29" i="14"/>
  <c r="P29" i="14" s="1"/>
  <c r="G30" i="14"/>
  <c r="G31" i="14"/>
  <c r="P31" i="14" s="1"/>
  <c r="G32" i="14"/>
  <c r="P32" i="14" s="1"/>
  <c r="G33" i="14"/>
  <c r="P33" i="14" s="1"/>
  <c r="G34" i="14"/>
  <c r="P34" i="14" s="1"/>
  <c r="G35" i="14"/>
  <c r="P35" i="14" s="1"/>
  <c r="G36" i="14"/>
  <c r="P36" i="14" s="1"/>
  <c r="G5" i="14"/>
  <c r="Q71" i="14"/>
  <c r="Q95" i="14"/>
  <c r="Y104" i="8"/>
  <c r="AL104" i="8" a="1"/>
  <c r="AL104" i="8" s="1"/>
  <c r="Y4" i="8"/>
  <c r="Y5" i="8"/>
  <c r="Y17" i="8"/>
  <c r="Y18" i="8"/>
  <c r="Y27" i="8"/>
  <c r="Y35" i="8"/>
  <c r="Y44" i="8"/>
  <c r="Y50" i="8"/>
  <c r="Y56" i="8"/>
  <c r="Y57" i="8"/>
  <c r="Y64" i="8"/>
  <c r="Y75" i="8"/>
  <c r="Y77" i="8"/>
  <c r="Y79" i="8"/>
  <c r="Y81" i="8"/>
  <c r="Y83" i="8"/>
  <c r="Y85" i="8"/>
  <c r="Y87" i="8"/>
  <c r="Y89" i="8"/>
  <c r="Y93" i="8"/>
  <c r="Y101" i="8"/>
  <c r="Y102" i="8"/>
  <c r="Y103" i="8"/>
  <c r="Y96" i="8"/>
  <c r="Y86" i="8"/>
  <c r="Y82" i="8"/>
  <c r="Y88" i="8"/>
  <c r="Y92" i="8"/>
  <c r="Y91" i="8"/>
  <c r="Y43" i="8"/>
  <c r="Y41" i="8"/>
  <c r="Y67" i="8"/>
  <c r="Y68" i="8"/>
  <c r="Y74" i="8"/>
  <c r="Y31" i="8"/>
  <c r="Y46" i="8"/>
  <c r="Y30" i="8"/>
  <c r="Y78" i="8"/>
  <c r="Y45" i="8"/>
  <c r="Y36" i="8"/>
  <c r="Y55" i="8"/>
  <c r="Y33" i="8"/>
  <c r="Y25" i="8"/>
  <c r="Y24" i="8"/>
  <c r="Y58" i="8"/>
  <c r="Y29" i="8"/>
  <c r="Y69" i="8"/>
  <c r="Y19" i="8"/>
  <c r="Y51" i="8"/>
  <c r="Y60" i="8"/>
  <c r="Y59" i="8"/>
  <c r="Y21" i="8"/>
  <c r="Y84" i="8"/>
  <c r="Y6" i="8"/>
  <c r="Y95" i="8"/>
  <c r="Y10" i="8"/>
  <c r="Y7" i="8"/>
  <c r="Y8" i="8"/>
  <c r="Y9" i="8"/>
  <c r="Y11" i="8"/>
  <c r="Y12" i="8"/>
  <c r="Y13" i="8"/>
  <c r="Y14" i="8"/>
  <c r="Y15" i="8"/>
  <c r="Y16" i="8"/>
  <c r="Y20" i="8"/>
  <c r="Y22" i="8"/>
  <c r="Y23" i="8"/>
  <c r="Y26" i="8"/>
  <c r="Y28" i="8"/>
  <c r="Y32" i="8"/>
  <c r="Y34" i="8"/>
  <c r="Y37" i="8"/>
  <c r="Y38" i="8"/>
  <c r="Y39" i="8"/>
  <c r="Y40" i="8"/>
  <c r="Y42" i="8"/>
  <c r="Y47" i="8"/>
  <c r="Y48" i="8"/>
  <c r="Y49" i="8"/>
  <c r="Y52" i="8"/>
  <c r="Y53" i="8"/>
  <c r="Y54" i="8"/>
  <c r="Y62" i="8"/>
  <c r="Y63" i="8"/>
  <c r="Y65" i="8"/>
  <c r="Y66" i="8"/>
  <c r="Y71" i="8"/>
  <c r="Y72" i="8"/>
  <c r="Y73" i="8"/>
  <c r="Y76" i="8"/>
  <c r="Y80" i="8"/>
  <c r="Y90" i="8"/>
  <c r="Y94" i="8"/>
  <c r="Y97" i="8"/>
  <c r="Y98" i="8"/>
  <c r="Y99" i="8"/>
  <c r="Y100" i="8"/>
  <c r="AL5" i="8" a="1"/>
  <c r="AL5" i="8" s="1"/>
  <c r="AL17" i="8" a="1"/>
  <c r="AL17" i="8" s="1"/>
  <c r="AL18" i="8" a="1"/>
  <c r="AL18" i="8" s="1"/>
  <c r="AL27" i="8" a="1"/>
  <c r="AL27" i="8" s="1"/>
  <c r="AL35" i="8" a="1"/>
  <c r="AL35" i="8" s="1"/>
  <c r="AL44" i="8" a="1"/>
  <c r="AL44" i="8" s="1"/>
  <c r="AL50" i="8" a="1"/>
  <c r="AL50" i="8" s="1"/>
  <c r="AL56" i="8" a="1"/>
  <c r="AL56" i="8" s="1"/>
  <c r="AL57" i="8" a="1"/>
  <c r="AL57" i="8" s="1"/>
  <c r="AL64" i="8" a="1"/>
  <c r="AL64" i="8" s="1"/>
  <c r="AL75" i="8" a="1"/>
  <c r="AL75" i="8" s="1"/>
  <c r="AL77" i="8" a="1"/>
  <c r="AL77" i="8" s="1"/>
  <c r="AL79" i="8" a="1"/>
  <c r="AL79" i="8" s="1"/>
  <c r="AL81" i="8" a="1"/>
  <c r="AL81" i="8" s="1"/>
  <c r="AL83" i="8" a="1"/>
  <c r="AL83" i="8" s="1"/>
  <c r="AL85" i="8" a="1"/>
  <c r="AL85" i="8" s="1"/>
  <c r="AL87" i="8" a="1"/>
  <c r="AL87" i="8" s="1"/>
  <c r="AL89" i="8" a="1"/>
  <c r="AL89" i="8" s="1"/>
  <c r="AL93" i="8" a="1"/>
  <c r="AL93" i="8" s="1"/>
  <c r="AL101" i="8" a="1"/>
  <c r="AL101" i="8" s="1"/>
  <c r="AL102" i="8" a="1"/>
  <c r="AL102" i="8" s="1"/>
  <c r="AL103" i="8" a="1"/>
  <c r="AL103" i="8" s="1"/>
  <c r="AL96" i="8" a="1"/>
  <c r="AL96" i="8" s="1"/>
  <c r="AL86" i="8" a="1"/>
  <c r="AL86" i="8" s="1"/>
  <c r="AL82" i="8" a="1"/>
  <c r="AL82" i="8" s="1"/>
  <c r="AL88" i="8" a="1"/>
  <c r="AL88" i="8" s="1"/>
  <c r="AL92" i="8" a="1"/>
  <c r="AL92" i="8" s="1"/>
  <c r="AL91" i="8" a="1"/>
  <c r="AL91" i="8" s="1"/>
  <c r="AL43" i="8" a="1"/>
  <c r="AL43" i="8" s="1"/>
  <c r="AL41" i="8" a="1"/>
  <c r="AL41" i="8" s="1"/>
  <c r="AL67" i="8" a="1"/>
  <c r="AL67" i="8" s="1"/>
  <c r="AL68" i="8" a="1"/>
  <c r="AL68" i="8" s="1"/>
  <c r="AL74" i="8" a="1"/>
  <c r="AL74" i="8" s="1"/>
  <c r="AL70" i="8" a="1"/>
  <c r="AL70" i="8" s="1"/>
  <c r="AL31" i="8" a="1"/>
  <c r="AL31" i="8" s="1"/>
  <c r="AL46" i="8" a="1"/>
  <c r="AL46" i="8" s="1"/>
  <c r="AL30" i="8" a="1"/>
  <c r="AL30" i="8" s="1"/>
  <c r="AL78" i="8" a="1"/>
  <c r="AL78" i="8" s="1"/>
  <c r="AL45" i="8" a="1"/>
  <c r="AL45" i="8" s="1"/>
  <c r="AL36" i="8" a="1"/>
  <c r="AL36" i="8" s="1"/>
  <c r="AL55" i="8" a="1"/>
  <c r="AL55" i="8" s="1"/>
  <c r="AL33" i="8" a="1"/>
  <c r="AL33" i="8" s="1"/>
  <c r="AL25" i="8" a="1"/>
  <c r="AL25" i="8" s="1"/>
  <c r="AL24" i="8" a="1"/>
  <c r="AL24" i="8" s="1"/>
  <c r="AL4" i="8" a="1"/>
  <c r="AL4" i="8" s="1"/>
  <c r="AL58" i="8" a="1"/>
  <c r="AL58" i="8" s="1"/>
  <c r="AL29" i="8" a="1"/>
  <c r="AL29" i="8" s="1"/>
  <c r="AL69" i="8" a="1"/>
  <c r="AL69" i="8" s="1"/>
  <c r="AL19" i="8" a="1"/>
  <c r="AL19" i="8" s="1"/>
  <c r="AL51" i="8" a="1"/>
  <c r="AL51" i="8" s="1"/>
  <c r="AL60" i="8" a="1"/>
  <c r="AL60" i="8" s="1"/>
  <c r="AL59" i="8" a="1"/>
  <c r="AL59" i="8" s="1"/>
  <c r="AL21" i="8" a="1"/>
  <c r="AL21" i="8" s="1"/>
  <c r="AL84" i="8" a="1"/>
  <c r="AL84" i="8" s="1"/>
  <c r="AL6" i="8" a="1"/>
  <c r="AL6" i="8" s="1"/>
  <c r="AL95" i="8" a="1"/>
  <c r="AL95" i="8" s="1"/>
  <c r="AL10" i="8" a="1"/>
  <c r="AL10" i="8" s="1"/>
  <c r="AL7" i="8" a="1"/>
  <c r="AL7" i="8" s="1"/>
  <c r="AL8" i="8" a="1"/>
  <c r="AL8" i="8" s="1"/>
  <c r="AL9" i="8" a="1"/>
  <c r="AL9" i="8" s="1"/>
  <c r="AL11" i="8" a="1"/>
  <c r="AL11" i="8" s="1"/>
  <c r="AL12" i="8" a="1"/>
  <c r="AL12" i="8" s="1"/>
  <c r="AL13" i="8" a="1"/>
  <c r="AL13" i="8" s="1"/>
  <c r="AL14" i="8" a="1"/>
  <c r="AL14" i="8" s="1"/>
  <c r="AL15" i="8" a="1"/>
  <c r="AL15" i="8" s="1"/>
  <c r="AL16" i="8" a="1"/>
  <c r="AL16" i="8" s="1"/>
  <c r="AL20" i="8" a="1"/>
  <c r="AL20" i="8" s="1"/>
  <c r="AL22" i="8" a="1"/>
  <c r="AL22" i="8" s="1"/>
  <c r="AL23" i="8" a="1"/>
  <c r="AL23" i="8" s="1"/>
  <c r="AL26" i="8" a="1"/>
  <c r="AL26" i="8" s="1"/>
  <c r="AL28" i="8" a="1"/>
  <c r="AL28" i="8" s="1"/>
  <c r="AL32" i="8" a="1"/>
  <c r="AL32" i="8" s="1"/>
  <c r="AL34" i="8" a="1"/>
  <c r="AL34" i="8" s="1"/>
  <c r="AL37" i="8" a="1"/>
  <c r="AL37" i="8" s="1"/>
  <c r="AL38" i="8" a="1"/>
  <c r="AL38" i="8" s="1"/>
  <c r="AL39" i="8" a="1"/>
  <c r="AL39" i="8" s="1"/>
  <c r="AL40" i="8" a="1"/>
  <c r="AL40" i="8" s="1"/>
  <c r="AL42" i="8" a="1"/>
  <c r="AL42" i="8" s="1"/>
  <c r="AL47" i="8" a="1"/>
  <c r="AL47" i="8" s="1"/>
  <c r="AL48" i="8" a="1"/>
  <c r="AL48" i="8" s="1"/>
  <c r="AL49" i="8" a="1"/>
  <c r="AL49" i="8" s="1"/>
  <c r="AL52" i="8" a="1"/>
  <c r="AL52" i="8" s="1"/>
  <c r="AL53" i="8" a="1"/>
  <c r="AL53" i="8" s="1"/>
  <c r="AL54" i="8" a="1"/>
  <c r="AL54" i="8" s="1"/>
  <c r="AL61" i="8" a="1"/>
  <c r="AL61" i="8" s="1"/>
  <c r="AL62" i="8" a="1"/>
  <c r="AL62" i="8" s="1"/>
  <c r="AL63" i="8" a="1"/>
  <c r="AL63" i="8" s="1"/>
  <c r="AL65" i="8" a="1"/>
  <c r="AL65" i="8" s="1"/>
  <c r="AL66" i="8" a="1"/>
  <c r="AL66" i="8" s="1"/>
  <c r="AL71" i="8" a="1"/>
  <c r="AL71" i="8" s="1"/>
  <c r="AL72" i="8" a="1"/>
  <c r="AL72" i="8" s="1"/>
  <c r="AL73" i="8" a="1"/>
  <c r="AL73" i="8" s="1"/>
  <c r="AL76" i="8" a="1"/>
  <c r="AL76" i="8" s="1"/>
  <c r="AL80" i="8" a="1"/>
  <c r="AL80" i="8" s="1"/>
  <c r="AL90" i="8" a="1"/>
  <c r="AL90" i="8" s="1"/>
  <c r="AL94" i="8" a="1"/>
  <c r="AL94" i="8" s="1"/>
  <c r="AL97" i="8" a="1"/>
  <c r="AL97" i="8" s="1"/>
  <c r="AL98" i="8" a="1"/>
  <c r="AL98" i="8" s="1"/>
  <c r="AL99" i="8" a="1"/>
  <c r="AL99" i="8" s="1"/>
  <c r="AL100" i="8" a="1"/>
  <c r="AL100" i="8" s="1"/>
  <c r="D8" i="9"/>
  <c r="E8" i="9"/>
  <c r="D9" i="9"/>
  <c r="E9" i="9"/>
  <c r="D10" i="9"/>
  <c r="E10" i="9"/>
  <c r="D11" i="9"/>
  <c r="E11" i="9"/>
  <c r="D12" i="9"/>
  <c r="E12" i="9"/>
  <c r="D13" i="9"/>
  <c r="E13" i="9"/>
  <c r="D14" i="9"/>
  <c r="E14" i="9"/>
  <c r="D15" i="9"/>
  <c r="E15" i="9"/>
  <c r="D16" i="9"/>
  <c r="E16" i="9"/>
  <c r="D17" i="9"/>
  <c r="E17" i="9"/>
  <c r="D18" i="9"/>
  <c r="E18" i="9"/>
  <c r="D19" i="9"/>
  <c r="E19" i="9"/>
  <c r="D20" i="9"/>
  <c r="E20" i="9"/>
  <c r="D21" i="9"/>
  <c r="E21" i="9"/>
  <c r="D22" i="9"/>
  <c r="E22" i="9"/>
  <c r="D23" i="9"/>
  <c r="E23" i="9"/>
  <c r="D24" i="9"/>
  <c r="E24" i="9"/>
  <c r="D25" i="9"/>
  <c r="E25" i="9"/>
  <c r="D26" i="9"/>
  <c r="E26" i="9"/>
  <c r="D27" i="9"/>
  <c r="E27" i="9"/>
  <c r="D28" i="9"/>
  <c r="E28" i="9"/>
  <c r="D29" i="9"/>
  <c r="E29" i="9"/>
  <c r="D30" i="9"/>
  <c r="E30" i="9"/>
  <c r="D31" i="9"/>
  <c r="E31" i="9"/>
  <c r="D4" i="9"/>
  <c r="E4" i="9"/>
  <c r="D5" i="9"/>
  <c r="E5" i="9"/>
  <c r="D6" i="9"/>
  <c r="E6" i="9"/>
  <c r="D7" i="9"/>
  <c r="E7" i="9"/>
  <c r="E3" i="9"/>
  <c r="D3" i="9"/>
  <c r="C3" i="9"/>
  <c r="C4" i="9"/>
  <c r="C5" i="9"/>
  <c r="C6" i="9"/>
  <c r="C7" i="9"/>
  <c r="C8" i="9"/>
  <c r="C9" i="9"/>
  <c r="C10" i="9"/>
  <c r="C11" i="9"/>
  <c r="C12" i="9"/>
  <c r="C13" i="9"/>
  <c r="C14" i="9"/>
  <c r="C15" i="9"/>
  <c r="C16" i="9"/>
  <c r="C17" i="9"/>
  <c r="C18" i="9"/>
  <c r="C19" i="9"/>
  <c r="C20" i="9"/>
  <c r="C21" i="9"/>
  <c r="C22" i="9"/>
  <c r="C23" i="9"/>
  <c r="C24" i="9"/>
  <c r="C25" i="9"/>
  <c r="C26" i="9"/>
  <c r="C27" i="9"/>
  <c r="C28" i="9"/>
  <c r="C29" i="9"/>
  <c r="C30" i="9"/>
  <c r="C31" i="9"/>
  <c r="B4" i="9"/>
  <c r="B5" i="9"/>
  <c r="B6" i="9"/>
  <c r="B7" i="9"/>
  <c r="B8" i="9"/>
  <c r="B9" i="9"/>
  <c r="B10" i="9"/>
  <c r="B11" i="9"/>
  <c r="B12" i="9"/>
  <c r="B13" i="9"/>
  <c r="B14" i="9"/>
  <c r="B15" i="9"/>
  <c r="B16" i="9"/>
  <c r="B17" i="9"/>
  <c r="B18" i="9"/>
  <c r="B19" i="9"/>
  <c r="B20" i="9"/>
  <c r="B21" i="9"/>
  <c r="B22" i="9"/>
  <c r="B23" i="9"/>
  <c r="B24" i="9"/>
  <c r="B25" i="9"/>
  <c r="B26" i="9"/>
  <c r="B27" i="9"/>
  <c r="B28" i="9"/>
  <c r="B29" i="9"/>
  <c r="B30" i="9"/>
  <c r="B31" i="9"/>
  <c r="B3" i="9"/>
  <c r="BB21" i="8"/>
  <c r="AV21" i="8"/>
  <c r="BB59" i="8"/>
  <c r="AX69" i="8"/>
  <c r="BC69" i="8" s="1"/>
  <c r="AX9" i="8"/>
  <c r="BC9" i="8" s="1"/>
  <c r="AX11" i="8"/>
  <c r="BC11" i="8" s="1"/>
  <c r="AX29" i="8"/>
  <c r="BC29" i="8" s="1"/>
  <c r="AX45" i="8"/>
  <c r="BC45" i="8" s="1"/>
  <c r="AX31" i="8"/>
  <c r="BB31" i="8"/>
  <c r="AX47" i="8"/>
  <c r="BC47" i="8" s="1"/>
  <c r="AX51" i="8"/>
  <c r="BC51" i="8" s="1"/>
  <c r="AX37" i="8"/>
  <c r="BA37" i="8"/>
  <c r="AU19" i="8"/>
  <c r="BB10" i="8"/>
  <c r="AU46" i="8"/>
  <c r="AX30" i="8"/>
  <c r="AU4" i="8"/>
  <c r="BC4" i="8"/>
  <c r="AY68" i="8"/>
  <c r="BC68" i="8" s="1"/>
  <c r="BB24" i="8"/>
  <c r="AY60" i="8"/>
  <c r="BB60" i="8" s="1"/>
  <c r="M496" i="3"/>
  <c r="L496" i="3"/>
  <c r="J496" i="3"/>
  <c r="I496" i="3"/>
  <c r="M495" i="3"/>
  <c r="L495" i="3"/>
  <c r="J495" i="3"/>
  <c r="I495" i="3"/>
  <c r="M494" i="3"/>
  <c r="L494" i="3"/>
  <c r="J494" i="3"/>
  <c r="I494" i="3"/>
  <c r="C494" i="3"/>
  <c r="M493" i="3"/>
  <c r="L493" i="3"/>
  <c r="J493" i="3"/>
  <c r="I493" i="3"/>
  <c r="M492" i="3"/>
  <c r="L492" i="3"/>
  <c r="J492" i="3"/>
  <c r="I492" i="3"/>
  <c r="M491" i="3"/>
  <c r="L491" i="3"/>
  <c r="J491" i="3"/>
  <c r="I491" i="3"/>
  <c r="C491" i="3"/>
  <c r="M490" i="3"/>
  <c r="L490" i="3"/>
  <c r="K490" i="3"/>
  <c r="J490" i="3"/>
  <c r="I490" i="3"/>
  <c r="H490" i="3"/>
  <c r="M489" i="3"/>
  <c r="L489" i="3"/>
  <c r="K489" i="3"/>
  <c r="J489" i="3"/>
  <c r="I489" i="3"/>
  <c r="H489" i="3"/>
  <c r="M488" i="3"/>
  <c r="L488" i="3"/>
  <c r="K488" i="3"/>
  <c r="J488" i="3"/>
  <c r="I488" i="3"/>
  <c r="H488" i="3"/>
  <c r="C488" i="3"/>
  <c r="M487" i="3"/>
  <c r="L487" i="3"/>
  <c r="J487" i="3"/>
  <c r="I487" i="3"/>
  <c r="M486" i="3"/>
  <c r="L486" i="3"/>
  <c r="J486" i="3"/>
  <c r="I486" i="3"/>
  <c r="M485" i="3"/>
  <c r="L485" i="3"/>
  <c r="J485" i="3"/>
  <c r="I485" i="3"/>
  <c r="C485" i="3"/>
  <c r="M484" i="3"/>
  <c r="L484" i="3"/>
  <c r="J484" i="3"/>
  <c r="I484" i="3"/>
  <c r="M483" i="3"/>
  <c r="L483" i="3"/>
  <c r="J483" i="3"/>
  <c r="I483" i="3"/>
  <c r="M482" i="3"/>
  <c r="L482" i="3"/>
  <c r="J482" i="3"/>
  <c r="I482" i="3"/>
  <c r="C482" i="3"/>
  <c r="M481" i="3"/>
  <c r="L481" i="3"/>
  <c r="J481" i="3"/>
  <c r="M480" i="3"/>
  <c r="L480" i="3"/>
  <c r="J480" i="3"/>
  <c r="M479" i="3"/>
  <c r="L479" i="3"/>
  <c r="J479" i="3"/>
  <c r="C479" i="3"/>
  <c r="M478" i="3"/>
  <c r="L478" i="3"/>
  <c r="J478" i="3"/>
  <c r="I478" i="3"/>
  <c r="M477" i="3"/>
  <c r="L477" i="3"/>
  <c r="J477" i="3"/>
  <c r="I477" i="3"/>
  <c r="M476" i="3"/>
  <c r="L476" i="3"/>
  <c r="J476" i="3"/>
  <c r="I476" i="3"/>
  <c r="C476" i="3"/>
  <c r="M475" i="3"/>
  <c r="L475" i="3"/>
  <c r="K475" i="3"/>
  <c r="J475" i="3"/>
  <c r="I475" i="3"/>
  <c r="H475" i="3"/>
  <c r="M474" i="3"/>
  <c r="L474" i="3"/>
  <c r="K474" i="3"/>
  <c r="J474" i="3"/>
  <c r="I474" i="3"/>
  <c r="H474" i="3"/>
  <c r="M473" i="3"/>
  <c r="L473" i="3"/>
  <c r="K473" i="3"/>
  <c r="J473" i="3"/>
  <c r="I473" i="3"/>
  <c r="H473" i="3"/>
  <c r="C473" i="3"/>
  <c r="M472" i="3"/>
  <c r="L472" i="3"/>
  <c r="K472" i="3"/>
  <c r="J472" i="3"/>
  <c r="I472" i="3"/>
  <c r="H472" i="3"/>
  <c r="M471" i="3"/>
  <c r="L471" i="3"/>
  <c r="K471" i="3"/>
  <c r="J471" i="3"/>
  <c r="I471" i="3"/>
  <c r="H471" i="3"/>
  <c r="M470" i="3"/>
  <c r="L470" i="3"/>
  <c r="K470" i="3"/>
  <c r="J470" i="3"/>
  <c r="I470" i="3"/>
  <c r="H470" i="3"/>
  <c r="C470" i="3"/>
  <c r="B470" i="3"/>
  <c r="M468" i="3"/>
  <c r="L468" i="3"/>
  <c r="K468" i="3"/>
  <c r="J468" i="3"/>
  <c r="I468" i="3"/>
  <c r="H468" i="3"/>
  <c r="M467" i="3"/>
  <c r="L467" i="3"/>
  <c r="K467" i="3"/>
  <c r="J467" i="3"/>
  <c r="I467" i="3"/>
  <c r="H467" i="3"/>
  <c r="M466" i="3"/>
  <c r="L466" i="3"/>
  <c r="K466" i="3"/>
  <c r="J466" i="3"/>
  <c r="I466" i="3"/>
  <c r="H466" i="3"/>
  <c r="C466" i="3"/>
  <c r="M465" i="3"/>
  <c r="L465" i="3"/>
  <c r="K465" i="3"/>
  <c r="J465" i="3"/>
  <c r="I465" i="3"/>
  <c r="H465" i="3"/>
  <c r="M464" i="3"/>
  <c r="L464" i="3"/>
  <c r="K464" i="3"/>
  <c r="J464" i="3"/>
  <c r="I464" i="3"/>
  <c r="H464" i="3"/>
  <c r="M463" i="3"/>
  <c r="L463" i="3"/>
  <c r="K463" i="3"/>
  <c r="J463" i="3"/>
  <c r="I463" i="3"/>
  <c r="H463" i="3"/>
  <c r="C463" i="3"/>
  <c r="M462" i="3"/>
  <c r="L462" i="3"/>
  <c r="K462" i="3"/>
  <c r="J462" i="3"/>
  <c r="I462" i="3"/>
  <c r="H462" i="3"/>
  <c r="M461" i="3"/>
  <c r="L461" i="3"/>
  <c r="K461" i="3"/>
  <c r="J461" i="3"/>
  <c r="I461" i="3"/>
  <c r="H461" i="3"/>
  <c r="M460" i="3"/>
  <c r="L460" i="3"/>
  <c r="K460" i="3"/>
  <c r="J460" i="3"/>
  <c r="I460" i="3"/>
  <c r="H460" i="3"/>
  <c r="C460" i="3"/>
  <c r="M459" i="3"/>
  <c r="L459" i="3"/>
  <c r="K459" i="3"/>
  <c r="J459" i="3"/>
  <c r="I459" i="3"/>
  <c r="H459" i="3"/>
  <c r="M458" i="3"/>
  <c r="L458" i="3"/>
  <c r="K458" i="3"/>
  <c r="J458" i="3"/>
  <c r="I458" i="3"/>
  <c r="H458" i="3"/>
  <c r="M457" i="3"/>
  <c r="L457" i="3"/>
  <c r="K457" i="3"/>
  <c r="J457" i="3"/>
  <c r="I457" i="3"/>
  <c r="H457" i="3"/>
  <c r="C457" i="3"/>
  <c r="M456" i="3"/>
  <c r="L456" i="3"/>
  <c r="K456" i="3"/>
  <c r="J456" i="3"/>
  <c r="I456" i="3"/>
  <c r="H456" i="3"/>
  <c r="M455" i="3"/>
  <c r="L455" i="3"/>
  <c r="K455" i="3"/>
  <c r="J455" i="3"/>
  <c r="I455" i="3"/>
  <c r="H455" i="3"/>
  <c r="M454" i="3"/>
  <c r="L454" i="3"/>
  <c r="K454" i="3"/>
  <c r="J454" i="3"/>
  <c r="I454" i="3"/>
  <c r="H454" i="3"/>
  <c r="C454" i="3"/>
  <c r="B454" i="3"/>
  <c r="M452" i="3"/>
  <c r="L452" i="3"/>
  <c r="K452" i="3"/>
  <c r="J452" i="3"/>
  <c r="I452" i="3"/>
  <c r="M451" i="3"/>
  <c r="L451" i="3"/>
  <c r="K451" i="3"/>
  <c r="J451" i="3"/>
  <c r="I451" i="3"/>
  <c r="M450" i="3"/>
  <c r="L450" i="3"/>
  <c r="K450" i="3"/>
  <c r="J450" i="3"/>
  <c r="I450" i="3"/>
  <c r="C450" i="3"/>
  <c r="M449" i="3"/>
  <c r="L449" i="3"/>
  <c r="K449" i="3"/>
  <c r="J449" i="3"/>
  <c r="I449" i="3"/>
  <c r="H449" i="3"/>
  <c r="M448" i="3"/>
  <c r="L448" i="3"/>
  <c r="K448" i="3"/>
  <c r="J448" i="3"/>
  <c r="I448" i="3"/>
  <c r="H448" i="3"/>
  <c r="M447" i="3"/>
  <c r="L447" i="3"/>
  <c r="K447" i="3"/>
  <c r="J447" i="3"/>
  <c r="I447" i="3"/>
  <c r="H447" i="3"/>
  <c r="C447" i="3"/>
  <c r="M446" i="3"/>
  <c r="L446" i="3"/>
  <c r="K446" i="3"/>
  <c r="J446" i="3"/>
  <c r="I446" i="3"/>
  <c r="H446" i="3"/>
  <c r="M445" i="3"/>
  <c r="L445" i="3"/>
  <c r="K445" i="3"/>
  <c r="J445" i="3"/>
  <c r="I445" i="3"/>
  <c r="H445" i="3"/>
  <c r="M444" i="3"/>
  <c r="L444" i="3"/>
  <c r="K444" i="3"/>
  <c r="J444" i="3"/>
  <c r="I444" i="3"/>
  <c r="H444" i="3"/>
  <c r="C444" i="3"/>
  <c r="M443" i="3"/>
  <c r="L443" i="3"/>
  <c r="K443" i="3"/>
  <c r="J443" i="3"/>
  <c r="I443" i="3"/>
  <c r="H443" i="3"/>
  <c r="M442" i="3"/>
  <c r="L442" i="3"/>
  <c r="K442" i="3"/>
  <c r="J442" i="3"/>
  <c r="I442" i="3"/>
  <c r="H442" i="3"/>
  <c r="M441" i="3"/>
  <c r="L441" i="3"/>
  <c r="K441" i="3"/>
  <c r="J441" i="3"/>
  <c r="I441" i="3"/>
  <c r="H441" i="3"/>
  <c r="C441" i="3"/>
  <c r="M440" i="3"/>
  <c r="L440" i="3"/>
  <c r="K440" i="3"/>
  <c r="J440" i="3"/>
  <c r="I440" i="3"/>
  <c r="H440" i="3"/>
  <c r="M439" i="3"/>
  <c r="L439" i="3"/>
  <c r="K439" i="3"/>
  <c r="J439" i="3"/>
  <c r="I439" i="3"/>
  <c r="H439" i="3"/>
  <c r="M438" i="3"/>
  <c r="L438" i="3"/>
  <c r="K438" i="3"/>
  <c r="J438" i="3"/>
  <c r="I438" i="3"/>
  <c r="H438" i="3"/>
  <c r="C438" i="3"/>
  <c r="B438" i="3"/>
  <c r="H436" i="3"/>
  <c r="G436" i="3"/>
  <c r="J436" i="3" s="1"/>
  <c r="F436" i="3"/>
  <c r="I436" i="3" s="1"/>
  <c r="E436" i="3"/>
  <c r="J435" i="3"/>
  <c r="G435" i="3"/>
  <c r="F435" i="3"/>
  <c r="I435" i="3" s="1"/>
  <c r="E435" i="3"/>
  <c r="H435" i="3" s="1"/>
  <c r="I434" i="3"/>
  <c r="H434" i="3"/>
  <c r="G434" i="3"/>
  <c r="F434" i="3"/>
  <c r="E434" i="3"/>
  <c r="C434" i="3"/>
  <c r="G433" i="3"/>
  <c r="J433" i="3" s="1"/>
  <c r="R432" i="3"/>
  <c r="F433" i="3" s="1"/>
  <c r="I433" i="3" s="1"/>
  <c r="J432" i="3"/>
  <c r="G432" i="3"/>
  <c r="F432" i="3"/>
  <c r="I432" i="3" s="1"/>
  <c r="H431" i="3"/>
  <c r="F431" i="3"/>
  <c r="I431" i="3" s="1"/>
  <c r="E431" i="3"/>
  <c r="C431" i="3"/>
  <c r="G430" i="3"/>
  <c r="J430" i="3" s="1"/>
  <c r="R429" i="3"/>
  <c r="G428" i="3" s="1"/>
  <c r="J428" i="3" s="1"/>
  <c r="F429" i="3"/>
  <c r="I429" i="3" s="1"/>
  <c r="C428" i="3"/>
  <c r="H427" i="3"/>
  <c r="G427" i="3"/>
  <c r="J427" i="3" s="1"/>
  <c r="F427" i="3"/>
  <c r="E427" i="3"/>
  <c r="I426" i="3"/>
  <c r="G426" i="3"/>
  <c r="J426" i="3" s="1"/>
  <c r="F426" i="3"/>
  <c r="E426" i="3"/>
  <c r="H426" i="3" s="1"/>
  <c r="G425" i="3"/>
  <c r="J425" i="3" s="1"/>
  <c r="F425" i="3"/>
  <c r="I425" i="3" s="1"/>
  <c r="E425" i="3"/>
  <c r="H425" i="3" s="1"/>
  <c r="C425" i="3"/>
  <c r="J424" i="3"/>
  <c r="G424" i="3"/>
  <c r="F424" i="3"/>
  <c r="I424" i="3" s="1"/>
  <c r="E424" i="3"/>
  <c r="H424" i="3" s="1"/>
  <c r="T423" i="3"/>
  <c r="J434" i="3" s="1"/>
  <c r="J423" i="3"/>
  <c r="I423" i="3"/>
  <c r="G423" i="3"/>
  <c r="F423" i="3"/>
  <c r="E423" i="3"/>
  <c r="H423" i="3" s="1"/>
  <c r="I422" i="3"/>
  <c r="H422" i="3"/>
  <c r="G422" i="3"/>
  <c r="J422" i="3" s="1"/>
  <c r="F422" i="3"/>
  <c r="E422" i="3"/>
  <c r="C422" i="3"/>
  <c r="B422" i="3"/>
  <c r="G420" i="3"/>
  <c r="F420" i="3"/>
  <c r="E420" i="3"/>
  <c r="G419" i="3"/>
  <c r="F419" i="3"/>
  <c r="E419" i="3"/>
  <c r="G418" i="3"/>
  <c r="F418" i="3"/>
  <c r="E418" i="3"/>
  <c r="C418" i="3"/>
  <c r="G417" i="3"/>
  <c r="F417" i="3"/>
  <c r="E417" i="3"/>
  <c r="G416" i="3"/>
  <c r="F416" i="3"/>
  <c r="E416" i="3"/>
  <c r="G415" i="3"/>
  <c r="F415" i="3"/>
  <c r="E415" i="3"/>
  <c r="C415" i="3"/>
  <c r="G414" i="3"/>
  <c r="F414" i="3"/>
  <c r="E414" i="3"/>
  <c r="G413" i="3"/>
  <c r="F413" i="3"/>
  <c r="E413" i="3"/>
  <c r="G412" i="3"/>
  <c r="F412" i="3"/>
  <c r="E412" i="3"/>
  <c r="C412" i="3"/>
  <c r="G411" i="3"/>
  <c r="F411" i="3"/>
  <c r="E411" i="3"/>
  <c r="G410" i="3"/>
  <c r="F410" i="3"/>
  <c r="E410" i="3"/>
  <c r="G409" i="3"/>
  <c r="F409" i="3"/>
  <c r="E409" i="3"/>
  <c r="C409" i="3"/>
  <c r="G408" i="3"/>
  <c r="F408" i="3"/>
  <c r="E408" i="3"/>
  <c r="G407" i="3"/>
  <c r="F407" i="3"/>
  <c r="E407" i="3"/>
  <c r="G406" i="3"/>
  <c r="F406" i="3"/>
  <c r="E406" i="3"/>
  <c r="C406" i="3"/>
  <c r="B406" i="3"/>
  <c r="J404" i="3"/>
  <c r="H404" i="3"/>
  <c r="G404" i="3"/>
  <c r="F404" i="3"/>
  <c r="I404" i="3" s="1"/>
  <c r="E404" i="3"/>
  <c r="J403" i="3"/>
  <c r="I403" i="3"/>
  <c r="H403" i="3"/>
  <c r="G403" i="3"/>
  <c r="F403" i="3"/>
  <c r="E403" i="3"/>
  <c r="J402" i="3"/>
  <c r="H402" i="3"/>
  <c r="G402" i="3"/>
  <c r="F402" i="3"/>
  <c r="I402" i="3" s="1"/>
  <c r="E402" i="3"/>
  <c r="C402" i="3"/>
  <c r="I401" i="3"/>
  <c r="G401" i="3"/>
  <c r="J401" i="3" s="1"/>
  <c r="F401" i="3"/>
  <c r="E401" i="3"/>
  <c r="H401" i="3" s="1"/>
  <c r="R400" i="3"/>
  <c r="H400" i="3"/>
  <c r="G400" i="3"/>
  <c r="J400" i="3" s="1"/>
  <c r="F400" i="3"/>
  <c r="I400" i="3" s="1"/>
  <c r="E400" i="3"/>
  <c r="J399" i="3"/>
  <c r="G399" i="3"/>
  <c r="F399" i="3"/>
  <c r="I399" i="3" s="1"/>
  <c r="E399" i="3"/>
  <c r="H399" i="3" s="1"/>
  <c r="C399" i="3"/>
  <c r="I398" i="3"/>
  <c r="F398" i="3"/>
  <c r="E398" i="3"/>
  <c r="H398" i="3" s="1"/>
  <c r="R397" i="3"/>
  <c r="G398" i="3" s="1"/>
  <c r="J398" i="3" s="1"/>
  <c r="J397" i="3"/>
  <c r="I397" i="3"/>
  <c r="H397" i="3"/>
  <c r="G397" i="3"/>
  <c r="F397" i="3"/>
  <c r="E397" i="3"/>
  <c r="J396" i="3"/>
  <c r="H396" i="3"/>
  <c r="G396" i="3"/>
  <c r="F396" i="3"/>
  <c r="I396" i="3" s="1"/>
  <c r="E396" i="3"/>
  <c r="C396" i="3"/>
  <c r="F395" i="3"/>
  <c r="R394" i="3"/>
  <c r="E394" i="3" s="1"/>
  <c r="G394" i="3"/>
  <c r="F394" i="3"/>
  <c r="E393" i="3"/>
  <c r="C393" i="3"/>
  <c r="R391" i="3"/>
  <c r="G392" i="3" s="1"/>
  <c r="J392" i="3" s="1"/>
  <c r="G391" i="3"/>
  <c r="J391" i="3" s="1"/>
  <c r="E390" i="3"/>
  <c r="H390" i="3" s="1"/>
  <c r="C390" i="3"/>
  <c r="R388" i="3"/>
  <c r="G387" i="3" s="1"/>
  <c r="J387" i="3" s="1"/>
  <c r="C387" i="3"/>
  <c r="R385" i="3"/>
  <c r="G386" i="3" s="1"/>
  <c r="J386" i="3" s="1"/>
  <c r="G385" i="3"/>
  <c r="J385" i="3" s="1"/>
  <c r="E384" i="3"/>
  <c r="H384" i="3" s="1"/>
  <c r="C384" i="3"/>
  <c r="R383" i="3"/>
  <c r="I383" i="3"/>
  <c r="G383" i="3"/>
  <c r="J383" i="3" s="1"/>
  <c r="F383" i="3"/>
  <c r="E383" i="3"/>
  <c r="H383" i="3" s="1"/>
  <c r="G382" i="3"/>
  <c r="J382" i="3" s="1"/>
  <c r="F382" i="3"/>
  <c r="I382" i="3" s="1"/>
  <c r="E382" i="3"/>
  <c r="H382" i="3" s="1"/>
  <c r="J381" i="3"/>
  <c r="I381" i="3"/>
  <c r="G381" i="3"/>
  <c r="F381" i="3"/>
  <c r="E381" i="3"/>
  <c r="H381" i="3" s="1"/>
  <c r="C381" i="3"/>
  <c r="B381" i="3"/>
  <c r="I379" i="3"/>
  <c r="H379" i="3"/>
  <c r="F379" i="3"/>
  <c r="E379" i="3"/>
  <c r="I378" i="3"/>
  <c r="H378" i="3"/>
  <c r="F378" i="3"/>
  <c r="E378" i="3"/>
  <c r="I377" i="3"/>
  <c r="H377" i="3"/>
  <c r="F377" i="3"/>
  <c r="E377" i="3"/>
  <c r="C377" i="3"/>
  <c r="I376" i="3"/>
  <c r="H376" i="3"/>
  <c r="F376" i="3"/>
  <c r="E376" i="3"/>
  <c r="I375" i="3"/>
  <c r="H375" i="3"/>
  <c r="F375" i="3"/>
  <c r="E375" i="3"/>
  <c r="I374" i="3"/>
  <c r="H374" i="3"/>
  <c r="F374" i="3"/>
  <c r="E374" i="3"/>
  <c r="C374" i="3"/>
  <c r="I373" i="3"/>
  <c r="H373" i="3"/>
  <c r="F373" i="3"/>
  <c r="E373" i="3"/>
  <c r="I372" i="3"/>
  <c r="H372" i="3"/>
  <c r="F372" i="3"/>
  <c r="E372" i="3"/>
  <c r="I371" i="3"/>
  <c r="H371" i="3"/>
  <c r="F371" i="3"/>
  <c r="E371" i="3"/>
  <c r="C371" i="3"/>
  <c r="B371" i="3"/>
  <c r="M369" i="3"/>
  <c r="L369" i="3"/>
  <c r="K369" i="3"/>
  <c r="M368" i="3"/>
  <c r="L368" i="3"/>
  <c r="K368" i="3"/>
  <c r="M367" i="3"/>
  <c r="L367" i="3"/>
  <c r="K367" i="3"/>
  <c r="C367" i="3"/>
  <c r="M366" i="3"/>
  <c r="L366" i="3"/>
  <c r="K366" i="3"/>
  <c r="M365" i="3"/>
  <c r="L365" i="3"/>
  <c r="K365" i="3"/>
  <c r="M364" i="3"/>
  <c r="L364" i="3"/>
  <c r="K364" i="3"/>
  <c r="C364" i="3"/>
  <c r="M363" i="3"/>
  <c r="L363" i="3"/>
  <c r="K363" i="3"/>
  <c r="M362" i="3"/>
  <c r="L362" i="3"/>
  <c r="K362" i="3"/>
  <c r="M361" i="3"/>
  <c r="L361" i="3"/>
  <c r="K361" i="3"/>
  <c r="C361" i="3"/>
  <c r="M360" i="3"/>
  <c r="L360" i="3"/>
  <c r="K360" i="3"/>
  <c r="M359" i="3"/>
  <c r="L359" i="3"/>
  <c r="K359" i="3"/>
  <c r="M358" i="3"/>
  <c r="L358" i="3"/>
  <c r="K358" i="3"/>
  <c r="C358" i="3"/>
  <c r="M357" i="3"/>
  <c r="L357" i="3"/>
  <c r="K357" i="3"/>
  <c r="M356" i="3"/>
  <c r="L356" i="3"/>
  <c r="K356" i="3"/>
  <c r="M355" i="3"/>
  <c r="L355" i="3"/>
  <c r="K355" i="3"/>
  <c r="C355" i="3"/>
  <c r="B355" i="3"/>
  <c r="M353" i="3"/>
  <c r="L353" i="3"/>
  <c r="K353" i="3"/>
  <c r="M352" i="3"/>
  <c r="L352" i="3"/>
  <c r="K352" i="3"/>
  <c r="M351" i="3"/>
  <c r="L351" i="3"/>
  <c r="K351" i="3"/>
  <c r="C351" i="3"/>
  <c r="M350" i="3"/>
  <c r="L350" i="3"/>
  <c r="K350" i="3"/>
  <c r="M349" i="3"/>
  <c r="L349" i="3"/>
  <c r="K349" i="3"/>
  <c r="M348" i="3"/>
  <c r="L348" i="3"/>
  <c r="K348" i="3"/>
  <c r="C348" i="3"/>
  <c r="M347" i="3"/>
  <c r="L347" i="3"/>
  <c r="K347" i="3"/>
  <c r="M346" i="3"/>
  <c r="L346" i="3"/>
  <c r="K346" i="3"/>
  <c r="M345" i="3"/>
  <c r="L345" i="3"/>
  <c r="K345" i="3"/>
  <c r="C345" i="3"/>
  <c r="M344" i="3"/>
  <c r="L344" i="3"/>
  <c r="K344" i="3"/>
  <c r="M343" i="3"/>
  <c r="L343" i="3"/>
  <c r="K343" i="3"/>
  <c r="M342" i="3"/>
  <c r="L342" i="3"/>
  <c r="K342" i="3"/>
  <c r="C342" i="3"/>
  <c r="M341" i="3"/>
  <c r="L341" i="3"/>
  <c r="K341" i="3"/>
  <c r="M340" i="3"/>
  <c r="L340" i="3"/>
  <c r="K340" i="3"/>
  <c r="M339" i="3"/>
  <c r="L339" i="3"/>
  <c r="K339" i="3"/>
  <c r="C339" i="3"/>
  <c r="M338" i="3"/>
  <c r="L338" i="3"/>
  <c r="K338" i="3"/>
  <c r="M337" i="3"/>
  <c r="L337" i="3"/>
  <c r="K337" i="3"/>
  <c r="M336" i="3"/>
  <c r="L336" i="3"/>
  <c r="K336" i="3"/>
  <c r="C336" i="3"/>
  <c r="B336" i="3"/>
  <c r="L334" i="3"/>
  <c r="G334" i="3"/>
  <c r="J334" i="3" s="1"/>
  <c r="F334" i="3"/>
  <c r="I334" i="3" s="1"/>
  <c r="E334" i="3"/>
  <c r="K334" i="3" s="1"/>
  <c r="M333" i="3"/>
  <c r="G333" i="3"/>
  <c r="J333" i="3" s="1"/>
  <c r="F333" i="3"/>
  <c r="L333" i="3" s="1"/>
  <c r="E333" i="3"/>
  <c r="K333" i="3" s="1"/>
  <c r="H332" i="3"/>
  <c r="G332" i="3"/>
  <c r="M332" i="3" s="1"/>
  <c r="F332" i="3"/>
  <c r="L332" i="3" s="1"/>
  <c r="E332" i="3"/>
  <c r="K332" i="3" s="1"/>
  <c r="C332" i="3"/>
  <c r="H331" i="3"/>
  <c r="G331" i="3"/>
  <c r="M331" i="3" s="1"/>
  <c r="F331" i="3"/>
  <c r="L331" i="3" s="1"/>
  <c r="E331" i="3"/>
  <c r="K331" i="3" s="1"/>
  <c r="I330" i="3"/>
  <c r="G330" i="3"/>
  <c r="M330" i="3" s="1"/>
  <c r="F330" i="3"/>
  <c r="L330" i="3" s="1"/>
  <c r="E330" i="3"/>
  <c r="H330" i="3" s="1"/>
  <c r="J329" i="3"/>
  <c r="I329" i="3"/>
  <c r="H329" i="3"/>
  <c r="G329" i="3"/>
  <c r="M329" i="3" s="1"/>
  <c r="F329" i="3"/>
  <c r="L329" i="3" s="1"/>
  <c r="E329" i="3"/>
  <c r="K329" i="3" s="1"/>
  <c r="C329" i="3"/>
  <c r="M328" i="3"/>
  <c r="L328" i="3"/>
  <c r="J328" i="3"/>
  <c r="G328" i="3"/>
  <c r="F328" i="3"/>
  <c r="I328" i="3" s="1"/>
  <c r="E328" i="3"/>
  <c r="K328" i="3" s="1"/>
  <c r="M327" i="3"/>
  <c r="L327" i="3"/>
  <c r="J327" i="3"/>
  <c r="I327" i="3"/>
  <c r="G327" i="3"/>
  <c r="F327" i="3"/>
  <c r="E327" i="3"/>
  <c r="K327" i="3" s="1"/>
  <c r="M326" i="3"/>
  <c r="J326" i="3"/>
  <c r="G326" i="3"/>
  <c r="F326" i="3"/>
  <c r="L326" i="3" s="1"/>
  <c r="E326" i="3"/>
  <c r="K326" i="3" s="1"/>
  <c r="C326" i="3"/>
  <c r="H325" i="3"/>
  <c r="G325" i="3"/>
  <c r="M325" i="3" s="1"/>
  <c r="F325" i="3"/>
  <c r="L325" i="3" s="1"/>
  <c r="E325" i="3"/>
  <c r="K325" i="3" s="1"/>
  <c r="I324" i="3"/>
  <c r="G324" i="3"/>
  <c r="M324" i="3" s="1"/>
  <c r="F324" i="3"/>
  <c r="L324" i="3" s="1"/>
  <c r="E324" i="3"/>
  <c r="H324" i="3" s="1"/>
  <c r="J323" i="3"/>
  <c r="H323" i="3"/>
  <c r="G323" i="3"/>
  <c r="M323" i="3" s="1"/>
  <c r="F323" i="3"/>
  <c r="I323" i="3" s="1"/>
  <c r="E323" i="3"/>
  <c r="K323" i="3" s="1"/>
  <c r="C323" i="3"/>
  <c r="L322" i="3"/>
  <c r="G322" i="3"/>
  <c r="J322" i="3" s="1"/>
  <c r="F322" i="3"/>
  <c r="I322" i="3" s="1"/>
  <c r="E322" i="3"/>
  <c r="K322" i="3" s="1"/>
  <c r="M321" i="3"/>
  <c r="G321" i="3"/>
  <c r="J321" i="3" s="1"/>
  <c r="F321" i="3"/>
  <c r="L321" i="3" s="1"/>
  <c r="E321" i="3"/>
  <c r="K321" i="3" s="1"/>
  <c r="M320" i="3"/>
  <c r="J320" i="3"/>
  <c r="G320" i="3"/>
  <c r="F320" i="3"/>
  <c r="L320" i="3" s="1"/>
  <c r="E320" i="3"/>
  <c r="K320" i="3" s="1"/>
  <c r="C320" i="3"/>
  <c r="H319" i="3"/>
  <c r="G319" i="3"/>
  <c r="M319" i="3" s="1"/>
  <c r="F319" i="3"/>
  <c r="L319" i="3" s="1"/>
  <c r="E319" i="3"/>
  <c r="K319" i="3" s="1"/>
  <c r="I318" i="3"/>
  <c r="H318" i="3"/>
  <c r="G318" i="3"/>
  <c r="M318" i="3" s="1"/>
  <c r="F318" i="3"/>
  <c r="L318" i="3" s="1"/>
  <c r="E318" i="3"/>
  <c r="K318" i="3" s="1"/>
  <c r="J317" i="3"/>
  <c r="G317" i="3"/>
  <c r="M317" i="3" s="1"/>
  <c r="F317" i="3"/>
  <c r="I317" i="3" s="1"/>
  <c r="E317" i="3"/>
  <c r="H317" i="3" s="1"/>
  <c r="C317" i="3"/>
  <c r="L316" i="3"/>
  <c r="G316" i="3"/>
  <c r="J316" i="3" s="1"/>
  <c r="F316" i="3"/>
  <c r="I316" i="3" s="1"/>
  <c r="E316" i="3"/>
  <c r="K316" i="3" s="1"/>
  <c r="M315" i="3"/>
  <c r="G315" i="3"/>
  <c r="J315" i="3" s="1"/>
  <c r="F315" i="3"/>
  <c r="L315" i="3" s="1"/>
  <c r="E315" i="3"/>
  <c r="K315" i="3" s="1"/>
  <c r="H314" i="3"/>
  <c r="G314" i="3"/>
  <c r="M314" i="3" s="1"/>
  <c r="F314" i="3"/>
  <c r="L314" i="3" s="1"/>
  <c r="E314" i="3"/>
  <c r="K314" i="3" s="1"/>
  <c r="C314" i="3"/>
  <c r="M313" i="3"/>
  <c r="J313" i="3"/>
  <c r="H313" i="3"/>
  <c r="G313" i="3"/>
  <c r="F313" i="3"/>
  <c r="L313" i="3" s="1"/>
  <c r="E313" i="3"/>
  <c r="K313" i="3" s="1"/>
  <c r="K312" i="3"/>
  <c r="I312" i="3"/>
  <c r="H312" i="3"/>
  <c r="G312" i="3"/>
  <c r="M312" i="3" s="1"/>
  <c r="F312" i="3"/>
  <c r="L312" i="3" s="1"/>
  <c r="E312" i="3"/>
  <c r="J311" i="3"/>
  <c r="H311" i="3"/>
  <c r="G311" i="3"/>
  <c r="M311" i="3" s="1"/>
  <c r="F311" i="3"/>
  <c r="I311" i="3" s="1"/>
  <c r="E311" i="3"/>
  <c r="K311" i="3" s="1"/>
  <c r="C311" i="3"/>
  <c r="B311" i="3"/>
  <c r="M309" i="3"/>
  <c r="L309" i="3"/>
  <c r="K309" i="3"/>
  <c r="M308" i="3"/>
  <c r="L308" i="3"/>
  <c r="K308" i="3"/>
  <c r="M307" i="3"/>
  <c r="L307" i="3"/>
  <c r="K307" i="3"/>
  <c r="C307" i="3"/>
  <c r="M306" i="3"/>
  <c r="L306" i="3"/>
  <c r="K306" i="3"/>
  <c r="M305" i="3"/>
  <c r="L305" i="3"/>
  <c r="K305" i="3"/>
  <c r="M304" i="3"/>
  <c r="L304" i="3"/>
  <c r="K304" i="3"/>
  <c r="C304" i="3"/>
  <c r="M303" i="3"/>
  <c r="L303" i="3"/>
  <c r="K303" i="3"/>
  <c r="M302" i="3"/>
  <c r="L302" i="3"/>
  <c r="K302" i="3"/>
  <c r="M301" i="3"/>
  <c r="L301" i="3"/>
  <c r="K301" i="3"/>
  <c r="C301" i="3"/>
  <c r="M300" i="3"/>
  <c r="L300" i="3"/>
  <c r="K300" i="3"/>
  <c r="M299" i="3"/>
  <c r="L299" i="3"/>
  <c r="K299" i="3"/>
  <c r="M298" i="3"/>
  <c r="L298" i="3"/>
  <c r="K298" i="3"/>
  <c r="C298" i="3"/>
  <c r="M297" i="3"/>
  <c r="L297" i="3"/>
  <c r="K297" i="3"/>
  <c r="M296" i="3"/>
  <c r="L296" i="3"/>
  <c r="K296" i="3"/>
  <c r="M295" i="3"/>
  <c r="L295" i="3"/>
  <c r="K295" i="3"/>
  <c r="C295" i="3"/>
  <c r="M294" i="3"/>
  <c r="L294" i="3"/>
  <c r="K294" i="3"/>
  <c r="M293" i="3"/>
  <c r="L293" i="3"/>
  <c r="K293" i="3"/>
  <c r="M292" i="3"/>
  <c r="L292" i="3"/>
  <c r="K292" i="3"/>
  <c r="C292" i="3"/>
  <c r="M291" i="3"/>
  <c r="L291" i="3"/>
  <c r="K291" i="3"/>
  <c r="M290" i="3"/>
  <c r="L290" i="3"/>
  <c r="K290" i="3"/>
  <c r="M289" i="3"/>
  <c r="L289" i="3"/>
  <c r="K289" i="3"/>
  <c r="C289" i="3"/>
  <c r="M288" i="3"/>
  <c r="L288" i="3"/>
  <c r="K288" i="3"/>
  <c r="M287" i="3"/>
  <c r="L287" i="3"/>
  <c r="K287" i="3"/>
  <c r="M286" i="3"/>
  <c r="L286" i="3"/>
  <c r="K286" i="3"/>
  <c r="C286" i="3"/>
  <c r="M285" i="3"/>
  <c r="L285" i="3"/>
  <c r="K285" i="3"/>
  <c r="M284" i="3"/>
  <c r="L284" i="3"/>
  <c r="K284" i="3"/>
  <c r="M283" i="3"/>
  <c r="L283" i="3"/>
  <c r="K283" i="3"/>
  <c r="C283" i="3"/>
  <c r="B283" i="3"/>
  <c r="M281" i="3"/>
  <c r="L281" i="3"/>
  <c r="K281" i="3"/>
  <c r="M280" i="3"/>
  <c r="L280" i="3"/>
  <c r="K280" i="3"/>
  <c r="M279" i="3"/>
  <c r="L279" i="3"/>
  <c r="K279" i="3"/>
  <c r="C279" i="3"/>
  <c r="M278" i="3"/>
  <c r="L278" i="3"/>
  <c r="K278" i="3"/>
  <c r="M277" i="3"/>
  <c r="L277" i="3"/>
  <c r="K277" i="3"/>
  <c r="M276" i="3"/>
  <c r="L276" i="3"/>
  <c r="K276" i="3"/>
  <c r="C276" i="3"/>
  <c r="M275" i="3"/>
  <c r="L275" i="3"/>
  <c r="K275" i="3"/>
  <c r="M274" i="3"/>
  <c r="L274" i="3"/>
  <c r="K274" i="3"/>
  <c r="M273" i="3"/>
  <c r="L273" i="3"/>
  <c r="K273" i="3"/>
  <c r="C273" i="3"/>
  <c r="M272" i="3"/>
  <c r="L272" i="3"/>
  <c r="K272" i="3"/>
  <c r="M271" i="3"/>
  <c r="L271" i="3"/>
  <c r="K271" i="3"/>
  <c r="M270" i="3"/>
  <c r="L270" i="3"/>
  <c r="K270" i="3"/>
  <c r="C270" i="3"/>
  <c r="M269" i="3"/>
  <c r="L269" i="3"/>
  <c r="K269" i="3"/>
  <c r="M268" i="3"/>
  <c r="L268" i="3"/>
  <c r="K268" i="3"/>
  <c r="M267" i="3"/>
  <c r="L267" i="3"/>
  <c r="K267" i="3"/>
  <c r="C267" i="3"/>
  <c r="M266" i="3"/>
  <c r="L266" i="3"/>
  <c r="K266" i="3"/>
  <c r="M265" i="3"/>
  <c r="L265" i="3"/>
  <c r="K265" i="3"/>
  <c r="M264" i="3"/>
  <c r="L264" i="3"/>
  <c r="K264" i="3"/>
  <c r="C264" i="3"/>
  <c r="M263" i="3"/>
  <c r="L263" i="3"/>
  <c r="K263" i="3"/>
  <c r="M262" i="3"/>
  <c r="L262" i="3"/>
  <c r="K262" i="3"/>
  <c r="M261" i="3"/>
  <c r="L261" i="3"/>
  <c r="K261" i="3"/>
  <c r="C261" i="3"/>
  <c r="B261" i="3"/>
  <c r="M259" i="3"/>
  <c r="L259" i="3"/>
  <c r="K259" i="3"/>
  <c r="J259" i="3"/>
  <c r="I259" i="3"/>
  <c r="H259" i="3"/>
  <c r="M258" i="3"/>
  <c r="L258" i="3"/>
  <c r="K258" i="3"/>
  <c r="J258" i="3"/>
  <c r="I258" i="3"/>
  <c r="H258" i="3"/>
  <c r="M257" i="3"/>
  <c r="L257" i="3"/>
  <c r="K257" i="3"/>
  <c r="J257" i="3"/>
  <c r="I257" i="3"/>
  <c r="H257" i="3"/>
  <c r="C257" i="3"/>
  <c r="M256" i="3"/>
  <c r="L256" i="3"/>
  <c r="K256" i="3"/>
  <c r="J256" i="3"/>
  <c r="I256" i="3"/>
  <c r="H256" i="3"/>
  <c r="M255" i="3"/>
  <c r="L255" i="3"/>
  <c r="K255" i="3"/>
  <c r="J255" i="3"/>
  <c r="I255" i="3"/>
  <c r="H255" i="3"/>
  <c r="M254" i="3"/>
  <c r="L254" i="3"/>
  <c r="K254" i="3"/>
  <c r="J254" i="3"/>
  <c r="I254" i="3"/>
  <c r="H254" i="3"/>
  <c r="C254" i="3"/>
  <c r="M253" i="3"/>
  <c r="L253" i="3"/>
  <c r="K253" i="3"/>
  <c r="J253" i="3"/>
  <c r="I253" i="3"/>
  <c r="H253" i="3"/>
  <c r="M252" i="3"/>
  <c r="L252" i="3"/>
  <c r="K252" i="3"/>
  <c r="J252" i="3"/>
  <c r="I252" i="3"/>
  <c r="H252" i="3"/>
  <c r="M251" i="3"/>
  <c r="L251" i="3"/>
  <c r="K251" i="3"/>
  <c r="J251" i="3"/>
  <c r="I251" i="3"/>
  <c r="H251" i="3"/>
  <c r="C251" i="3"/>
  <c r="M250" i="3"/>
  <c r="L250" i="3"/>
  <c r="K250" i="3"/>
  <c r="J250" i="3"/>
  <c r="I250" i="3"/>
  <c r="H250" i="3"/>
  <c r="M249" i="3"/>
  <c r="L249" i="3"/>
  <c r="K249" i="3"/>
  <c r="J249" i="3"/>
  <c r="I249" i="3"/>
  <c r="H249" i="3"/>
  <c r="M248" i="3"/>
  <c r="L248" i="3"/>
  <c r="K248" i="3"/>
  <c r="J248" i="3"/>
  <c r="I248" i="3"/>
  <c r="H248" i="3"/>
  <c r="C248" i="3"/>
  <c r="M247" i="3"/>
  <c r="L247" i="3"/>
  <c r="K247" i="3"/>
  <c r="J247" i="3"/>
  <c r="I247" i="3"/>
  <c r="H247" i="3"/>
  <c r="M246" i="3"/>
  <c r="L246" i="3"/>
  <c r="K246" i="3"/>
  <c r="J246" i="3"/>
  <c r="I246" i="3"/>
  <c r="H246" i="3"/>
  <c r="M245" i="3"/>
  <c r="L245" i="3"/>
  <c r="K245" i="3"/>
  <c r="J245" i="3"/>
  <c r="I245" i="3"/>
  <c r="H245" i="3"/>
  <c r="C245" i="3"/>
  <c r="M244" i="3"/>
  <c r="L244" i="3"/>
  <c r="K244" i="3"/>
  <c r="J244" i="3"/>
  <c r="I244" i="3"/>
  <c r="H244" i="3"/>
  <c r="M243" i="3"/>
  <c r="L243" i="3"/>
  <c r="K243" i="3"/>
  <c r="J243" i="3"/>
  <c r="I243" i="3"/>
  <c r="H243" i="3"/>
  <c r="M242" i="3"/>
  <c r="L242" i="3"/>
  <c r="K242" i="3"/>
  <c r="J242" i="3"/>
  <c r="I242" i="3"/>
  <c r="H242" i="3"/>
  <c r="C242" i="3"/>
  <c r="M241" i="3"/>
  <c r="L241" i="3"/>
  <c r="K241" i="3"/>
  <c r="J241" i="3"/>
  <c r="I241" i="3"/>
  <c r="H241" i="3"/>
  <c r="M240" i="3"/>
  <c r="L240" i="3"/>
  <c r="K240" i="3"/>
  <c r="J240" i="3"/>
  <c r="I240" i="3"/>
  <c r="H240" i="3"/>
  <c r="M239" i="3"/>
  <c r="L239" i="3"/>
  <c r="K239" i="3"/>
  <c r="J239" i="3"/>
  <c r="I239" i="3"/>
  <c r="H239" i="3"/>
  <c r="C239" i="3"/>
  <c r="M238" i="3"/>
  <c r="L238" i="3"/>
  <c r="K238" i="3"/>
  <c r="J238" i="3"/>
  <c r="I238" i="3"/>
  <c r="H238" i="3"/>
  <c r="M237" i="3"/>
  <c r="L237" i="3"/>
  <c r="K237" i="3"/>
  <c r="J237" i="3"/>
  <c r="I237" i="3"/>
  <c r="H237" i="3"/>
  <c r="M236" i="3"/>
  <c r="L236" i="3"/>
  <c r="K236" i="3"/>
  <c r="J236" i="3"/>
  <c r="I236" i="3"/>
  <c r="H236" i="3"/>
  <c r="C236" i="3"/>
  <c r="M235" i="3"/>
  <c r="L235" i="3"/>
  <c r="K235" i="3"/>
  <c r="J235" i="3"/>
  <c r="I235" i="3"/>
  <c r="H235" i="3"/>
  <c r="M234" i="3"/>
  <c r="L234" i="3"/>
  <c r="K234" i="3"/>
  <c r="J234" i="3"/>
  <c r="I234" i="3"/>
  <c r="H234" i="3"/>
  <c r="M233" i="3"/>
  <c r="L233" i="3"/>
  <c r="K233" i="3"/>
  <c r="J233" i="3"/>
  <c r="I233" i="3"/>
  <c r="H233" i="3"/>
  <c r="C233" i="3"/>
  <c r="M232" i="3"/>
  <c r="L232" i="3"/>
  <c r="K232" i="3"/>
  <c r="J232" i="3"/>
  <c r="I232" i="3"/>
  <c r="H232" i="3"/>
  <c r="M231" i="3"/>
  <c r="L231" i="3"/>
  <c r="K231" i="3"/>
  <c r="J231" i="3"/>
  <c r="I231" i="3"/>
  <c r="H231" i="3"/>
  <c r="M230" i="3"/>
  <c r="L230" i="3"/>
  <c r="K230" i="3"/>
  <c r="J230" i="3"/>
  <c r="I230" i="3"/>
  <c r="H230" i="3"/>
  <c r="C230" i="3"/>
  <c r="B230" i="3"/>
  <c r="M228" i="3"/>
  <c r="L228" i="3"/>
  <c r="K228" i="3"/>
  <c r="M227" i="3"/>
  <c r="L227" i="3"/>
  <c r="K227" i="3"/>
  <c r="M226" i="3"/>
  <c r="L226" i="3"/>
  <c r="K226" i="3"/>
  <c r="C226" i="3"/>
  <c r="M225" i="3"/>
  <c r="L225" i="3"/>
  <c r="K225" i="3"/>
  <c r="M224" i="3"/>
  <c r="L224" i="3"/>
  <c r="K224" i="3"/>
  <c r="M223" i="3"/>
  <c r="L223" i="3"/>
  <c r="K223" i="3"/>
  <c r="C223" i="3"/>
  <c r="M222" i="3"/>
  <c r="L222" i="3"/>
  <c r="K222" i="3"/>
  <c r="M221" i="3"/>
  <c r="L221" i="3"/>
  <c r="K221" i="3"/>
  <c r="M220" i="3"/>
  <c r="L220" i="3"/>
  <c r="K220" i="3"/>
  <c r="C220" i="3"/>
  <c r="M219" i="3"/>
  <c r="L219" i="3"/>
  <c r="K219" i="3"/>
  <c r="M218" i="3"/>
  <c r="L218" i="3"/>
  <c r="K218" i="3"/>
  <c r="M217" i="3"/>
  <c r="L217" i="3"/>
  <c r="K217" i="3"/>
  <c r="C217" i="3"/>
  <c r="B217" i="3"/>
  <c r="M215" i="3"/>
  <c r="L215" i="3"/>
  <c r="K215" i="3"/>
  <c r="J215" i="3"/>
  <c r="I215" i="3"/>
  <c r="H215" i="3"/>
  <c r="M214" i="3"/>
  <c r="L214" i="3"/>
  <c r="K214" i="3"/>
  <c r="J214" i="3"/>
  <c r="I214" i="3"/>
  <c r="H214" i="3"/>
  <c r="M213" i="3"/>
  <c r="L213" i="3"/>
  <c r="K213" i="3"/>
  <c r="J213" i="3"/>
  <c r="I213" i="3"/>
  <c r="H213" i="3"/>
  <c r="C213" i="3"/>
  <c r="M212" i="3"/>
  <c r="L212" i="3"/>
  <c r="K212" i="3"/>
  <c r="J212" i="3"/>
  <c r="I212" i="3"/>
  <c r="H212" i="3"/>
  <c r="M211" i="3"/>
  <c r="L211" i="3"/>
  <c r="K211" i="3"/>
  <c r="J211" i="3"/>
  <c r="I211" i="3"/>
  <c r="H211" i="3"/>
  <c r="M210" i="3"/>
  <c r="L210" i="3"/>
  <c r="K210" i="3"/>
  <c r="J210" i="3"/>
  <c r="I210" i="3"/>
  <c r="H210" i="3"/>
  <c r="C210" i="3"/>
  <c r="M209" i="3"/>
  <c r="L209" i="3"/>
  <c r="K209" i="3"/>
  <c r="J209" i="3"/>
  <c r="I209" i="3"/>
  <c r="H209" i="3"/>
  <c r="M208" i="3"/>
  <c r="L208" i="3"/>
  <c r="K208" i="3"/>
  <c r="J208" i="3"/>
  <c r="I208" i="3"/>
  <c r="H208" i="3"/>
  <c r="M207" i="3"/>
  <c r="L207" i="3"/>
  <c r="K207" i="3"/>
  <c r="J207" i="3"/>
  <c r="I207" i="3"/>
  <c r="H207" i="3"/>
  <c r="C207" i="3"/>
  <c r="M206" i="3"/>
  <c r="L206" i="3"/>
  <c r="K206" i="3"/>
  <c r="J206" i="3"/>
  <c r="I206" i="3"/>
  <c r="H206" i="3"/>
  <c r="M205" i="3"/>
  <c r="L205" i="3"/>
  <c r="K205" i="3"/>
  <c r="J205" i="3"/>
  <c r="I205" i="3"/>
  <c r="H205" i="3"/>
  <c r="M204" i="3"/>
  <c r="L204" i="3"/>
  <c r="K204" i="3"/>
  <c r="J204" i="3"/>
  <c r="I204" i="3"/>
  <c r="H204" i="3"/>
  <c r="C204" i="3"/>
  <c r="M203" i="3"/>
  <c r="L203" i="3"/>
  <c r="K203" i="3"/>
  <c r="J203" i="3"/>
  <c r="I203" i="3"/>
  <c r="H203" i="3"/>
  <c r="M202" i="3"/>
  <c r="L202" i="3"/>
  <c r="K202" i="3"/>
  <c r="J202" i="3"/>
  <c r="I202" i="3"/>
  <c r="H202" i="3"/>
  <c r="M201" i="3"/>
  <c r="L201" i="3"/>
  <c r="K201" i="3"/>
  <c r="J201" i="3"/>
  <c r="I201" i="3"/>
  <c r="H201" i="3"/>
  <c r="C201" i="3"/>
  <c r="M200" i="3"/>
  <c r="L200" i="3"/>
  <c r="K200" i="3"/>
  <c r="J200" i="3"/>
  <c r="I200" i="3"/>
  <c r="H200" i="3"/>
  <c r="M199" i="3"/>
  <c r="L199" i="3"/>
  <c r="K199" i="3"/>
  <c r="J199" i="3"/>
  <c r="I199" i="3"/>
  <c r="H199" i="3"/>
  <c r="M198" i="3"/>
  <c r="L198" i="3"/>
  <c r="K198" i="3"/>
  <c r="J198" i="3"/>
  <c r="I198" i="3"/>
  <c r="H198" i="3"/>
  <c r="C198" i="3"/>
  <c r="M197" i="3"/>
  <c r="L197" i="3"/>
  <c r="K197" i="3"/>
  <c r="J197" i="3"/>
  <c r="I197" i="3"/>
  <c r="H197" i="3"/>
  <c r="M196" i="3"/>
  <c r="L196" i="3"/>
  <c r="K196" i="3"/>
  <c r="J196" i="3"/>
  <c r="I196" i="3"/>
  <c r="H196" i="3"/>
  <c r="M195" i="3"/>
  <c r="L195" i="3"/>
  <c r="K195" i="3"/>
  <c r="J195" i="3"/>
  <c r="I195" i="3"/>
  <c r="H195" i="3"/>
  <c r="C195" i="3"/>
  <c r="M194" i="3"/>
  <c r="L194" i="3"/>
  <c r="K194" i="3"/>
  <c r="J194" i="3"/>
  <c r="I194" i="3"/>
  <c r="H194" i="3"/>
  <c r="M193" i="3"/>
  <c r="L193" i="3"/>
  <c r="K193" i="3"/>
  <c r="J193" i="3"/>
  <c r="I193" i="3"/>
  <c r="H193" i="3"/>
  <c r="M192" i="3"/>
  <c r="L192" i="3"/>
  <c r="K192" i="3"/>
  <c r="J192" i="3"/>
  <c r="I192" i="3"/>
  <c r="H192" i="3"/>
  <c r="C192" i="3"/>
  <c r="B192" i="3"/>
  <c r="M190" i="3"/>
  <c r="L190" i="3"/>
  <c r="K190" i="3"/>
  <c r="J190" i="3"/>
  <c r="I190" i="3"/>
  <c r="H190" i="3"/>
  <c r="M189" i="3"/>
  <c r="L189" i="3"/>
  <c r="K189" i="3"/>
  <c r="J189" i="3"/>
  <c r="I189" i="3"/>
  <c r="H189" i="3"/>
  <c r="M188" i="3"/>
  <c r="L188" i="3"/>
  <c r="K188" i="3"/>
  <c r="J188" i="3"/>
  <c r="I188" i="3"/>
  <c r="H188" i="3"/>
  <c r="C188" i="3"/>
  <c r="M187" i="3"/>
  <c r="L187" i="3"/>
  <c r="K187" i="3"/>
  <c r="J187" i="3"/>
  <c r="I187" i="3"/>
  <c r="H187" i="3"/>
  <c r="M186" i="3"/>
  <c r="L186" i="3"/>
  <c r="K186" i="3"/>
  <c r="J186" i="3"/>
  <c r="I186" i="3"/>
  <c r="H186" i="3"/>
  <c r="M185" i="3"/>
  <c r="L185" i="3"/>
  <c r="K185" i="3"/>
  <c r="J185" i="3"/>
  <c r="I185" i="3"/>
  <c r="H185" i="3"/>
  <c r="C185" i="3"/>
  <c r="M184" i="3"/>
  <c r="L184" i="3"/>
  <c r="K184" i="3"/>
  <c r="J184" i="3"/>
  <c r="I184" i="3"/>
  <c r="H184" i="3"/>
  <c r="M183" i="3"/>
  <c r="L183" i="3"/>
  <c r="K183" i="3"/>
  <c r="J183" i="3"/>
  <c r="I183" i="3"/>
  <c r="H183" i="3"/>
  <c r="M182" i="3"/>
  <c r="L182" i="3"/>
  <c r="K182" i="3"/>
  <c r="J182" i="3"/>
  <c r="I182" i="3"/>
  <c r="H182" i="3"/>
  <c r="C182" i="3"/>
  <c r="M181" i="3"/>
  <c r="L181" i="3"/>
  <c r="K181" i="3"/>
  <c r="J181" i="3"/>
  <c r="I181" i="3"/>
  <c r="H181" i="3"/>
  <c r="M180" i="3"/>
  <c r="L180" i="3"/>
  <c r="K180" i="3"/>
  <c r="J180" i="3"/>
  <c r="I180" i="3"/>
  <c r="H180" i="3"/>
  <c r="M179" i="3"/>
  <c r="L179" i="3"/>
  <c r="K179" i="3"/>
  <c r="J179" i="3"/>
  <c r="I179" i="3"/>
  <c r="H179" i="3"/>
  <c r="C179" i="3"/>
  <c r="B179" i="3"/>
  <c r="M177" i="3"/>
  <c r="L177" i="3"/>
  <c r="K177" i="3"/>
  <c r="J177" i="3"/>
  <c r="I177" i="3"/>
  <c r="H177" i="3"/>
  <c r="M176" i="3"/>
  <c r="L176" i="3"/>
  <c r="K176" i="3"/>
  <c r="J176" i="3"/>
  <c r="I176" i="3"/>
  <c r="H176" i="3"/>
  <c r="M175" i="3"/>
  <c r="L175" i="3"/>
  <c r="K175" i="3"/>
  <c r="J175" i="3"/>
  <c r="I175" i="3"/>
  <c r="H175" i="3"/>
  <c r="C175" i="3"/>
  <c r="M174" i="3"/>
  <c r="L174" i="3"/>
  <c r="K174" i="3"/>
  <c r="J174" i="3"/>
  <c r="I174" i="3"/>
  <c r="H174" i="3"/>
  <c r="M173" i="3"/>
  <c r="L173" i="3"/>
  <c r="K173" i="3"/>
  <c r="J173" i="3"/>
  <c r="I173" i="3"/>
  <c r="H173" i="3"/>
  <c r="M172" i="3"/>
  <c r="L172" i="3"/>
  <c r="K172" i="3"/>
  <c r="J172" i="3"/>
  <c r="I172" i="3"/>
  <c r="H172" i="3"/>
  <c r="C172" i="3"/>
  <c r="M171" i="3"/>
  <c r="L171" i="3"/>
  <c r="K171" i="3"/>
  <c r="J171" i="3"/>
  <c r="I171" i="3"/>
  <c r="H171" i="3"/>
  <c r="M170" i="3"/>
  <c r="L170" i="3"/>
  <c r="K170" i="3"/>
  <c r="J170" i="3"/>
  <c r="I170" i="3"/>
  <c r="H170" i="3"/>
  <c r="M169" i="3"/>
  <c r="L169" i="3"/>
  <c r="K169" i="3"/>
  <c r="J169" i="3"/>
  <c r="I169" i="3"/>
  <c r="H169" i="3"/>
  <c r="C169" i="3"/>
  <c r="M168" i="3"/>
  <c r="L168" i="3"/>
  <c r="K168" i="3"/>
  <c r="J168" i="3"/>
  <c r="I168" i="3"/>
  <c r="H168" i="3"/>
  <c r="M167" i="3"/>
  <c r="L167" i="3"/>
  <c r="K167" i="3"/>
  <c r="J167" i="3"/>
  <c r="I167" i="3"/>
  <c r="H167" i="3"/>
  <c r="M166" i="3"/>
  <c r="L166" i="3"/>
  <c r="K166" i="3"/>
  <c r="J166" i="3"/>
  <c r="I166" i="3"/>
  <c r="H166" i="3"/>
  <c r="C166" i="3"/>
  <c r="B166" i="3"/>
  <c r="J164" i="3"/>
  <c r="G164" i="3"/>
  <c r="M164" i="3" s="1"/>
  <c r="F164" i="3"/>
  <c r="I164" i="3" s="1"/>
  <c r="E164" i="3"/>
  <c r="H164" i="3" s="1"/>
  <c r="K163" i="3"/>
  <c r="G163" i="3"/>
  <c r="J163" i="3" s="1"/>
  <c r="F163" i="3"/>
  <c r="I163" i="3" s="1"/>
  <c r="E163" i="3"/>
  <c r="H163" i="3" s="1"/>
  <c r="L162" i="3"/>
  <c r="G162" i="3"/>
  <c r="J162" i="3" s="1"/>
  <c r="F162" i="3"/>
  <c r="I162" i="3" s="1"/>
  <c r="E162" i="3"/>
  <c r="K162" i="3" s="1"/>
  <c r="C162" i="3"/>
  <c r="H161" i="3"/>
  <c r="G161" i="3"/>
  <c r="M161" i="3" s="1"/>
  <c r="F161" i="3"/>
  <c r="L161" i="3" s="1"/>
  <c r="E161" i="3"/>
  <c r="K161" i="3" s="1"/>
  <c r="I160" i="3"/>
  <c r="G160" i="3"/>
  <c r="M160" i="3" s="1"/>
  <c r="F160" i="3"/>
  <c r="L160" i="3" s="1"/>
  <c r="E160" i="3"/>
  <c r="K160" i="3" s="1"/>
  <c r="K159" i="3"/>
  <c r="H159" i="3"/>
  <c r="G159" i="3"/>
  <c r="M159" i="3" s="1"/>
  <c r="F159" i="3"/>
  <c r="L159" i="3" s="1"/>
  <c r="E159" i="3"/>
  <c r="C159" i="3"/>
  <c r="M158" i="3"/>
  <c r="J158" i="3"/>
  <c r="G158" i="3"/>
  <c r="F158" i="3"/>
  <c r="I158" i="3" s="1"/>
  <c r="E158" i="3"/>
  <c r="H158" i="3" s="1"/>
  <c r="K157" i="3"/>
  <c r="J157" i="3"/>
  <c r="H157" i="3"/>
  <c r="G157" i="3"/>
  <c r="M157" i="3" s="1"/>
  <c r="F157" i="3"/>
  <c r="I157" i="3" s="1"/>
  <c r="E157" i="3"/>
  <c r="L156" i="3"/>
  <c r="I156" i="3"/>
  <c r="G156" i="3"/>
  <c r="J156" i="3" s="1"/>
  <c r="F156" i="3"/>
  <c r="E156" i="3"/>
  <c r="K156" i="3" s="1"/>
  <c r="C156" i="3"/>
  <c r="K155" i="3"/>
  <c r="H155" i="3"/>
  <c r="G155" i="3"/>
  <c r="M155" i="3" s="1"/>
  <c r="F155" i="3"/>
  <c r="L155" i="3" s="1"/>
  <c r="E155" i="3"/>
  <c r="L154" i="3"/>
  <c r="K154" i="3"/>
  <c r="I154" i="3"/>
  <c r="G154" i="3"/>
  <c r="M154" i="3" s="1"/>
  <c r="F154" i="3"/>
  <c r="E154" i="3"/>
  <c r="H154" i="3" s="1"/>
  <c r="L153" i="3"/>
  <c r="K153" i="3"/>
  <c r="H153" i="3"/>
  <c r="G153" i="3"/>
  <c r="M153" i="3" s="1"/>
  <c r="F153" i="3"/>
  <c r="I153" i="3" s="1"/>
  <c r="E153" i="3"/>
  <c r="C153" i="3"/>
  <c r="J152" i="3"/>
  <c r="G152" i="3"/>
  <c r="M152" i="3" s="1"/>
  <c r="F152" i="3"/>
  <c r="I152" i="3" s="1"/>
  <c r="E152" i="3"/>
  <c r="H152" i="3" s="1"/>
  <c r="K151" i="3"/>
  <c r="G151" i="3"/>
  <c r="J151" i="3" s="1"/>
  <c r="F151" i="3"/>
  <c r="I151" i="3" s="1"/>
  <c r="E151" i="3"/>
  <c r="H151" i="3" s="1"/>
  <c r="L150" i="3"/>
  <c r="G150" i="3"/>
  <c r="J150" i="3" s="1"/>
  <c r="F150" i="3"/>
  <c r="I150" i="3" s="1"/>
  <c r="E150" i="3"/>
  <c r="K150" i="3" s="1"/>
  <c r="C150" i="3"/>
  <c r="G149" i="3"/>
  <c r="M149" i="3" s="1"/>
  <c r="F149" i="3"/>
  <c r="L149" i="3" s="1"/>
  <c r="E149" i="3"/>
  <c r="K149" i="3" s="1"/>
  <c r="G148" i="3"/>
  <c r="M148" i="3" s="1"/>
  <c r="F148" i="3"/>
  <c r="L148" i="3" s="1"/>
  <c r="E148" i="3"/>
  <c r="K148" i="3" s="1"/>
  <c r="H147" i="3"/>
  <c r="G147" i="3"/>
  <c r="M147" i="3" s="1"/>
  <c r="F147" i="3"/>
  <c r="L147" i="3" s="1"/>
  <c r="E147" i="3"/>
  <c r="K147" i="3" s="1"/>
  <c r="C147" i="3"/>
  <c r="J146" i="3"/>
  <c r="G146" i="3"/>
  <c r="M146" i="3" s="1"/>
  <c r="F146" i="3"/>
  <c r="I146" i="3" s="1"/>
  <c r="E146" i="3"/>
  <c r="H146" i="3" s="1"/>
  <c r="K145" i="3"/>
  <c r="G145" i="3"/>
  <c r="J145" i="3" s="1"/>
  <c r="F145" i="3"/>
  <c r="I145" i="3" s="1"/>
  <c r="E145" i="3"/>
  <c r="H145" i="3" s="1"/>
  <c r="L144" i="3"/>
  <c r="H144" i="3"/>
  <c r="G144" i="3"/>
  <c r="J144" i="3" s="1"/>
  <c r="F144" i="3"/>
  <c r="I144" i="3" s="1"/>
  <c r="E144" i="3"/>
  <c r="K144" i="3" s="1"/>
  <c r="C144" i="3"/>
  <c r="J143" i="3"/>
  <c r="H143" i="3"/>
  <c r="G143" i="3"/>
  <c r="M143" i="3" s="1"/>
  <c r="F143" i="3"/>
  <c r="L143" i="3" s="1"/>
  <c r="E143" i="3"/>
  <c r="K143" i="3" s="1"/>
  <c r="K142" i="3"/>
  <c r="I142" i="3"/>
  <c r="H142" i="3"/>
  <c r="G142" i="3"/>
  <c r="M142" i="3" s="1"/>
  <c r="F142" i="3"/>
  <c r="L142" i="3" s="1"/>
  <c r="E142" i="3"/>
  <c r="L141" i="3"/>
  <c r="K141" i="3"/>
  <c r="H141" i="3"/>
  <c r="G141" i="3"/>
  <c r="M141" i="3" s="1"/>
  <c r="F141" i="3"/>
  <c r="I141" i="3" s="1"/>
  <c r="E141" i="3"/>
  <c r="C141" i="3"/>
  <c r="M140" i="3"/>
  <c r="J140" i="3"/>
  <c r="G140" i="3"/>
  <c r="F140" i="3"/>
  <c r="I140" i="3" s="1"/>
  <c r="E140" i="3"/>
  <c r="H140" i="3" s="1"/>
  <c r="K139" i="3"/>
  <c r="G139" i="3"/>
  <c r="J139" i="3" s="1"/>
  <c r="F139" i="3"/>
  <c r="I139" i="3" s="1"/>
  <c r="E139" i="3"/>
  <c r="H139" i="3" s="1"/>
  <c r="L138" i="3"/>
  <c r="H138" i="3"/>
  <c r="G138" i="3"/>
  <c r="J138" i="3" s="1"/>
  <c r="F138" i="3"/>
  <c r="I138" i="3" s="1"/>
  <c r="E138" i="3"/>
  <c r="K138" i="3" s="1"/>
  <c r="C138" i="3"/>
  <c r="B138" i="3"/>
  <c r="C134" i="3"/>
  <c r="B134" i="3"/>
  <c r="I131" i="3"/>
  <c r="I132" i="3" s="1"/>
  <c r="H131" i="3"/>
  <c r="H132" i="3" s="1"/>
  <c r="E131" i="3"/>
  <c r="F131" i="3" s="1"/>
  <c r="C130" i="3"/>
  <c r="C127" i="3"/>
  <c r="C124" i="3"/>
  <c r="H122" i="3"/>
  <c r="H123" i="3" s="1"/>
  <c r="F122" i="3"/>
  <c r="F123" i="3" s="1"/>
  <c r="E122" i="3"/>
  <c r="E123" i="3" s="1"/>
  <c r="C121" i="3"/>
  <c r="I120" i="3"/>
  <c r="H120" i="3"/>
  <c r="I119" i="3"/>
  <c r="H119" i="3"/>
  <c r="E119" i="3"/>
  <c r="E120" i="3" s="1"/>
  <c r="F120" i="3" s="1"/>
  <c r="I118" i="3"/>
  <c r="H118" i="3"/>
  <c r="C118" i="3"/>
  <c r="S116" i="3"/>
  <c r="H116" i="3" s="1"/>
  <c r="C115" i="3"/>
  <c r="S113" i="3"/>
  <c r="I113" i="3"/>
  <c r="H113" i="3"/>
  <c r="H114" i="3" s="1"/>
  <c r="I114" i="3" s="1"/>
  <c r="E113" i="3"/>
  <c r="F113" i="3" s="1"/>
  <c r="C112" i="3"/>
  <c r="S110" i="3"/>
  <c r="R110" i="3"/>
  <c r="H110" i="3"/>
  <c r="H111" i="3" s="1"/>
  <c r="I111" i="3" s="1"/>
  <c r="E110" i="3"/>
  <c r="F110" i="3" s="1"/>
  <c r="C109" i="3"/>
  <c r="B109" i="3"/>
  <c r="J107" i="3"/>
  <c r="H107" i="3"/>
  <c r="G107" i="3"/>
  <c r="F107" i="3"/>
  <c r="I107" i="3" s="1"/>
  <c r="E107" i="3"/>
  <c r="J106" i="3"/>
  <c r="I106" i="3"/>
  <c r="H106" i="3"/>
  <c r="G106" i="3"/>
  <c r="F106" i="3"/>
  <c r="E106" i="3"/>
  <c r="H105" i="3"/>
  <c r="G105" i="3"/>
  <c r="J105" i="3" s="1"/>
  <c r="F105" i="3"/>
  <c r="I105" i="3" s="1"/>
  <c r="E105" i="3"/>
  <c r="C105" i="3"/>
  <c r="G104" i="3"/>
  <c r="J104" i="3" s="1"/>
  <c r="F104" i="3"/>
  <c r="I104" i="3" s="1"/>
  <c r="E104" i="3"/>
  <c r="H104" i="3" s="1"/>
  <c r="I103" i="3"/>
  <c r="G103" i="3"/>
  <c r="J103" i="3" s="1"/>
  <c r="F103" i="3"/>
  <c r="E103" i="3"/>
  <c r="H103" i="3" s="1"/>
  <c r="J102" i="3"/>
  <c r="I102" i="3"/>
  <c r="G102" i="3"/>
  <c r="F102" i="3"/>
  <c r="E102" i="3"/>
  <c r="H102" i="3" s="1"/>
  <c r="C102" i="3"/>
  <c r="I101" i="3"/>
  <c r="H101" i="3"/>
  <c r="G101" i="3"/>
  <c r="J101" i="3" s="1"/>
  <c r="F101" i="3"/>
  <c r="E101" i="3"/>
  <c r="I100" i="3"/>
  <c r="G100" i="3"/>
  <c r="J100" i="3" s="1"/>
  <c r="F100" i="3"/>
  <c r="E100" i="3"/>
  <c r="H100" i="3" s="1"/>
  <c r="J99" i="3"/>
  <c r="G99" i="3"/>
  <c r="F99" i="3"/>
  <c r="I99" i="3" s="1"/>
  <c r="E99" i="3"/>
  <c r="H99" i="3" s="1"/>
  <c r="C99" i="3"/>
  <c r="G98" i="3"/>
  <c r="J98" i="3" s="1"/>
  <c r="F98" i="3"/>
  <c r="I98" i="3" s="1"/>
  <c r="E98" i="3"/>
  <c r="H98" i="3" s="1"/>
  <c r="J97" i="3"/>
  <c r="G97" i="3"/>
  <c r="F97" i="3"/>
  <c r="I97" i="3" s="1"/>
  <c r="E97" i="3"/>
  <c r="H97" i="3" s="1"/>
  <c r="I96" i="3"/>
  <c r="H96" i="3"/>
  <c r="G96" i="3"/>
  <c r="J96" i="3" s="1"/>
  <c r="F96" i="3"/>
  <c r="E96" i="3"/>
  <c r="C96" i="3"/>
  <c r="G95" i="3"/>
  <c r="J95" i="3" s="1"/>
  <c r="F95" i="3"/>
  <c r="I95" i="3" s="1"/>
  <c r="E95" i="3"/>
  <c r="H95" i="3" s="1"/>
  <c r="G94" i="3"/>
  <c r="J94" i="3" s="1"/>
  <c r="F94" i="3"/>
  <c r="I94" i="3" s="1"/>
  <c r="E94" i="3"/>
  <c r="H94" i="3" s="1"/>
  <c r="G93" i="3"/>
  <c r="J93" i="3" s="1"/>
  <c r="F93" i="3"/>
  <c r="I93" i="3" s="1"/>
  <c r="E93" i="3"/>
  <c r="H93" i="3" s="1"/>
  <c r="C93" i="3"/>
  <c r="J92" i="3"/>
  <c r="G92" i="3"/>
  <c r="F92" i="3"/>
  <c r="I92" i="3" s="1"/>
  <c r="E92" i="3"/>
  <c r="H92" i="3" s="1"/>
  <c r="I91" i="3"/>
  <c r="H91" i="3"/>
  <c r="G91" i="3"/>
  <c r="J91" i="3" s="1"/>
  <c r="F91" i="3"/>
  <c r="E91" i="3"/>
  <c r="G90" i="3"/>
  <c r="J90" i="3" s="1"/>
  <c r="F90" i="3"/>
  <c r="I90" i="3" s="1"/>
  <c r="E90" i="3"/>
  <c r="H90" i="3" s="1"/>
  <c r="C90" i="3"/>
  <c r="C86" i="3"/>
  <c r="C83" i="3"/>
  <c r="C80" i="3"/>
  <c r="C77" i="3"/>
  <c r="C74" i="3"/>
  <c r="C71" i="3"/>
  <c r="C68" i="3"/>
  <c r="B68" i="3"/>
  <c r="E63" i="3"/>
  <c r="C62" i="3"/>
  <c r="C59" i="3"/>
  <c r="C56" i="3"/>
  <c r="E54" i="3"/>
  <c r="C53" i="3"/>
  <c r="C50" i="3"/>
  <c r="E48" i="3"/>
  <c r="C47" i="3"/>
  <c r="E45" i="3"/>
  <c r="C44" i="3"/>
  <c r="E42" i="3"/>
  <c r="C41" i="3"/>
  <c r="B41" i="3"/>
  <c r="M39" i="3"/>
  <c r="L39" i="3"/>
  <c r="K39" i="3"/>
  <c r="M38" i="3"/>
  <c r="L38" i="3"/>
  <c r="K38" i="3"/>
  <c r="M37" i="3"/>
  <c r="L37" i="3"/>
  <c r="K37" i="3"/>
  <c r="C37" i="3"/>
  <c r="M36" i="3"/>
  <c r="L36" i="3"/>
  <c r="K36" i="3"/>
  <c r="M35" i="3"/>
  <c r="L35" i="3"/>
  <c r="K35" i="3"/>
  <c r="M34" i="3"/>
  <c r="L34" i="3"/>
  <c r="K34" i="3"/>
  <c r="C34" i="3"/>
  <c r="M33" i="3"/>
  <c r="L33" i="3"/>
  <c r="K33" i="3"/>
  <c r="M32" i="3"/>
  <c r="L32" i="3"/>
  <c r="K32" i="3"/>
  <c r="M31" i="3"/>
  <c r="L31" i="3"/>
  <c r="K31" i="3"/>
  <c r="C31" i="3"/>
  <c r="M30" i="3"/>
  <c r="L30" i="3"/>
  <c r="K30" i="3"/>
  <c r="M29" i="3"/>
  <c r="L29" i="3"/>
  <c r="K29" i="3"/>
  <c r="M28" i="3"/>
  <c r="L28" i="3"/>
  <c r="K28" i="3"/>
  <c r="C28" i="3"/>
  <c r="M27" i="3"/>
  <c r="L27" i="3"/>
  <c r="K27" i="3"/>
  <c r="M26" i="3"/>
  <c r="L26" i="3"/>
  <c r="K26" i="3"/>
  <c r="M25" i="3"/>
  <c r="L25" i="3"/>
  <c r="K25" i="3"/>
  <c r="C25" i="3"/>
  <c r="M24" i="3"/>
  <c r="L24" i="3"/>
  <c r="K24" i="3"/>
  <c r="M23" i="3"/>
  <c r="L23" i="3"/>
  <c r="K23" i="3"/>
  <c r="M22" i="3"/>
  <c r="L22" i="3"/>
  <c r="K22" i="3"/>
  <c r="C22" i="3"/>
  <c r="B22" i="3"/>
  <c r="M20" i="3"/>
  <c r="L20" i="3"/>
  <c r="K20" i="3"/>
  <c r="J20" i="3"/>
  <c r="I20" i="3"/>
  <c r="H20" i="3"/>
  <c r="M19" i="3"/>
  <c r="L19" i="3"/>
  <c r="K19" i="3"/>
  <c r="J19" i="3"/>
  <c r="I19" i="3"/>
  <c r="H19" i="3"/>
  <c r="M18" i="3"/>
  <c r="L18" i="3"/>
  <c r="K18" i="3"/>
  <c r="J18" i="3"/>
  <c r="I18" i="3"/>
  <c r="H18" i="3"/>
  <c r="C18" i="3"/>
  <c r="M17" i="3"/>
  <c r="L17" i="3"/>
  <c r="K17" i="3"/>
  <c r="J17" i="3"/>
  <c r="I17" i="3"/>
  <c r="H17" i="3"/>
  <c r="M16" i="3"/>
  <c r="L16" i="3"/>
  <c r="K16" i="3"/>
  <c r="J16" i="3"/>
  <c r="I16" i="3"/>
  <c r="H16" i="3"/>
  <c r="M15" i="3"/>
  <c r="L15" i="3"/>
  <c r="K15" i="3"/>
  <c r="J15" i="3"/>
  <c r="I15" i="3"/>
  <c r="H15" i="3"/>
  <c r="C15" i="3"/>
  <c r="M14" i="3"/>
  <c r="L14" i="3"/>
  <c r="K14" i="3"/>
  <c r="J14" i="3"/>
  <c r="I14" i="3"/>
  <c r="H14" i="3"/>
  <c r="M13" i="3"/>
  <c r="L13" i="3"/>
  <c r="K13" i="3"/>
  <c r="J13" i="3"/>
  <c r="I13" i="3"/>
  <c r="H13" i="3"/>
  <c r="M12" i="3"/>
  <c r="L12" i="3"/>
  <c r="K12" i="3"/>
  <c r="J12" i="3"/>
  <c r="I12" i="3"/>
  <c r="H12" i="3"/>
  <c r="C12" i="3"/>
  <c r="M11" i="3"/>
  <c r="L11" i="3"/>
  <c r="K11" i="3"/>
  <c r="J11" i="3"/>
  <c r="I11" i="3"/>
  <c r="H11" i="3"/>
  <c r="M10" i="3"/>
  <c r="L10" i="3"/>
  <c r="K10" i="3"/>
  <c r="J10" i="3"/>
  <c r="I10" i="3"/>
  <c r="H10" i="3"/>
  <c r="M9" i="3"/>
  <c r="L9" i="3"/>
  <c r="K9" i="3"/>
  <c r="J9" i="3"/>
  <c r="I9" i="3"/>
  <c r="H9" i="3"/>
  <c r="C9" i="3"/>
  <c r="M8" i="3"/>
  <c r="L8" i="3"/>
  <c r="K8" i="3"/>
  <c r="J8" i="3"/>
  <c r="I8" i="3"/>
  <c r="H8" i="3"/>
  <c r="M7" i="3"/>
  <c r="L7" i="3"/>
  <c r="K7" i="3"/>
  <c r="J7" i="3"/>
  <c r="I7" i="3"/>
  <c r="H7" i="3"/>
  <c r="M6" i="3"/>
  <c r="L6" i="3"/>
  <c r="K6" i="3"/>
  <c r="J6" i="3"/>
  <c r="I6" i="3"/>
  <c r="H6" i="3"/>
  <c r="C6" i="3"/>
  <c r="M5" i="3"/>
  <c r="L5" i="3"/>
  <c r="K5" i="3"/>
  <c r="J5" i="3"/>
  <c r="I5" i="3"/>
  <c r="H5" i="3"/>
  <c r="M4" i="3"/>
  <c r="L4" i="3"/>
  <c r="K4" i="3"/>
  <c r="J4" i="3"/>
  <c r="I4" i="3"/>
  <c r="H4" i="3"/>
  <c r="M3" i="3"/>
  <c r="L3" i="3"/>
  <c r="K3" i="3"/>
  <c r="J3" i="3"/>
  <c r="I3" i="3"/>
  <c r="H3" i="3"/>
  <c r="C3" i="3"/>
  <c r="B3" i="3"/>
  <c r="AE100" i="2"/>
  <c r="AJ23" i="2"/>
  <c r="AG23" i="2"/>
  <c r="AG22" i="2"/>
  <c r="AL22" i="2" s="1"/>
  <c r="AG21" i="2"/>
  <c r="AL21" i="2" s="1"/>
  <c r="AK20" i="2"/>
  <c r="AG20" i="2"/>
  <c r="AG19" i="2"/>
  <c r="AL19" i="2" s="1"/>
  <c r="AG18" i="2"/>
  <c r="AL18" i="2" s="1"/>
  <c r="AG17" i="2"/>
  <c r="AL17" i="2" s="1"/>
  <c r="AG16" i="2"/>
  <c r="AL16" i="2" s="1"/>
  <c r="AG15" i="2"/>
  <c r="AL15" i="2" s="1"/>
  <c r="AK14" i="2"/>
  <c r="AK40" i="2"/>
  <c r="AE40" i="2"/>
  <c r="AD12" i="2"/>
  <c r="AG10" i="2"/>
  <c r="AD9" i="2"/>
  <c r="AK8" i="2"/>
  <c r="AH6" i="2"/>
  <c r="AK6" i="2" s="1"/>
  <c r="AK5" i="2"/>
  <c r="AH4" i="2"/>
  <c r="AL4" i="2" s="1"/>
  <c r="AL3" i="2"/>
  <c r="AD3" i="2"/>
  <c r="AD103" i="16" l="1"/>
  <c r="AD43" i="16"/>
  <c r="AD44" i="16"/>
  <c r="AD92" i="16"/>
  <c r="AD6" i="16"/>
  <c r="AD22" i="16"/>
  <c r="AE22" i="16" s="1"/>
  <c r="AD100" i="16"/>
  <c r="AE100" i="16" s="1"/>
  <c r="AD23" i="16"/>
  <c r="AE23" i="16" s="1"/>
  <c r="AD30" i="16"/>
  <c r="AE30" i="16" s="1"/>
  <c r="AD57" i="16"/>
  <c r="AD87" i="16"/>
  <c r="AE87" i="16" s="1"/>
  <c r="CX18" i="16"/>
  <c r="CX33" i="16"/>
  <c r="CX35" i="16"/>
  <c r="CX53" i="16"/>
  <c r="CX15" i="16"/>
  <c r="CX80" i="16"/>
  <c r="CX75" i="16"/>
  <c r="CX56" i="16"/>
  <c r="CX30" i="16"/>
  <c r="CX42" i="16"/>
  <c r="CX78" i="16"/>
  <c r="CX100" i="16"/>
  <c r="CX27" i="16"/>
  <c r="DA33" i="16"/>
  <c r="DA36" i="16"/>
  <c r="DA57" i="16"/>
  <c r="DA70" i="16"/>
  <c r="DA29" i="16"/>
  <c r="DA86" i="16"/>
  <c r="DA73" i="16"/>
  <c r="DA98" i="16"/>
  <c r="DA38" i="16"/>
  <c r="DA51" i="16"/>
  <c r="DA23" i="16"/>
  <c r="AD75" i="16"/>
  <c r="AE75" i="16" s="1"/>
  <c r="AD31" i="16"/>
  <c r="AE31" i="16" s="1"/>
  <c r="AD35" i="16"/>
  <c r="AE35" i="16" s="1"/>
  <c r="AD74" i="16"/>
  <c r="AE74" i="16" s="1"/>
  <c r="AD13" i="16"/>
  <c r="AE13" i="16" s="1"/>
  <c r="AD51" i="16"/>
  <c r="AE51" i="16" s="1"/>
  <c r="AD70" i="16"/>
  <c r="AE70" i="16" s="1"/>
  <c r="AD83" i="16"/>
  <c r="AE83" i="16" s="1"/>
  <c r="AD16" i="16"/>
  <c r="AE16" i="16" s="1"/>
  <c r="AD68" i="16"/>
  <c r="AE68" i="16" s="1"/>
  <c r="AD96" i="16"/>
  <c r="AE96" i="16" s="1"/>
  <c r="AD15" i="16"/>
  <c r="AE15" i="16" s="1"/>
  <c r="AD24" i="16"/>
  <c r="AE24" i="16" s="1"/>
  <c r="CX31" i="16"/>
  <c r="CX39" i="16"/>
  <c r="CX36" i="16"/>
  <c r="CX101" i="16"/>
  <c r="CX13" i="16"/>
  <c r="CX61" i="16"/>
  <c r="CX76" i="16"/>
  <c r="CX67" i="16"/>
  <c r="CX48" i="16"/>
  <c r="CX62" i="16"/>
  <c r="CX94" i="16"/>
  <c r="CX82" i="16"/>
  <c r="DA18" i="16"/>
  <c r="DA34" i="16"/>
  <c r="DA49" i="16"/>
  <c r="DA52" i="16"/>
  <c r="DA44" i="16"/>
  <c r="DA58" i="16"/>
  <c r="DA103" i="16"/>
  <c r="DA90" i="16"/>
  <c r="DA10" i="16"/>
  <c r="DA47" i="16"/>
  <c r="DA65" i="16"/>
  <c r="DA24" i="16"/>
  <c r="AD73" i="16"/>
  <c r="AD50" i="16"/>
  <c r="AD95" i="16"/>
  <c r="AD91" i="16"/>
  <c r="AE91" i="16" s="1"/>
  <c r="AD27" i="16"/>
  <c r="AD46" i="16"/>
  <c r="AE46" i="16" s="1"/>
  <c r="AD40" i="16"/>
  <c r="AE40" i="16" s="1"/>
  <c r="AD41" i="16"/>
  <c r="AD61" i="16"/>
  <c r="AE61" i="16" s="1"/>
  <c r="AD81" i="16"/>
  <c r="AE81" i="16" s="1"/>
  <c r="AD3" i="16"/>
  <c r="AD19" i="16"/>
  <c r="AE19" i="16" s="1"/>
  <c r="CX8" i="16"/>
  <c r="CX34" i="16"/>
  <c r="DB34" i="16" s="1"/>
  <c r="CX93" i="16"/>
  <c r="CX43" i="16"/>
  <c r="CX37" i="16"/>
  <c r="CX77" i="16"/>
  <c r="CX85" i="16"/>
  <c r="CX50" i="16"/>
  <c r="CX74" i="16"/>
  <c r="CX41" i="16"/>
  <c r="CX46" i="16"/>
  <c r="DA31" i="16"/>
  <c r="DA20" i="16"/>
  <c r="DA40" i="16"/>
  <c r="DA99" i="16"/>
  <c r="DA60" i="16"/>
  <c r="DA63" i="16"/>
  <c r="DA84" i="16"/>
  <c r="DA68" i="16"/>
  <c r="DA91" i="16"/>
  <c r="DA45" i="16"/>
  <c r="DA55" i="16"/>
  <c r="DA95" i="16"/>
  <c r="AD45" i="16"/>
  <c r="AE45" i="16" s="1"/>
  <c r="AD42" i="16"/>
  <c r="AD39" i="16"/>
  <c r="AE39" i="16" s="1"/>
  <c r="AD48" i="16"/>
  <c r="AE48" i="16" s="1"/>
  <c r="AD25" i="16"/>
  <c r="AE25" i="16" s="1"/>
  <c r="AD54" i="16"/>
  <c r="AD21" i="16"/>
  <c r="AE21" i="16" s="1"/>
  <c r="AD59" i="16"/>
  <c r="AE59" i="16" s="1"/>
  <c r="AD80" i="16"/>
  <c r="AE80" i="16" s="1"/>
  <c r="AD67" i="16"/>
  <c r="AD77" i="16"/>
  <c r="AE77" i="16" s="1"/>
  <c r="AD26" i="16"/>
  <c r="AE26" i="16" s="1"/>
  <c r="CX20" i="16"/>
  <c r="CX25" i="16"/>
  <c r="CX97" i="16"/>
  <c r="CX71" i="16"/>
  <c r="CX92" i="16"/>
  <c r="CX66" i="16"/>
  <c r="CX81" i="16"/>
  <c r="CX72" i="16"/>
  <c r="CX69" i="16"/>
  <c r="CX83" i="16"/>
  <c r="CX54" i="16"/>
  <c r="DA8" i="16"/>
  <c r="DA22" i="16"/>
  <c r="DA89" i="16"/>
  <c r="DA19" i="16"/>
  <c r="DA79" i="16"/>
  <c r="DA64" i="16"/>
  <c r="DA87" i="16"/>
  <c r="DA102" i="16"/>
  <c r="DA96" i="16"/>
  <c r="DA59" i="16"/>
  <c r="DA21" i="16"/>
  <c r="DA88" i="16"/>
  <c r="AD65" i="16"/>
  <c r="AE65" i="16" s="1"/>
  <c r="AD101" i="16"/>
  <c r="AE101" i="16" s="1"/>
  <c r="AD64" i="16"/>
  <c r="AD78" i="16"/>
  <c r="AD93" i="16"/>
  <c r="AD98" i="16"/>
  <c r="AD94" i="16"/>
  <c r="AE94" i="16" s="1"/>
  <c r="AD11" i="16"/>
  <c r="AE11" i="16" s="1"/>
  <c r="AD8" i="16"/>
  <c r="AE8" i="16" s="1"/>
  <c r="AD56" i="16"/>
  <c r="AE56" i="16" s="1"/>
  <c r="AD76" i="16"/>
  <c r="AE76" i="16" s="1"/>
  <c r="AD49" i="16"/>
  <c r="AE49" i="16" s="1"/>
  <c r="CX17" i="16"/>
  <c r="CX22" i="16"/>
  <c r="DB22" i="16" s="1"/>
  <c r="CX23" i="16"/>
  <c r="CX57" i="16"/>
  <c r="CX70" i="16"/>
  <c r="CX29" i="16"/>
  <c r="CX86" i="16"/>
  <c r="CX73" i="16"/>
  <c r="CX98" i="16"/>
  <c r="CX38" i="16"/>
  <c r="CX51" i="16"/>
  <c r="DA6" i="16"/>
  <c r="DA53" i="16"/>
  <c r="DA15" i="16"/>
  <c r="DA80" i="16"/>
  <c r="DA75" i="16"/>
  <c r="DA56" i="16"/>
  <c r="DA30" i="16"/>
  <c r="DA42" i="16"/>
  <c r="DA78" i="16"/>
  <c r="DA100" i="16"/>
  <c r="DA27" i="16"/>
  <c r="DA26" i="16"/>
  <c r="AD89" i="16"/>
  <c r="AE89" i="16" s="1"/>
  <c r="AD34" i="16"/>
  <c r="AE34" i="16" s="1"/>
  <c r="AD33" i="16"/>
  <c r="AE33" i="16" s="1"/>
  <c r="AD63" i="16"/>
  <c r="AD90" i="16"/>
  <c r="AE90" i="16" s="1"/>
  <c r="AD88" i="16"/>
  <c r="AD71" i="16"/>
  <c r="AE71" i="16" s="1"/>
  <c r="AD55" i="16"/>
  <c r="AE55" i="16" s="1"/>
  <c r="AD17" i="16"/>
  <c r="AE17" i="16" s="1"/>
  <c r="AD79" i="16"/>
  <c r="AD20" i="16"/>
  <c r="AE20" i="16" s="1"/>
  <c r="AD9" i="16"/>
  <c r="AE9" i="16" s="1"/>
  <c r="AD99" i="16"/>
  <c r="AE99" i="16" s="1"/>
  <c r="CX16" i="16"/>
  <c r="CX6" i="16"/>
  <c r="CX24" i="16"/>
  <c r="CX49" i="16"/>
  <c r="CX52" i="16"/>
  <c r="CX44" i="16"/>
  <c r="CX58" i="16"/>
  <c r="CX103" i="16"/>
  <c r="CX90" i="16"/>
  <c r="CX10" i="16"/>
  <c r="CX47" i="16"/>
  <c r="CX65" i="16"/>
  <c r="DA17" i="16"/>
  <c r="DA11" i="16"/>
  <c r="DA101" i="16"/>
  <c r="DA13" i="16"/>
  <c r="DA61" i="16"/>
  <c r="DA76" i="16"/>
  <c r="DA67" i="16"/>
  <c r="DA48" i="16"/>
  <c r="DA62" i="16"/>
  <c r="DA94" i="16"/>
  <c r="DA82" i="16"/>
  <c r="DA25" i="16"/>
  <c r="AD82" i="16"/>
  <c r="AE82" i="16" s="1"/>
  <c r="AD36" i="16"/>
  <c r="AE36" i="16" s="1"/>
  <c r="AD84" i="16"/>
  <c r="AD72" i="16"/>
  <c r="AE72" i="16" s="1"/>
  <c r="AD53" i="16"/>
  <c r="AD5" i="16"/>
  <c r="AD47" i="16"/>
  <c r="AD69" i="16"/>
  <c r="AE69" i="16" s="1"/>
  <c r="AD52" i="16"/>
  <c r="AE52" i="16" s="1"/>
  <c r="AD58" i="16"/>
  <c r="AE58" i="16" s="1"/>
  <c r="AD29" i="16"/>
  <c r="AE29" i="16" s="1"/>
  <c r="AD10" i="16"/>
  <c r="AE10" i="16" s="1"/>
  <c r="CX26" i="16"/>
  <c r="CX11" i="16"/>
  <c r="CX40" i="16"/>
  <c r="CX99" i="16"/>
  <c r="CX60" i="16"/>
  <c r="CX63" i="16"/>
  <c r="CX84" i="16"/>
  <c r="CX68" i="16"/>
  <c r="CX91" i="16"/>
  <c r="CX45" i="16"/>
  <c r="CX55" i="16"/>
  <c r="CX95" i="16"/>
  <c r="DA16" i="16"/>
  <c r="DA32" i="16"/>
  <c r="DA93" i="16"/>
  <c r="DA43" i="16"/>
  <c r="DA37" i="16"/>
  <c r="DA77" i="16"/>
  <c r="DA85" i="16"/>
  <c r="DA50" i="16"/>
  <c r="DA74" i="16"/>
  <c r="DA41" i="16"/>
  <c r="DA46" i="16"/>
  <c r="DA39" i="16"/>
  <c r="DB39" i="16" s="1"/>
  <c r="AD102" i="16"/>
  <c r="AD85" i="16"/>
  <c r="AE85" i="16" s="1"/>
  <c r="AD37" i="16"/>
  <c r="AD32" i="16"/>
  <c r="AE32" i="16" s="1"/>
  <c r="AD66" i="16"/>
  <c r="AD97" i="16"/>
  <c r="AE97" i="16" s="1"/>
  <c r="AD38" i="16"/>
  <c r="AE38" i="16" s="1"/>
  <c r="AD62" i="16"/>
  <c r="AE62" i="16" s="1"/>
  <c r="AD86" i="16"/>
  <c r="AE86" i="16" s="1"/>
  <c r="AD60" i="16"/>
  <c r="AE60" i="16" s="1"/>
  <c r="AD18" i="16"/>
  <c r="AE18" i="16" s="1"/>
  <c r="CX9" i="16"/>
  <c r="CX32" i="16"/>
  <c r="CX89" i="16"/>
  <c r="CX19" i="16"/>
  <c r="CX79" i="16"/>
  <c r="CX64" i="16"/>
  <c r="CX87" i="16"/>
  <c r="CX102" i="16"/>
  <c r="CX96" i="16"/>
  <c r="CX59" i="16"/>
  <c r="CX21" i="16"/>
  <c r="CX88" i="16"/>
  <c r="DA9" i="16"/>
  <c r="DA35" i="16"/>
  <c r="DA97" i="16"/>
  <c r="DA71" i="16"/>
  <c r="DA92" i="16"/>
  <c r="DA66" i="16"/>
  <c r="DA81" i="16"/>
  <c r="DA72" i="16"/>
  <c r="DA69" i="16"/>
  <c r="DA83" i="16"/>
  <c r="DA54" i="16"/>
  <c r="CL58" i="16"/>
  <c r="CL11" i="16"/>
  <c r="CL13" i="16"/>
  <c r="CL81" i="16"/>
  <c r="CL22" i="16"/>
  <c r="CL9" i="16"/>
  <c r="CL25" i="16"/>
  <c r="CL43" i="16"/>
  <c r="CL42" i="16"/>
  <c r="CL15" i="16"/>
  <c r="CL100" i="16"/>
  <c r="CL41" i="16"/>
  <c r="CL38" i="16"/>
  <c r="CL68" i="16"/>
  <c r="CL88" i="16"/>
  <c r="CL97" i="16"/>
  <c r="CL6" i="16"/>
  <c r="CL31" i="16"/>
  <c r="CL23" i="16"/>
  <c r="CL44" i="16"/>
  <c r="CL65" i="16"/>
  <c r="CL55" i="16"/>
  <c r="CL76" i="16"/>
  <c r="CL90" i="16"/>
  <c r="CL84" i="16"/>
  <c r="CL60" i="16"/>
  <c r="CL86" i="16"/>
  <c r="CL98" i="16"/>
  <c r="CL16" i="16"/>
  <c r="CL32" i="16"/>
  <c r="CL24" i="16"/>
  <c r="CL45" i="16"/>
  <c r="CL19" i="16"/>
  <c r="CL54" i="16"/>
  <c r="CL62" i="16"/>
  <c r="CL91" i="16"/>
  <c r="CL49" i="16"/>
  <c r="CL79" i="16"/>
  <c r="CL89" i="16"/>
  <c r="CL17" i="16"/>
  <c r="CL33" i="16"/>
  <c r="CL40" i="16"/>
  <c r="CL30" i="16"/>
  <c r="CL46" i="16"/>
  <c r="CL27" i="16"/>
  <c r="CL53" i="16"/>
  <c r="CL74" i="16"/>
  <c r="CL51" i="16"/>
  <c r="CL80" i="16"/>
  <c r="CL101" i="16"/>
  <c r="CL39" i="16"/>
  <c r="CL48" i="16"/>
  <c r="CL71" i="16"/>
  <c r="CL47" i="16"/>
  <c r="CL21" i="16"/>
  <c r="CL70" i="16"/>
  <c r="CL57" i="16"/>
  <c r="CL96" i="16"/>
  <c r="CL61" i="16"/>
  <c r="CL93" i="16"/>
  <c r="CL20" i="16"/>
  <c r="CL35" i="16"/>
  <c r="CL29" i="16"/>
  <c r="CL63" i="16"/>
  <c r="CL37" i="16"/>
  <c r="CL85" i="16"/>
  <c r="CL64" i="16"/>
  <c r="CL67" i="16"/>
  <c r="CL92" i="16"/>
  <c r="CL87" i="16"/>
  <c r="CL103" i="16"/>
  <c r="CL8" i="16"/>
  <c r="CL26" i="16"/>
  <c r="CL36" i="16"/>
  <c r="CL10" i="16"/>
  <c r="CL72" i="16"/>
  <c r="CL59" i="16"/>
  <c r="CL56" i="16"/>
  <c r="CL75" i="16"/>
  <c r="CL69" i="16"/>
  <c r="CL83" i="16"/>
  <c r="CL77" i="16"/>
  <c r="CL102" i="16"/>
  <c r="CL18" i="16"/>
  <c r="CL34" i="16"/>
  <c r="CL50" i="16"/>
  <c r="CL73" i="16"/>
  <c r="CL78" i="16"/>
  <c r="CL52" i="16"/>
  <c r="CL66" i="16"/>
  <c r="CL82" i="16"/>
  <c r="CL95" i="16"/>
  <c r="CL94" i="16"/>
  <c r="CL99" i="16"/>
  <c r="AD12" i="16"/>
  <c r="L15" i="23"/>
  <c r="AD7" i="16"/>
  <c r="F15" i="23"/>
  <c r="AD14" i="16"/>
  <c r="J15" i="23"/>
  <c r="AD4" i="16"/>
  <c r="D15" i="23"/>
  <c r="AD28" i="16"/>
  <c r="H15" i="23"/>
  <c r="AH28" i="16"/>
  <c r="H17" i="23"/>
  <c r="AH4" i="16"/>
  <c r="D17" i="23"/>
  <c r="AH14" i="16"/>
  <c r="J17" i="23"/>
  <c r="AH7" i="16"/>
  <c r="F17" i="23"/>
  <c r="AH12" i="16"/>
  <c r="L17" i="23"/>
  <c r="O28" i="16"/>
  <c r="H10" i="23"/>
  <c r="O4" i="16"/>
  <c r="D10" i="23"/>
  <c r="O14" i="16"/>
  <c r="J10" i="23"/>
  <c r="O7" i="16"/>
  <c r="F10" i="23"/>
  <c r="O12" i="16"/>
  <c r="L10" i="23"/>
  <c r="CR4" i="16"/>
  <c r="D40" i="23"/>
  <c r="CR7" i="16"/>
  <c r="F40" i="23"/>
  <c r="CR14" i="16"/>
  <c r="J40" i="23"/>
  <c r="CR28" i="16"/>
  <c r="H40" i="23"/>
  <c r="CR12" i="16"/>
  <c r="L40" i="23"/>
  <c r="CU4" i="16"/>
  <c r="D41" i="23"/>
  <c r="CU7" i="16"/>
  <c r="F41" i="23"/>
  <c r="CU14" i="16"/>
  <c r="J41" i="23"/>
  <c r="CU28" i="16"/>
  <c r="H41" i="23"/>
  <c r="CU12" i="16"/>
  <c r="L41" i="23"/>
  <c r="CX4" i="16"/>
  <c r="D42" i="23"/>
  <c r="CX7" i="16"/>
  <c r="F42" i="23"/>
  <c r="CX14" i="16"/>
  <c r="J42" i="23"/>
  <c r="CX28" i="16"/>
  <c r="H42" i="23"/>
  <c r="CX12" i="16"/>
  <c r="L42" i="23"/>
  <c r="DA7" i="16"/>
  <c r="F43" i="23"/>
  <c r="DA28" i="16"/>
  <c r="H43" i="23"/>
  <c r="DA12" i="16"/>
  <c r="L43" i="23"/>
  <c r="CZ4" i="16" a="1"/>
  <c r="CZ4" i="16" s="1"/>
  <c r="C43" i="23"/>
  <c r="CZ14" i="16" a="1"/>
  <c r="CZ14" i="16" s="1"/>
  <c r="AA12" i="16"/>
  <c r="L14" i="23"/>
  <c r="AA14" i="16"/>
  <c r="J14" i="23"/>
  <c r="AA4" i="16"/>
  <c r="D14" i="23"/>
  <c r="AA28" i="16"/>
  <c r="H14" i="23"/>
  <c r="AA7" i="16"/>
  <c r="F14" i="23"/>
  <c r="AR7" i="16"/>
  <c r="F20" i="23"/>
  <c r="AR28" i="16"/>
  <c r="H20" i="23"/>
  <c r="AR4" i="16"/>
  <c r="D20" i="23"/>
  <c r="AR14" i="16"/>
  <c r="J20" i="23"/>
  <c r="AR12" i="16"/>
  <c r="L20" i="23"/>
  <c r="AU7" i="16"/>
  <c r="F21" i="23"/>
  <c r="AU28" i="16"/>
  <c r="H21" i="23"/>
  <c r="AU4" i="16"/>
  <c r="D21" i="23"/>
  <c r="AU14" i="16"/>
  <c r="J21" i="23"/>
  <c r="AU12" i="16"/>
  <c r="L21" i="23"/>
  <c r="AX7" i="16"/>
  <c r="F22" i="23"/>
  <c r="F27" i="23"/>
  <c r="AX28" i="16"/>
  <c r="H22" i="23"/>
  <c r="H27" i="23"/>
  <c r="AX4" i="16"/>
  <c r="D27" i="23"/>
  <c r="D22" i="23"/>
  <c r="AX14" i="16"/>
  <c r="J22" i="23"/>
  <c r="J27" i="23"/>
  <c r="AX12" i="16"/>
  <c r="L22" i="23"/>
  <c r="L27" i="23"/>
  <c r="BA7" i="16"/>
  <c r="F23" i="23"/>
  <c r="BA28" i="16"/>
  <c r="H23" i="23"/>
  <c r="BA4" i="16"/>
  <c r="D23" i="23"/>
  <c r="BA14" i="16"/>
  <c r="J23" i="23"/>
  <c r="BA12" i="16"/>
  <c r="L23" i="23"/>
  <c r="BD7" i="16"/>
  <c r="F24" i="23"/>
  <c r="BD28" i="16"/>
  <c r="H24" i="23"/>
  <c r="BD4" i="16"/>
  <c r="D24" i="23"/>
  <c r="BD14" i="16"/>
  <c r="J24" i="23"/>
  <c r="BD12" i="16"/>
  <c r="L24" i="23"/>
  <c r="BG7" i="16"/>
  <c r="F25" i="23"/>
  <c r="BG28" i="16"/>
  <c r="H25" i="23"/>
  <c r="BG4" i="16"/>
  <c r="D25" i="23"/>
  <c r="BG14" i="16"/>
  <c r="J25" i="23"/>
  <c r="BG12" i="16"/>
  <c r="L25" i="23"/>
  <c r="BN7" i="16"/>
  <c r="F28" i="23"/>
  <c r="BN28" i="16"/>
  <c r="H28" i="23"/>
  <c r="BN4" i="16"/>
  <c r="D28" i="23"/>
  <c r="BN14" i="16"/>
  <c r="J28" i="23"/>
  <c r="BN12" i="16"/>
  <c r="L28" i="23"/>
  <c r="BQ7" i="16"/>
  <c r="F29" i="23"/>
  <c r="BQ28" i="16"/>
  <c r="H29" i="23"/>
  <c r="BQ4" i="16"/>
  <c r="D29" i="23"/>
  <c r="BQ14" i="16"/>
  <c r="J29" i="23"/>
  <c r="BQ12" i="16"/>
  <c r="L29" i="23"/>
  <c r="BU7" i="16"/>
  <c r="F31" i="23"/>
  <c r="BU28" i="16"/>
  <c r="H31" i="23"/>
  <c r="BU4" i="16"/>
  <c r="D31" i="23"/>
  <c r="BU14" i="16"/>
  <c r="J31" i="23"/>
  <c r="BU12" i="16"/>
  <c r="L31" i="23"/>
  <c r="BX7" i="16"/>
  <c r="F32" i="23"/>
  <c r="BX28" i="16"/>
  <c r="H32" i="23"/>
  <c r="BX4" i="16"/>
  <c r="D32" i="23"/>
  <c r="BX14" i="16"/>
  <c r="J32" i="23"/>
  <c r="BX12" i="16"/>
  <c r="L32" i="23"/>
  <c r="CA7" i="16"/>
  <c r="F33" i="23"/>
  <c r="CA28" i="16"/>
  <c r="H33" i="23"/>
  <c r="CA4" i="16"/>
  <c r="D33" i="23"/>
  <c r="CA14" i="16"/>
  <c r="J33" i="23"/>
  <c r="CA12" i="16"/>
  <c r="L33" i="23"/>
  <c r="CD7" i="16"/>
  <c r="F34" i="23"/>
  <c r="CD28" i="16"/>
  <c r="H34" i="23"/>
  <c r="CD4" i="16"/>
  <c r="D34" i="23"/>
  <c r="CD14" i="16"/>
  <c r="J34" i="23"/>
  <c r="CD12" i="16"/>
  <c r="L34" i="23"/>
  <c r="CH7" i="16"/>
  <c r="F36" i="23"/>
  <c r="CH28" i="16"/>
  <c r="H36" i="23"/>
  <c r="CH4" i="16"/>
  <c r="D36" i="23"/>
  <c r="CH14" i="16"/>
  <c r="J36" i="23"/>
  <c r="CK7" i="16"/>
  <c r="F37" i="23"/>
  <c r="CK28" i="16"/>
  <c r="H37" i="23"/>
  <c r="CK4" i="16"/>
  <c r="D37" i="23"/>
  <c r="CK14" i="16"/>
  <c r="CL14" i="16" s="1"/>
  <c r="J37" i="23"/>
  <c r="CK12" i="16"/>
  <c r="CL12" i="16" s="1"/>
  <c r="L37" i="23"/>
  <c r="CO7" i="16"/>
  <c r="F39" i="23"/>
  <c r="CO28" i="16"/>
  <c r="H39" i="23"/>
  <c r="CO4" i="16"/>
  <c r="D39" i="23"/>
  <c r="CO14" i="16"/>
  <c r="J39" i="23"/>
  <c r="CO12" i="16"/>
  <c r="L39" i="23"/>
  <c r="DE7" i="16"/>
  <c r="F45" i="23"/>
  <c r="DE28" i="16"/>
  <c r="H45" i="23"/>
  <c r="DE4" i="16"/>
  <c r="D45" i="23"/>
  <c r="DE14" i="16"/>
  <c r="J45" i="23"/>
  <c r="DE12" i="16"/>
  <c r="L45" i="23"/>
  <c r="L18" i="23"/>
  <c r="K18" i="23"/>
  <c r="AL28" i="16"/>
  <c r="H18" i="23"/>
  <c r="G18" i="23"/>
  <c r="AL14" i="16"/>
  <c r="J18" i="23"/>
  <c r="I18" i="23"/>
  <c r="AL7" i="16"/>
  <c r="F18" i="23"/>
  <c r="E18" i="23"/>
  <c r="AL4" i="16"/>
  <c r="C18" i="23"/>
  <c r="D18" i="23"/>
  <c r="DH12" i="16"/>
  <c r="L46" i="23"/>
  <c r="DH14" i="16"/>
  <c r="J46" i="23"/>
  <c r="DH28" i="16"/>
  <c r="H46" i="23"/>
  <c r="DH4" i="16"/>
  <c r="D46" i="23"/>
  <c r="DH7" i="16"/>
  <c r="F46" i="23"/>
  <c r="DN12" i="16"/>
  <c r="L48" i="23"/>
  <c r="DN14" i="16"/>
  <c r="J48" i="23"/>
  <c r="DN28" i="16"/>
  <c r="H48" i="23"/>
  <c r="DN4" i="16"/>
  <c r="D48" i="23"/>
  <c r="DN7" i="16"/>
  <c r="F48" i="23"/>
  <c r="DQ12" i="16"/>
  <c r="L49" i="23"/>
  <c r="DQ14" i="16"/>
  <c r="J49" i="23"/>
  <c r="DQ28" i="16"/>
  <c r="H49" i="23"/>
  <c r="DQ4" i="16"/>
  <c r="D49" i="23"/>
  <c r="DQ7" i="16"/>
  <c r="F49" i="23"/>
  <c r="DT12" i="16"/>
  <c r="L50" i="23"/>
  <c r="DT14" i="16"/>
  <c r="J50" i="23"/>
  <c r="DT28" i="16"/>
  <c r="H50" i="23"/>
  <c r="DT4" i="16"/>
  <c r="D50" i="23"/>
  <c r="DT7" i="16"/>
  <c r="F50" i="23"/>
  <c r="S7" i="16"/>
  <c r="F11" i="23"/>
  <c r="S4" i="16"/>
  <c r="D11" i="23"/>
  <c r="S28" i="16"/>
  <c r="H11" i="23"/>
  <c r="S14" i="16"/>
  <c r="J11" i="23"/>
  <c r="S12" i="16"/>
  <c r="L11" i="23"/>
  <c r="W7" i="16"/>
  <c r="F12" i="23"/>
  <c r="W4" i="16"/>
  <c r="D12" i="23"/>
  <c r="W12" i="16"/>
  <c r="L12" i="23"/>
  <c r="W14" i="16"/>
  <c r="J12" i="23"/>
  <c r="W28" i="16"/>
  <c r="H12" i="23"/>
  <c r="H9" i="23"/>
  <c r="L9" i="23"/>
  <c r="J9" i="23"/>
  <c r="F9" i="23"/>
  <c r="D9" i="23"/>
  <c r="L89" i="16"/>
  <c r="L82" i="16"/>
  <c r="L102" i="16"/>
  <c r="L103" i="16"/>
  <c r="L75" i="16"/>
  <c r="L73" i="16"/>
  <c r="L45" i="16"/>
  <c r="L65" i="16"/>
  <c r="L34" i="16"/>
  <c r="L36" i="16"/>
  <c r="L85" i="16"/>
  <c r="L43" i="16"/>
  <c r="L31" i="16"/>
  <c r="L50" i="16"/>
  <c r="L42" i="16"/>
  <c r="L101" i="16"/>
  <c r="L33" i="16"/>
  <c r="L84" i="16"/>
  <c r="L37" i="16"/>
  <c r="L44" i="16"/>
  <c r="L35" i="16"/>
  <c r="L95" i="16"/>
  <c r="L39" i="16"/>
  <c r="L64" i="16"/>
  <c r="L63" i="16"/>
  <c r="L72" i="16"/>
  <c r="L32" i="16"/>
  <c r="L92" i="16"/>
  <c r="L74" i="16"/>
  <c r="L91" i="16"/>
  <c r="L48" i="16"/>
  <c r="L78" i="16"/>
  <c r="L90" i="16"/>
  <c r="L53" i="16"/>
  <c r="L12" i="16"/>
  <c r="L6" i="16"/>
  <c r="L13" i="16"/>
  <c r="L27" i="16"/>
  <c r="L25" i="16"/>
  <c r="L93" i="16"/>
  <c r="L88" i="16"/>
  <c r="L5" i="16"/>
  <c r="L66" i="16"/>
  <c r="L22" i="16"/>
  <c r="L51" i="16"/>
  <c r="L46" i="16"/>
  <c r="L54" i="16"/>
  <c r="L98" i="16"/>
  <c r="L71" i="16"/>
  <c r="L7" i="16"/>
  <c r="L97" i="16"/>
  <c r="L100" i="16"/>
  <c r="L70" i="16"/>
  <c r="L40" i="16"/>
  <c r="L21" i="16"/>
  <c r="L94" i="16"/>
  <c r="L55" i="16"/>
  <c r="L47" i="16"/>
  <c r="L38" i="16"/>
  <c r="L14" i="16"/>
  <c r="L83" i="16"/>
  <c r="L41" i="16"/>
  <c r="L59" i="16"/>
  <c r="L11" i="16"/>
  <c r="L17" i="16"/>
  <c r="L69" i="16"/>
  <c r="L62" i="16"/>
  <c r="L23" i="16"/>
  <c r="L16" i="16"/>
  <c r="L61" i="16"/>
  <c r="L80" i="16"/>
  <c r="L8" i="16"/>
  <c r="L79" i="16"/>
  <c r="L52" i="16"/>
  <c r="L4" i="16"/>
  <c r="L30" i="16"/>
  <c r="L68" i="16"/>
  <c r="L81" i="16"/>
  <c r="L67" i="16"/>
  <c r="L56" i="16"/>
  <c r="L20" i="16"/>
  <c r="L58" i="16"/>
  <c r="L86" i="16"/>
  <c r="L28" i="16"/>
  <c r="L96" i="16"/>
  <c r="L3" i="16"/>
  <c r="L77" i="16"/>
  <c r="L76" i="16"/>
  <c r="L9" i="16"/>
  <c r="L29" i="16"/>
  <c r="L60" i="16"/>
  <c r="L57" i="16"/>
  <c r="L15" i="16"/>
  <c r="L19" i="16"/>
  <c r="L26" i="16"/>
  <c r="L49" i="16"/>
  <c r="L99" i="16"/>
  <c r="L10" i="16"/>
  <c r="L18" i="16"/>
  <c r="L87" i="16"/>
  <c r="L24" i="16"/>
  <c r="BR17" i="16"/>
  <c r="BR11" i="16"/>
  <c r="BR25" i="16"/>
  <c r="BR13" i="16"/>
  <c r="BR73" i="16"/>
  <c r="BR58" i="16"/>
  <c r="BR85" i="16"/>
  <c r="BR64" i="16"/>
  <c r="BR67" i="16"/>
  <c r="BR92" i="16"/>
  <c r="BR87" i="16"/>
  <c r="BR81" i="16"/>
  <c r="BR8" i="16"/>
  <c r="BR33" i="16"/>
  <c r="BR40" i="16"/>
  <c r="BR45" i="16"/>
  <c r="BR19" i="16"/>
  <c r="BR15" i="16"/>
  <c r="BR100" i="16"/>
  <c r="BR41" i="16"/>
  <c r="BR38" i="16"/>
  <c r="BR68" i="16"/>
  <c r="BR99" i="16"/>
  <c r="BR20" i="16"/>
  <c r="BR39" i="16"/>
  <c r="BR48" i="16"/>
  <c r="BR30" i="16"/>
  <c r="BR46" i="16"/>
  <c r="BR55" i="16"/>
  <c r="BR76" i="16"/>
  <c r="BR84" i="16"/>
  <c r="BR60" i="16"/>
  <c r="BR86" i="16"/>
  <c r="BR71" i="16"/>
  <c r="BR62" i="16"/>
  <c r="BR79" i="16"/>
  <c r="BR6" i="16"/>
  <c r="BR18" i="16"/>
  <c r="BR36" i="16"/>
  <c r="BR10" i="16"/>
  <c r="BR63" i="16"/>
  <c r="BR47" i="16"/>
  <c r="BR27" i="16"/>
  <c r="BR53" i="16"/>
  <c r="BR74" i="16"/>
  <c r="BR51" i="16"/>
  <c r="BR80" i="16"/>
  <c r="BR101" i="16"/>
  <c r="BR9" i="16"/>
  <c r="BR34" i="16"/>
  <c r="BR50" i="16"/>
  <c r="BR72" i="16"/>
  <c r="BR37" i="16"/>
  <c r="BR21" i="16"/>
  <c r="BR70" i="16"/>
  <c r="BR57" i="16"/>
  <c r="BR96" i="16"/>
  <c r="BR61" i="16"/>
  <c r="BR93" i="16"/>
  <c r="BR52" i="16"/>
  <c r="BR31" i="16"/>
  <c r="BR23" i="16"/>
  <c r="BR43" i="16"/>
  <c r="BR42" i="16"/>
  <c r="BR59" i="16"/>
  <c r="BR56" i="16"/>
  <c r="BR75" i="16"/>
  <c r="BR69" i="16"/>
  <c r="BR83" i="16"/>
  <c r="BR77" i="16"/>
  <c r="BR103" i="16"/>
  <c r="BR94" i="16"/>
  <c r="BR22" i="16"/>
  <c r="BR26" i="16"/>
  <c r="BR35" i="16"/>
  <c r="BR29" i="16"/>
  <c r="BR54" i="16"/>
  <c r="BR91" i="16"/>
  <c r="BR49" i="16"/>
  <c r="BR89" i="16"/>
  <c r="BR98" i="16"/>
  <c r="BR88" i="16"/>
  <c r="BR90" i="16"/>
  <c r="BR97" i="16"/>
  <c r="BR16" i="16"/>
  <c r="BR32" i="16"/>
  <c r="BR24" i="16"/>
  <c r="BR44" i="16"/>
  <c r="BR65" i="16"/>
  <c r="BR78" i="16"/>
  <c r="BR66" i="16"/>
  <c r="BR82" i="16"/>
  <c r="BR95" i="16"/>
  <c r="BR102" i="16"/>
  <c r="J97" i="14"/>
  <c r="J73" i="14"/>
  <c r="J65" i="14"/>
  <c r="J57" i="14"/>
  <c r="J33" i="14"/>
  <c r="J25" i="14"/>
  <c r="J17" i="14"/>
  <c r="T56" i="14"/>
  <c r="U56" i="14" s="1"/>
  <c r="Y56" i="14" s="1"/>
  <c r="CE74" i="16"/>
  <c r="CE41" i="16"/>
  <c r="CE16" i="16"/>
  <c r="CE22" i="16"/>
  <c r="CE23" i="16"/>
  <c r="CE91" i="16"/>
  <c r="CE95" i="16"/>
  <c r="CE33" i="16"/>
  <c r="CE79" i="16"/>
  <c r="CE94" i="16"/>
  <c r="CE60" i="16"/>
  <c r="BH62" i="16"/>
  <c r="CE66" i="16"/>
  <c r="CE81" i="16"/>
  <c r="CE54" i="16"/>
  <c r="CE9" i="16"/>
  <c r="CE38" i="16"/>
  <c r="BH73" i="16"/>
  <c r="BH92" i="16"/>
  <c r="CE96" i="16"/>
  <c r="CE43" i="16"/>
  <c r="CE76" i="16"/>
  <c r="CE67" i="16"/>
  <c r="CE48" i="16"/>
  <c r="CE62" i="16"/>
  <c r="CE18" i="16"/>
  <c r="CE57" i="16"/>
  <c r="CE29" i="16"/>
  <c r="CE24" i="16"/>
  <c r="CE77" i="16"/>
  <c r="CE42" i="16"/>
  <c r="BH34" i="16"/>
  <c r="BH58" i="16"/>
  <c r="BH89" i="16"/>
  <c r="CE40" i="16"/>
  <c r="CE70" i="16"/>
  <c r="CE85" i="16"/>
  <c r="CE52" i="16"/>
  <c r="BH6" i="16"/>
  <c r="BH56" i="16"/>
  <c r="CE36" i="16"/>
  <c r="CE72" i="16"/>
  <c r="BH88" i="16"/>
  <c r="CE69" i="16"/>
  <c r="CE46" i="16"/>
  <c r="BH85" i="16"/>
  <c r="BH77" i="16"/>
  <c r="CE93" i="16"/>
  <c r="CE13" i="16"/>
  <c r="CE84" i="16"/>
  <c r="CE68" i="16"/>
  <c r="BH24" i="16"/>
  <c r="BH103" i="16"/>
  <c r="BH61" i="16"/>
  <c r="DB58" i="16"/>
  <c r="BH102" i="16"/>
  <c r="BH70" i="16"/>
  <c r="BH33" i="16"/>
  <c r="BH65" i="16"/>
  <c r="BH10" i="16"/>
  <c r="BH90" i="16"/>
  <c r="BH68" i="16"/>
  <c r="BH9" i="16"/>
  <c r="BH13" i="16"/>
  <c r="BH19" i="16"/>
  <c r="CE86" i="16"/>
  <c r="BH8" i="16"/>
  <c r="BH59" i="16"/>
  <c r="BH64" i="16"/>
  <c r="BH15" i="16"/>
  <c r="CE80" i="16"/>
  <c r="BH100" i="16"/>
  <c r="BH31" i="16"/>
  <c r="BH94" i="16"/>
  <c r="BH48" i="16"/>
  <c r="BH43" i="16"/>
  <c r="BH53" i="16"/>
  <c r="BH39" i="16"/>
  <c r="BH25" i="16"/>
  <c r="BH78" i="16"/>
  <c r="BH96" i="16"/>
  <c r="BH76" i="16"/>
  <c r="BH18" i="16"/>
  <c r="BH36" i="16"/>
  <c r="BH26" i="16"/>
  <c r="BH47" i="16"/>
  <c r="BH50" i="16"/>
  <c r="BH84" i="16"/>
  <c r="BH79" i="16"/>
  <c r="BH97" i="16"/>
  <c r="CE8" i="16"/>
  <c r="BH40" i="16"/>
  <c r="BH38" i="16"/>
  <c r="BH72" i="16"/>
  <c r="BH80" i="16"/>
  <c r="BH82" i="16"/>
  <c r="BH37" i="16"/>
  <c r="BH57" i="16"/>
  <c r="CE55" i="16"/>
  <c r="CE26" i="16"/>
  <c r="CE32" i="16"/>
  <c r="CE64" i="16"/>
  <c r="CE59" i="16"/>
  <c r="CE51" i="16"/>
  <c r="DB37" i="16"/>
  <c r="DB75" i="16"/>
  <c r="CE49" i="16"/>
  <c r="CE37" i="16"/>
  <c r="CE89" i="16"/>
  <c r="CE87" i="16"/>
  <c r="CE73" i="16"/>
  <c r="CE21" i="16"/>
  <c r="CE34" i="16"/>
  <c r="CE19" i="16"/>
  <c r="CE102" i="16"/>
  <c r="CE98" i="16"/>
  <c r="CE6" i="16"/>
  <c r="CE44" i="16"/>
  <c r="CE83" i="16"/>
  <c r="BH16" i="16"/>
  <c r="BH74" i="16"/>
  <c r="BH51" i="16"/>
  <c r="BH27" i="16"/>
  <c r="BH91" i="16"/>
  <c r="BH35" i="16"/>
  <c r="BH20" i="16"/>
  <c r="BH17" i="16"/>
  <c r="BH23" i="16"/>
  <c r="BH54" i="16"/>
  <c r="BH55" i="16"/>
  <c r="BH41" i="16"/>
  <c r="BH11" i="16"/>
  <c r="BH42" i="16"/>
  <c r="BH81" i="16"/>
  <c r="BH87" i="16"/>
  <c r="BH66" i="16"/>
  <c r="BH63" i="16"/>
  <c r="BH29" i="16"/>
  <c r="BH60" i="16"/>
  <c r="BH49" i="16"/>
  <c r="BH93" i="16"/>
  <c r="BH32" i="16"/>
  <c r="BH22" i="16"/>
  <c r="BH95" i="16"/>
  <c r="BH46" i="16"/>
  <c r="BH21" i="16"/>
  <c r="BH83" i="16"/>
  <c r="BH45" i="16"/>
  <c r="BH98" i="16"/>
  <c r="BH69" i="16"/>
  <c r="BH30" i="16"/>
  <c r="BH67" i="16"/>
  <c r="BH86" i="16"/>
  <c r="BH44" i="16"/>
  <c r="BH75" i="16"/>
  <c r="BH52" i="16"/>
  <c r="BH71" i="16"/>
  <c r="BH99" i="16"/>
  <c r="BH101" i="16"/>
  <c r="CE11" i="16"/>
  <c r="CE63" i="16"/>
  <c r="CE45" i="16"/>
  <c r="CE17" i="16"/>
  <c r="CE35" i="16"/>
  <c r="CE71" i="16"/>
  <c r="CE75" i="16"/>
  <c r="CE78" i="16"/>
  <c r="CE99" i="16"/>
  <c r="CE53" i="16"/>
  <c r="CE56" i="16"/>
  <c r="CE100" i="16"/>
  <c r="CE31" i="16"/>
  <c r="CE25" i="16"/>
  <c r="CE15" i="16"/>
  <c r="CE30" i="16"/>
  <c r="CE27" i="16"/>
  <c r="CE103" i="16"/>
  <c r="CE10" i="16"/>
  <c r="CE65" i="16"/>
  <c r="CE39" i="16"/>
  <c r="CE101" i="16"/>
  <c r="CE61" i="16"/>
  <c r="CE82" i="16"/>
  <c r="CE88" i="16"/>
  <c r="CE58" i="16"/>
  <c r="CE90" i="16"/>
  <c r="CE47" i="16"/>
  <c r="CE20" i="16"/>
  <c r="CE97" i="16"/>
  <c r="CE92" i="16"/>
  <c r="CE50" i="16"/>
  <c r="DK26" i="16"/>
  <c r="DU26" i="16" s="1"/>
  <c r="DK4" i="16"/>
  <c r="DK18" i="16"/>
  <c r="DU18" i="16" s="1"/>
  <c r="DK31" i="16"/>
  <c r="DU31" i="16" s="1"/>
  <c r="DK8" i="16"/>
  <c r="DU8" i="16" s="1"/>
  <c r="DK7" i="16"/>
  <c r="DK17" i="16"/>
  <c r="DU17" i="16" s="1"/>
  <c r="DK16" i="16"/>
  <c r="DU16" i="16" s="1"/>
  <c r="DK14" i="16"/>
  <c r="DK9" i="16"/>
  <c r="DU9" i="16" s="1"/>
  <c r="DK33" i="16"/>
  <c r="DU33" i="16" s="1"/>
  <c r="DK39" i="16"/>
  <c r="DU39" i="16" s="1"/>
  <c r="DK28" i="16"/>
  <c r="DK20" i="16"/>
  <c r="DU20" i="16" s="1"/>
  <c r="DK22" i="16"/>
  <c r="DU22" i="16" s="1"/>
  <c r="DK6" i="16"/>
  <c r="DU6" i="16" s="1"/>
  <c r="DK11" i="16"/>
  <c r="DU11" i="16" s="1"/>
  <c r="DK32" i="16"/>
  <c r="DU32" i="16" s="1"/>
  <c r="DK35" i="16"/>
  <c r="DU35" i="16" s="1"/>
  <c r="DK36" i="16"/>
  <c r="DU36" i="16" s="1"/>
  <c r="DK34" i="16"/>
  <c r="DU34" i="16" s="1"/>
  <c r="DK25" i="16"/>
  <c r="DU25" i="16" s="1"/>
  <c r="DK23" i="16"/>
  <c r="DU23" i="16" s="1"/>
  <c r="DK24" i="16"/>
  <c r="DU24" i="16" s="1"/>
  <c r="DK40" i="16"/>
  <c r="DU40" i="16" s="1"/>
  <c r="DK89" i="16"/>
  <c r="DU89" i="16" s="1"/>
  <c r="DK53" i="16"/>
  <c r="DU53" i="16" s="1"/>
  <c r="DK101" i="16"/>
  <c r="DU101" i="16" s="1"/>
  <c r="DK93" i="16"/>
  <c r="DU93" i="16" s="1"/>
  <c r="DK97" i="16"/>
  <c r="DU97" i="16" s="1"/>
  <c r="DK57" i="16"/>
  <c r="DU57" i="16" s="1"/>
  <c r="DK49" i="16"/>
  <c r="DU49" i="16" s="1"/>
  <c r="DK99" i="16"/>
  <c r="DU99" i="16" s="1"/>
  <c r="DK19" i="16"/>
  <c r="DU19" i="16" s="1"/>
  <c r="DK15" i="16"/>
  <c r="DU15" i="16" s="1"/>
  <c r="DK13" i="16"/>
  <c r="DU13" i="16" s="1"/>
  <c r="DK43" i="16"/>
  <c r="DU43" i="16" s="1"/>
  <c r="DK71" i="16"/>
  <c r="DU71" i="16" s="1"/>
  <c r="DK70" i="16"/>
  <c r="DU70" i="16" s="1"/>
  <c r="DK52" i="16"/>
  <c r="DU52" i="16" s="1"/>
  <c r="DK60" i="16"/>
  <c r="DU60" i="16" s="1"/>
  <c r="DK79" i="16"/>
  <c r="DU79" i="16" s="1"/>
  <c r="DK80" i="16"/>
  <c r="DU80" i="16" s="1"/>
  <c r="DK61" i="16"/>
  <c r="DU61" i="16" s="1"/>
  <c r="DK37" i="16"/>
  <c r="DU37" i="16" s="1"/>
  <c r="DK92" i="16"/>
  <c r="DU92" i="16" s="1"/>
  <c r="DK29" i="16"/>
  <c r="DU29" i="16" s="1"/>
  <c r="DK44" i="16"/>
  <c r="DU44" i="16" s="1"/>
  <c r="DK63" i="16"/>
  <c r="DU63" i="16" s="1"/>
  <c r="DK64" i="16"/>
  <c r="DU64" i="16" s="1"/>
  <c r="DK75" i="16"/>
  <c r="DU75" i="16" s="1"/>
  <c r="DK76" i="16"/>
  <c r="DU76" i="16" s="1"/>
  <c r="DK77" i="16"/>
  <c r="DU77" i="16" s="1"/>
  <c r="DK66" i="16"/>
  <c r="DU66" i="16" s="1"/>
  <c r="DK86" i="16"/>
  <c r="DU86" i="16" s="1"/>
  <c r="DK58" i="16"/>
  <c r="DU58" i="16" s="1"/>
  <c r="DK84" i="16"/>
  <c r="DU84" i="16" s="1"/>
  <c r="DK87" i="16"/>
  <c r="DU87" i="16" s="1"/>
  <c r="DK56" i="16"/>
  <c r="DU56" i="16" s="1"/>
  <c r="DK67" i="16"/>
  <c r="DU67" i="16" s="1"/>
  <c r="DK85" i="16"/>
  <c r="DU85" i="16" s="1"/>
  <c r="DK81" i="16"/>
  <c r="DU81" i="16" s="1"/>
  <c r="DK12" i="16"/>
  <c r="DK103" i="16"/>
  <c r="DU103" i="16" s="1"/>
  <c r="DK68" i="16"/>
  <c r="DU68" i="16" s="1"/>
  <c r="DK102" i="16"/>
  <c r="DU102" i="16" s="1"/>
  <c r="DK30" i="16"/>
  <c r="DU30" i="16" s="1"/>
  <c r="DK48" i="16"/>
  <c r="DU48" i="16" s="1"/>
  <c r="DK50" i="16"/>
  <c r="DU50" i="16" s="1"/>
  <c r="DK72" i="16"/>
  <c r="DU72" i="16" s="1"/>
  <c r="DK73" i="16"/>
  <c r="DU73" i="16" s="1"/>
  <c r="DK90" i="16"/>
  <c r="DU90" i="16" s="1"/>
  <c r="DK91" i="16"/>
  <c r="DU91" i="16" s="1"/>
  <c r="DK96" i="16"/>
  <c r="DU96" i="16" s="1"/>
  <c r="DK42" i="16"/>
  <c r="DU42" i="16" s="1"/>
  <c r="DK62" i="16"/>
  <c r="DU62" i="16" s="1"/>
  <c r="DK74" i="16"/>
  <c r="DU74" i="16" s="1"/>
  <c r="DK69" i="16"/>
  <c r="DU69" i="16" s="1"/>
  <c r="DK98" i="16"/>
  <c r="DU98" i="16" s="1"/>
  <c r="DK10" i="16"/>
  <c r="DU10" i="16" s="1"/>
  <c r="DK45" i="16"/>
  <c r="DU45" i="16" s="1"/>
  <c r="DK59" i="16"/>
  <c r="DU59" i="16" s="1"/>
  <c r="DK78" i="16"/>
  <c r="DU78" i="16" s="1"/>
  <c r="DK94" i="16"/>
  <c r="DU94" i="16" s="1"/>
  <c r="DK41" i="16"/>
  <c r="DU41" i="16" s="1"/>
  <c r="DK83" i="16"/>
  <c r="DU83" i="16" s="1"/>
  <c r="DK38" i="16"/>
  <c r="DU38" i="16" s="1"/>
  <c r="DK47" i="16"/>
  <c r="DU47" i="16" s="1"/>
  <c r="DK55" i="16"/>
  <c r="DU55" i="16" s="1"/>
  <c r="DK21" i="16"/>
  <c r="DU21" i="16" s="1"/>
  <c r="DK100" i="16"/>
  <c r="DU100" i="16" s="1"/>
  <c r="DK82" i="16"/>
  <c r="DU82" i="16" s="1"/>
  <c r="DK46" i="16"/>
  <c r="DU46" i="16" s="1"/>
  <c r="DK54" i="16"/>
  <c r="DU54" i="16" s="1"/>
  <c r="DK51" i="16"/>
  <c r="DU51" i="16" s="1"/>
  <c r="DK65" i="16"/>
  <c r="DU65" i="16" s="1"/>
  <c r="DK95" i="16"/>
  <c r="DU95" i="16" s="1"/>
  <c r="DK88" i="16"/>
  <c r="DU88" i="16" s="1"/>
  <c r="DK27" i="16"/>
  <c r="DU27" i="16" s="1"/>
  <c r="AE103" i="16"/>
  <c r="AE73" i="16"/>
  <c r="AE50" i="16"/>
  <c r="AE37" i="16"/>
  <c r="AE44" i="16"/>
  <c r="AE95" i="16"/>
  <c r="AE64" i="16"/>
  <c r="AE63" i="16"/>
  <c r="AE92" i="16"/>
  <c r="AE78" i="16"/>
  <c r="AE53" i="16"/>
  <c r="AE6" i="16"/>
  <c r="AE27" i="16"/>
  <c r="AE93" i="16"/>
  <c r="AE98" i="16"/>
  <c r="AM10" i="16"/>
  <c r="AM19" i="16"/>
  <c r="AM29" i="16"/>
  <c r="AM58" i="16"/>
  <c r="AM81" i="16"/>
  <c r="AM52" i="16"/>
  <c r="AM61" i="16"/>
  <c r="AM69" i="16"/>
  <c r="AM41" i="16"/>
  <c r="AM47" i="16"/>
  <c r="AM40" i="16"/>
  <c r="AM46" i="16"/>
  <c r="AM27" i="16"/>
  <c r="AM53" i="16"/>
  <c r="AM91" i="16"/>
  <c r="AM99" i="16"/>
  <c r="AM15" i="16"/>
  <c r="AM9" i="16"/>
  <c r="AM96" i="16"/>
  <c r="AM20" i="16"/>
  <c r="AM68" i="16"/>
  <c r="AM79" i="16"/>
  <c r="AM16" i="16"/>
  <c r="AM17" i="16"/>
  <c r="AM83" i="16"/>
  <c r="AM55" i="16"/>
  <c r="AM70" i="16"/>
  <c r="AM71" i="16"/>
  <c r="AM51" i="16"/>
  <c r="AM88" i="16"/>
  <c r="AM13" i="16"/>
  <c r="AM90" i="16"/>
  <c r="AM74" i="16"/>
  <c r="AM63" i="16"/>
  <c r="AM35" i="16"/>
  <c r="AM33" i="16"/>
  <c r="AM31" i="16"/>
  <c r="AM34" i="16"/>
  <c r="AM75" i="16"/>
  <c r="AM89" i="16"/>
  <c r="AM87" i="16"/>
  <c r="AM49" i="16"/>
  <c r="AM57" i="16"/>
  <c r="AM76" i="16"/>
  <c r="AM56" i="16"/>
  <c r="AM24" i="16"/>
  <c r="AM30" i="16"/>
  <c r="AM8" i="16"/>
  <c r="AM23" i="16"/>
  <c r="AM11" i="16"/>
  <c r="AM94" i="16"/>
  <c r="AM100" i="16"/>
  <c r="AM98" i="16"/>
  <c r="AM22" i="16"/>
  <c r="AM93" i="16"/>
  <c r="AM6" i="16"/>
  <c r="AM78" i="16"/>
  <c r="AM92" i="16"/>
  <c r="AM64" i="16"/>
  <c r="AM44" i="16"/>
  <c r="AM101" i="16"/>
  <c r="AM43" i="16"/>
  <c r="AM65" i="16"/>
  <c r="AM103" i="16"/>
  <c r="AM18" i="16"/>
  <c r="AM26" i="16"/>
  <c r="AM60" i="16"/>
  <c r="AM77" i="16"/>
  <c r="AM86" i="16"/>
  <c r="AM67" i="16"/>
  <c r="AM80" i="16"/>
  <c r="AM62" i="16"/>
  <c r="AM59" i="16"/>
  <c r="AM38" i="16"/>
  <c r="AM21" i="16"/>
  <c r="AM97" i="16"/>
  <c r="AM54" i="16"/>
  <c r="AM66" i="16"/>
  <c r="AM25" i="16"/>
  <c r="AM48" i="16"/>
  <c r="AM32" i="16"/>
  <c r="AM39" i="16"/>
  <c r="AM37" i="16"/>
  <c r="AM42" i="16"/>
  <c r="AM85" i="16"/>
  <c r="AM45" i="16"/>
  <c r="AM102" i="16"/>
  <c r="AM72" i="16"/>
  <c r="AM95" i="16"/>
  <c r="AM84" i="16"/>
  <c r="AM50" i="16"/>
  <c r="AM36" i="16"/>
  <c r="AM73" i="16"/>
  <c r="AM82" i="16"/>
  <c r="J105" i="14"/>
  <c r="T64" i="14"/>
  <c r="U64" i="14" s="1"/>
  <c r="Y64" i="14" s="1"/>
  <c r="J89" i="14"/>
  <c r="J49" i="14"/>
  <c r="J9" i="14"/>
  <c r="T48" i="14"/>
  <c r="U48" i="14" s="1"/>
  <c r="Y48" i="14" s="1"/>
  <c r="J81" i="14"/>
  <c r="J41" i="14"/>
  <c r="T32" i="14"/>
  <c r="U32" i="14" s="1"/>
  <c r="J43" i="14"/>
  <c r="J103" i="14"/>
  <c r="J95" i="14"/>
  <c r="J87" i="14"/>
  <c r="J79" i="14"/>
  <c r="J71" i="14"/>
  <c r="J63" i="14"/>
  <c r="J55" i="14"/>
  <c r="J47" i="14"/>
  <c r="J39" i="14"/>
  <c r="J31" i="14"/>
  <c r="J23" i="14"/>
  <c r="J15" i="14"/>
  <c r="J7" i="14"/>
  <c r="T42" i="14"/>
  <c r="U42" i="14" s="1"/>
  <c r="Y42" i="14" s="1"/>
  <c r="T34" i="14"/>
  <c r="U34" i="14" s="1"/>
  <c r="T10" i="14"/>
  <c r="U10" i="14" s="1"/>
  <c r="T70" i="14"/>
  <c r="U70" i="14" s="1"/>
  <c r="Y70" i="14" s="1"/>
  <c r="T46" i="14"/>
  <c r="U46" i="14" s="1"/>
  <c r="Y46" i="14" s="1"/>
  <c r="T38" i="14"/>
  <c r="U38" i="14" s="1"/>
  <c r="Y38" i="14" s="1"/>
  <c r="T5" i="14"/>
  <c r="U5" i="14" s="1"/>
  <c r="J101" i="14"/>
  <c r="J93" i="14"/>
  <c r="J85" i="14"/>
  <c r="J77" i="14"/>
  <c r="J69" i="14"/>
  <c r="J61" i="14"/>
  <c r="J53" i="14"/>
  <c r="J45" i="14"/>
  <c r="J37" i="14"/>
  <c r="J29" i="14"/>
  <c r="J21" i="14"/>
  <c r="J13" i="14"/>
  <c r="J100" i="14"/>
  <c r="J92" i="14"/>
  <c r="J84" i="14"/>
  <c r="J76" i="14"/>
  <c r="J68" i="14"/>
  <c r="J60" i="14"/>
  <c r="J52" i="14"/>
  <c r="J44" i="14"/>
  <c r="J36" i="14"/>
  <c r="J28" i="14"/>
  <c r="J20" i="14"/>
  <c r="J12" i="14"/>
  <c r="T104" i="14"/>
  <c r="U104" i="14" s="1"/>
  <c r="Y104" i="14" s="1"/>
  <c r="T96" i="14"/>
  <c r="U96" i="14" s="1"/>
  <c r="Y96" i="14" s="1"/>
  <c r="T88" i="14"/>
  <c r="U88" i="14" s="1"/>
  <c r="Y88" i="14" s="1"/>
  <c r="T80" i="14"/>
  <c r="U80" i="14" s="1"/>
  <c r="Y80" i="14" s="1"/>
  <c r="T72" i="14"/>
  <c r="U72" i="14" s="1"/>
  <c r="Y72" i="14" s="1"/>
  <c r="T40" i="14"/>
  <c r="U40" i="14" s="1"/>
  <c r="Y40" i="14" s="1"/>
  <c r="T24" i="14"/>
  <c r="U24" i="14" s="1"/>
  <c r="T16" i="14"/>
  <c r="U16" i="14" s="1"/>
  <c r="T8" i="14"/>
  <c r="U8" i="14" s="1"/>
  <c r="T102" i="14"/>
  <c r="U102" i="14" s="1"/>
  <c r="Y102" i="14" s="1"/>
  <c r="T94" i="14"/>
  <c r="U94" i="14" s="1"/>
  <c r="Y94" i="14" s="1"/>
  <c r="T86" i="14"/>
  <c r="U86" i="14" s="1"/>
  <c r="Y86" i="14" s="1"/>
  <c r="T78" i="14"/>
  <c r="U78" i="14" s="1"/>
  <c r="Y78" i="14" s="1"/>
  <c r="T62" i="14"/>
  <c r="U62" i="14" s="1"/>
  <c r="Y62" i="14" s="1"/>
  <c r="T54" i="14"/>
  <c r="U54" i="14" s="1"/>
  <c r="Y54" i="14" s="1"/>
  <c r="T30" i="14"/>
  <c r="U30" i="14" s="1"/>
  <c r="T22" i="14"/>
  <c r="U22" i="14" s="1"/>
  <c r="T14" i="14"/>
  <c r="U14" i="14" s="1"/>
  <c r="T6" i="14"/>
  <c r="U6" i="14" s="1"/>
  <c r="J99" i="14"/>
  <c r="J91" i="14"/>
  <c r="J83" i="14"/>
  <c r="J75" i="14"/>
  <c r="J67" i="14"/>
  <c r="J59" i="14"/>
  <c r="J51" i="14"/>
  <c r="J35" i="14"/>
  <c r="J27" i="14"/>
  <c r="J19" i="14"/>
  <c r="J11" i="14"/>
  <c r="J5" i="14"/>
  <c r="J98" i="14"/>
  <c r="J90" i="14"/>
  <c r="J82" i="14"/>
  <c r="J74" i="14"/>
  <c r="J66" i="14"/>
  <c r="J58" i="14"/>
  <c r="J50" i="14"/>
  <c r="J42" i="14"/>
  <c r="J34" i="14"/>
  <c r="J26" i="14"/>
  <c r="J18" i="14"/>
  <c r="J10" i="14"/>
  <c r="T101" i="14"/>
  <c r="U101" i="14" s="1"/>
  <c r="Y101" i="14" s="1"/>
  <c r="T93" i="14"/>
  <c r="U93" i="14" s="1"/>
  <c r="Y93" i="14" s="1"/>
  <c r="T85" i="14"/>
  <c r="U85" i="14" s="1"/>
  <c r="Y85" i="14" s="1"/>
  <c r="T77" i="14"/>
  <c r="U77" i="14" s="1"/>
  <c r="Y77" i="14" s="1"/>
  <c r="T69" i="14"/>
  <c r="U69" i="14" s="1"/>
  <c r="Y69" i="14" s="1"/>
  <c r="T61" i="14"/>
  <c r="U61" i="14" s="1"/>
  <c r="Y61" i="14" s="1"/>
  <c r="T53" i="14"/>
  <c r="U53" i="14" s="1"/>
  <c r="Y53" i="14" s="1"/>
  <c r="T45" i="14"/>
  <c r="U45" i="14" s="1"/>
  <c r="Y45" i="14" s="1"/>
  <c r="T37" i="14"/>
  <c r="U37" i="14" s="1"/>
  <c r="Y37" i="14" s="1"/>
  <c r="T29" i="14"/>
  <c r="U29" i="14" s="1"/>
  <c r="T21" i="14"/>
  <c r="U21" i="14" s="1"/>
  <c r="T13" i="14"/>
  <c r="U13" i="14" s="1"/>
  <c r="T100" i="14"/>
  <c r="U100" i="14" s="1"/>
  <c r="Y100" i="14" s="1"/>
  <c r="T92" i="14"/>
  <c r="U92" i="14" s="1"/>
  <c r="Y92" i="14" s="1"/>
  <c r="T84" i="14"/>
  <c r="U84" i="14" s="1"/>
  <c r="Y84" i="14" s="1"/>
  <c r="T76" i="14"/>
  <c r="U76" i="14" s="1"/>
  <c r="Y76" i="14" s="1"/>
  <c r="T68" i="14"/>
  <c r="U68" i="14" s="1"/>
  <c r="Y68" i="14" s="1"/>
  <c r="T60" i="14"/>
  <c r="U60" i="14" s="1"/>
  <c r="Y60" i="14" s="1"/>
  <c r="T52" i="14"/>
  <c r="U52" i="14" s="1"/>
  <c r="Y52" i="14" s="1"/>
  <c r="T44" i="14"/>
  <c r="U44" i="14" s="1"/>
  <c r="Y44" i="14" s="1"/>
  <c r="T36" i="14"/>
  <c r="U36" i="14" s="1"/>
  <c r="T28" i="14"/>
  <c r="U28" i="14" s="1"/>
  <c r="T20" i="14"/>
  <c r="U20" i="14" s="1"/>
  <c r="T12" i="14"/>
  <c r="U12" i="14" s="1"/>
  <c r="T99" i="14"/>
  <c r="U99" i="14" s="1"/>
  <c r="Y99" i="14" s="1"/>
  <c r="T91" i="14"/>
  <c r="U91" i="14" s="1"/>
  <c r="Y91" i="14" s="1"/>
  <c r="T83" i="14"/>
  <c r="U83" i="14" s="1"/>
  <c r="Y83" i="14" s="1"/>
  <c r="T75" i="14"/>
  <c r="U75" i="14" s="1"/>
  <c r="Y75" i="14" s="1"/>
  <c r="T67" i="14"/>
  <c r="U67" i="14" s="1"/>
  <c r="Y67" i="14" s="1"/>
  <c r="T59" i="14"/>
  <c r="U59" i="14" s="1"/>
  <c r="Y59" i="14" s="1"/>
  <c r="T51" i="14"/>
  <c r="U51" i="14" s="1"/>
  <c r="Y51" i="14" s="1"/>
  <c r="T43" i="14"/>
  <c r="U43" i="14" s="1"/>
  <c r="Y43" i="14" s="1"/>
  <c r="T35" i="14"/>
  <c r="U35" i="14" s="1"/>
  <c r="T27" i="14"/>
  <c r="U27" i="14" s="1"/>
  <c r="T19" i="14"/>
  <c r="U19" i="14" s="1"/>
  <c r="T11" i="14"/>
  <c r="U11" i="14" s="1"/>
  <c r="J104" i="14"/>
  <c r="J96" i="14"/>
  <c r="J88" i="14"/>
  <c r="J80" i="14"/>
  <c r="J72" i="14"/>
  <c r="J64" i="14"/>
  <c r="J56" i="14"/>
  <c r="J48" i="14"/>
  <c r="J40" i="14"/>
  <c r="J32" i="14"/>
  <c r="J24" i="14"/>
  <c r="J16" i="14"/>
  <c r="J8" i="14"/>
  <c r="T98" i="14"/>
  <c r="U98" i="14" s="1"/>
  <c r="Y98" i="14" s="1"/>
  <c r="T90" i="14"/>
  <c r="U90" i="14" s="1"/>
  <c r="Y90" i="14" s="1"/>
  <c r="T82" i="14"/>
  <c r="U82" i="14" s="1"/>
  <c r="Y82" i="14" s="1"/>
  <c r="T74" i="14"/>
  <c r="U74" i="14" s="1"/>
  <c r="Y74" i="14" s="1"/>
  <c r="T66" i="14"/>
  <c r="U66" i="14" s="1"/>
  <c r="Y66" i="14" s="1"/>
  <c r="T58" i="14"/>
  <c r="U58" i="14" s="1"/>
  <c r="Y58" i="14" s="1"/>
  <c r="T50" i="14"/>
  <c r="U50" i="14" s="1"/>
  <c r="Y50" i="14" s="1"/>
  <c r="T26" i="14"/>
  <c r="U26" i="14" s="1"/>
  <c r="T18" i="14"/>
  <c r="U18" i="14" s="1"/>
  <c r="T105" i="14"/>
  <c r="U105" i="14" s="1"/>
  <c r="Y105" i="14" s="1"/>
  <c r="T97" i="14"/>
  <c r="U97" i="14" s="1"/>
  <c r="Y97" i="14" s="1"/>
  <c r="T89" i="14"/>
  <c r="U89" i="14" s="1"/>
  <c r="Y89" i="14" s="1"/>
  <c r="T81" i="14"/>
  <c r="U81" i="14" s="1"/>
  <c r="Y81" i="14" s="1"/>
  <c r="T73" i="14"/>
  <c r="U73" i="14" s="1"/>
  <c r="Y73" i="14" s="1"/>
  <c r="T65" i="14"/>
  <c r="U65" i="14" s="1"/>
  <c r="Y65" i="14" s="1"/>
  <c r="T57" i="14"/>
  <c r="U57" i="14" s="1"/>
  <c r="Y57" i="14" s="1"/>
  <c r="T49" i="14"/>
  <c r="U49" i="14" s="1"/>
  <c r="Y49" i="14" s="1"/>
  <c r="T41" i="14"/>
  <c r="U41" i="14" s="1"/>
  <c r="Y41" i="14" s="1"/>
  <c r="T33" i="14"/>
  <c r="U33" i="14" s="1"/>
  <c r="T25" i="14"/>
  <c r="U25" i="14" s="1"/>
  <c r="T17" i="14"/>
  <c r="U17" i="14" s="1"/>
  <c r="T9" i="14"/>
  <c r="U9" i="14" s="1"/>
  <c r="J102" i="14"/>
  <c r="J94" i="14"/>
  <c r="J86" i="14"/>
  <c r="J78" i="14"/>
  <c r="J70" i="14"/>
  <c r="J62" i="14"/>
  <c r="J54" i="14"/>
  <c r="J46" i="14"/>
  <c r="J38" i="14"/>
  <c r="J30" i="14"/>
  <c r="J22" i="14"/>
  <c r="J14" i="14"/>
  <c r="J6" i="14"/>
  <c r="T103" i="14"/>
  <c r="U103" i="14" s="1"/>
  <c r="Y103" i="14" s="1"/>
  <c r="T95" i="14"/>
  <c r="U95" i="14" s="1"/>
  <c r="Y95" i="14" s="1"/>
  <c r="T87" i="14"/>
  <c r="U87" i="14" s="1"/>
  <c r="Y87" i="14" s="1"/>
  <c r="T79" i="14"/>
  <c r="U79" i="14" s="1"/>
  <c r="Y79" i="14" s="1"/>
  <c r="T71" i="14"/>
  <c r="U71" i="14" s="1"/>
  <c r="Y71" i="14" s="1"/>
  <c r="T63" i="14"/>
  <c r="U63" i="14" s="1"/>
  <c r="Y63" i="14" s="1"/>
  <c r="T55" i="14"/>
  <c r="U55" i="14" s="1"/>
  <c r="Y55" i="14" s="1"/>
  <c r="T47" i="14"/>
  <c r="U47" i="14" s="1"/>
  <c r="Y47" i="14" s="1"/>
  <c r="T39" i="14"/>
  <c r="U39" i="14" s="1"/>
  <c r="Y39" i="14" s="1"/>
  <c r="T31" i="14"/>
  <c r="U31" i="14" s="1"/>
  <c r="T23" i="14"/>
  <c r="U23" i="14" s="1"/>
  <c r="T15" i="14"/>
  <c r="U15" i="14" s="1"/>
  <c r="T7" i="14"/>
  <c r="U7" i="14" s="1"/>
  <c r="Q29" i="14"/>
  <c r="Q21" i="14"/>
  <c r="Q13" i="14"/>
  <c r="Q36" i="14"/>
  <c r="Q28" i="14"/>
  <c r="Q20" i="14"/>
  <c r="Q12" i="14"/>
  <c r="P5" i="14"/>
  <c r="Q5" i="14" s="1"/>
  <c r="Q35" i="14"/>
  <c r="Q27" i="14"/>
  <c r="Q19" i="14"/>
  <c r="Q11" i="14"/>
  <c r="Q34" i="14"/>
  <c r="Q26" i="14"/>
  <c r="Q18" i="14"/>
  <c r="Q10" i="14"/>
  <c r="Q33" i="14"/>
  <c r="Q25" i="14"/>
  <c r="Q17" i="14"/>
  <c r="Q9" i="14"/>
  <c r="P23" i="14"/>
  <c r="Q23" i="14" s="1"/>
  <c r="P15" i="14"/>
  <c r="Q15" i="14" s="1"/>
  <c r="Q31" i="14"/>
  <c r="Q7" i="14"/>
  <c r="Q32" i="14"/>
  <c r="Q24" i="14"/>
  <c r="Q16" i="14"/>
  <c r="Q8" i="14"/>
  <c r="P30" i="14"/>
  <c r="Q30" i="14" s="1"/>
  <c r="P22" i="14"/>
  <c r="Q22" i="14" s="1"/>
  <c r="P14" i="14"/>
  <c r="Q14" i="14" s="1"/>
  <c r="P6" i="14"/>
  <c r="Q6" i="14" s="1"/>
  <c r="BC31" i="8"/>
  <c r="BC21" i="8"/>
  <c r="BB37" i="8"/>
  <c r="AK23" i="2"/>
  <c r="AL20" i="2"/>
  <c r="AL40" i="2"/>
  <c r="I116" i="3"/>
  <c r="H117" i="3"/>
  <c r="H115" i="3"/>
  <c r="F132" i="3"/>
  <c r="F130" i="3"/>
  <c r="I110" i="3"/>
  <c r="E112" i="3"/>
  <c r="F112" i="3" s="1"/>
  <c r="I122" i="3"/>
  <c r="E130" i="3"/>
  <c r="E132" i="3"/>
  <c r="M138" i="3"/>
  <c r="L139" i="3"/>
  <c r="K140" i="3"/>
  <c r="M144" i="3"/>
  <c r="L145" i="3"/>
  <c r="K146" i="3"/>
  <c r="I147" i="3"/>
  <c r="H148" i="3"/>
  <c r="M150" i="3"/>
  <c r="L151" i="3"/>
  <c r="K152" i="3"/>
  <c r="M156" i="3"/>
  <c r="L157" i="3"/>
  <c r="K158" i="3"/>
  <c r="I159" i="3"/>
  <c r="H160" i="3"/>
  <c r="M162" i="3"/>
  <c r="L163" i="3"/>
  <c r="K164" i="3"/>
  <c r="J312" i="3"/>
  <c r="I313" i="3"/>
  <c r="M316" i="3"/>
  <c r="K317" i="3"/>
  <c r="J318" i="3"/>
  <c r="I319" i="3"/>
  <c r="M322" i="3"/>
  <c r="J324" i="3"/>
  <c r="I325" i="3"/>
  <c r="J330" i="3"/>
  <c r="I331" i="3"/>
  <c r="M334" i="3"/>
  <c r="F384" i="3"/>
  <c r="I384" i="3" s="1"/>
  <c r="E389" i="3"/>
  <c r="H389" i="3" s="1"/>
  <c r="F390" i="3"/>
  <c r="I390" i="3" s="1"/>
  <c r="E109" i="3"/>
  <c r="F109" i="3" s="1"/>
  <c r="E114" i="3"/>
  <c r="F114" i="3" s="1"/>
  <c r="F119" i="3"/>
  <c r="E121" i="3"/>
  <c r="M139" i="3"/>
  <c r="L140" i="3"/>
  <c r="J141" i="3"/>
  <c r="M145" i="3"/>
  <c r="L146" i="3"/>
  <c r="J147" i="3"/>
  <c r="I148" i="3"/>
  <c r="H149" i="3"/>
  <c r="M151" i="3"/>
  <c r="L152" i="3"/>
  <c r="J153" i="3"/>
  <c r="L158" i="3"/>
  <c r="J159" i="3"/>
  <c r="M163" i="3"/>
  <c r="L164" i="3"/>
  <c r="L311" i="3"/>
  <c r="L317" i="3"/>
  <c r="J319" i="3"/>
  <c r="H320" i="3"/>
  <c r="L323" i="3"/>
  <c r="K324" i="3"/>
  <c r="J325" i="3"/>
  <c r="H326" i="3"/>
  <c r="K330" i="3"/>
  <c r="J331" i="3"/>
  <c r="G384" i="3"/>
  <c r="J384" i="3" s="1"/>
  <c r="E388" i="3"/>
  <c r="H388" i="3" s="1"/>
  <c r="F389" i="3"/>
  <c r="I389" i="3" s="1"/>
  <c r="G390" i="3"/>
  <c r="J390" i="3" s="1"/>
  <c r="I427" i="3"/>
  <c r="E430" i="3"/>
  <c r="H430" i="3" s="1"/>
  <c r="H112" i="3"/>
  <c r="I112" i="3" s="1"/>
  <c r="E116" i="3"/>
  <c r="F121" i="3"/>
  <c r="H130" i="3"/>
  <c r="J142" i="3"/>
  <c r="I143" i="3"/>
  <c r="J148" i="3"/>
  <c r="I149" i="3"/>
  <c r="J154" i="3"/>
  <c r="I155" i="3"/>
  <c r="J160" i="3"/>
  <c r="I161" i="3"/>
  <c r="I314" i="3"/>
  <c r="H315" i="3"/>
  <c r="I320" i="3"/>
  <c r="H321" i="3"/>
  <c r="I326" i="3"/>
  <c r="H327" i="3"/>
  <c r="I332" i="3"/>
  <c r="H333" i="3"/>
  <c r="F388" i="3"/>
  <c r="I388" i="3" s="1"/>
  <c r="G389" i="3"/>
  <c r="J389" i="3" s="1"/>
  <c r="E395" i="3"/>
  <c r="E429" i="3"/>
  <c r="H429" i="3" s="1"/>
  <c r="F430" i="3"/>
  <c r="I430" i="3" s="1"/>
  <c r="G431" i="3"/>
  <c r="J431" i="3" s="1"/>
  <c r="H109" i="3"/>
  <c r="I109" i="3" s="1"/>
  <c r="E111" i="3"/>
  <c r="F111" i="3" s="1"/>
  <c r="H121" i="3"/>
  <c r="I130" i="3"/>
  <c r="J149" i="3"/>
  <c r="H150" i="3"/>
  <c r="J155" i="3"/>
  <c r="H156" i="3"/>
  <c r="J161" i="3"/>
  <c r="H162" i="3"/>
  <c r="J314" i="3"/>
  <c r="I315" i="3"/>
  <c r="H316" i="3"/>
  <c r="I321" i="3"/>
  <c r="H322" i="3"/>
  <c r="H328" i="3"/>
  <c r="J332" i="3"/>
  <c r="I333" i="3"/>
  <c r="H334" i="3"/>
  <c r="E387" i="3"/>
  <c r="H387" i="3" s="1"/>
  <c r="G388" i="3"/>
  <c r="J388" i="3" s="1"/>
  <c r="E118" i="3"/>
  <c r="F118" i="3" s="1"/>
  <c r="E386" i="3"/>
  <c r="H386" i="3" s="1"/>
  <c r="F387" i="3"/>
  <c r="I387" i="3" s="1"/>
  <c r="E392" i="3"/>
  <c r="H392" i="3" s="1"/>
  <c r="F393" i="3"/>
  <c r="G395" i="3"/>
  <c r="E428" i="3"/>
  <c r="H428" i="3" s="1"/>
  <c r="G429" i="3"/>
  <c r="J429" i="3" s="1"/>
  <c r="E385" i="3"/>
  <c r="H385" i="3" s="1"/>
  <c r="F386" i="3"/>
  <c r="I386" i="3" s="1"/>
  <c r="E391" i="3"/>
  <c r="H391" i="3" s="1"/>
  <c r="F392" i="3"/>
  <c r="I392" i="3" s="1"/>
  <c r="G393" i="3"/>
  <c r="F428" i="3"/>
  <c r="I428" i="3" s="1"/>
  <c r="E433" i="3"/>
  <c r="H433" i="3" s="1"/>
  <c r="F385" i="3"/>
  <c r="I385" i="3" s="1"/>
  <c r="F391" i="3"/>
  <c r="I391" i="3" s="1"/>
  <c r="E432" i="3"/>
  <c r="H432" i="3" s="1"/>
  <c r="DB36" i="16" l="1"/>
  <c r="DB18" i="16"/>
  <c r="DB8" i="16"/>
  <c r="DB30" i="16"/>
  <c r="DB85" i="16"/>
  <c r="DB62" i="16"/>
  <c r="DB83" i="16"/>
  <c r="DB48" i="16"/>
  <c r="DB60" i="16"/>
  <c r="DB92" i="16"/>
  <c r="DB51" i="16"/>
  <c r="DB45" i="16"/>
  <c r="DB13" i="16"/>
  <c r="DB38" i="16"/>
  <c r="DB9" i="16"/>
  <c r="DV9" i="16" s="1"/>
  <c r="DB90" i="16"/>
  <c r="DB96" i="16"/>
  <c r="DB50" i="16"/>
  <c r="DB42" i="16"/>
  <c r="DB59" i="16"/>
  <c r="DB33" i="16"/>
  <c r="DV33" i="16" s="1"/>
  <c r="DB61" i="16"/>
  <c r="DB78" i="16"/>
  <c r="DB35" i="16"/>
  <c r="DV35" i="16" s="1"/>
  <c r="DB70" i="16"/>
  <c r="DB47" i="16"/>
  <c r="DV47" i="16" s="1"/>
  <c r="DB17" i="16"/>
  <c r="DV17" i="16" s="1"/>
  <c r="DB71" i="16"/>
  <c r="DB56" i="16"/>
  <c r="DB80" i="16"/>
  <c r="DB16" i="16"/>
  <c r="DV16" i="16" s="1"/>
  <c r="DB103" i="16"/>
  <c r="DB94" i="16"/>
  <c r="DB6" i="16"/>
  <c r="E15" i="21" s="1"/>
  <c r="G32" i="21" s="1"/>
  <c r="DB64" i="16"/>
  <c r="DB91" i="16"/>
  <c r="DB63" i="16"/>
  <c r="DB29" i="16"/>
  <c r="DB69" i="16"/>
  <c r="DB20" i="16"/>
  <c r="DV20" i="16" s="1"/>
  <c r="DB31" i="16"/>
  <c r="DV31" i="16" s="1"/>
  <c r="DB98" i="16"/>
  <c r="DB66" i="16"/>
  <c r="DB74" i="16"/>
  <c r="DB79" i="16"/>
  <c r="DB65" i="16"/>
  <c r="DB27" i="16"/>
  <c r="DB15" i="16"/>
  <c r="DB72" i="16"/>
  <c r="DB46" i="16"/>
  <c r="DB93" i="16"/>
  <c r="DB49" i="16"/>
  <c r="DB73" i="16"/>
  <c r="DB25" i="16"/>
  <c r="DV25" i="16" s="1"/>
  <c r="DB88" i="16"/>
  <c r="DB19" i="16"/>
  <c r="DB84" i="16"/>
  <c r="DB44" i="16"/>
  <c r="DB32" i="16"/>
  <c r="DV32" i="16" s="1"/>
  <c r="DB81" i="16"/>
  <c r="DB24" i="16"/>
  <c r="DV24" i="16" s="1"/>
  <c r="DB53" i="16"/>
  <c r="DB11" i="16"/>
  <c r="DV11" i="16" s="1"/>
  <c r="DB57" i="16"/>
  <c r="DB102" i="16"/>
  <c r="DB54" i="16"/>
  <c r="DB55" i="16"/>
  <c r="DB77" i="16"/>
  <c r="DB26" i="16"/>
  <c r="DV26" i="16" s="1"/>
  <c r="DB86" i="16"/>
  <c r="DB21" i="16"/>
  <c r="DB67" i="16"/>
  <c r="AE47" i="16"/>
  <c r="AE42" i="16"/>
  <c r="DB99" i="16"/>
  <c r="DB97" i="16"/>
  <c r="AE57" i="16"/>
  <c r="AE79" i="16"/>
  <c r="DB82" i="16"/>
  <c r="AE43" i="16"/>
  <c r="DB41" i="16"/>
  <c r="DB23" i="16"/>
  <c r="DV23" i="16" s="1"/>
  <c r="DB52" i="16"/>
  <c r="AE102" i="16"/>
  <c r="DB95" i="16"/>
  <c r="DB87" i="16"/>
  <c r="DB100" i="16"/>
  <c r="DB89" i="16"/>
  <c r="AE54" i="16"/>
  <c r="DB68" i="16"/>
  <c r="DB43" i="16"/>
  <c r="AE41" i="16"/>
  <c r="AE84" i="16"/>
  <c r="AE67" i="16"/>
  <c r="AE66" i="16"/>
  <c r="DB76" i="16"/>
  <c r="DB40" i="16"/>
  <c r="DV40" i="16" s="1"/>
  <c r="DB10" i="16"/>
  <c r="DB101" i="16"/>
  <c r="AE88" i="16"/>
  <c r="X10" i="16"/>
  <c r="AN10" i="16" s="1"/>
  <c r="K16" i="17" s="1"/>
  <c r="X29" i="16"/>
  <c r="AN29" i="16" s="1"/>
  <c r="X58" i="16"/>
  <c r="AN58" i="16" s="1"/>
  <c r="X52" i="16"/>
  <c r="AN52" i="16" s="1"/>
  <c r="X69" i="16"/>
  <c r="AN69" i="16" s="1"/>
  <c r="X47" i="16"/>
  <c r="X5" i="16"/>
  <c r="X53" i="16"/>
  <c r="X72" i="16"/>
  <c r="AN72" i="16" s="1"/>
  <c r="X84" i="16"/>
  <c r="X36" i="16"/>
  <c r="AN36" i="16" s="1"/>
  <c r="X82" i="16"/>
  <c r="AM12" i="16"/>
  <c r="I16" i="23" s="1"/>
  <c r="R6" i="23" s="1"/>
  <c r="X99" i="16"/>
  <c r="X9" i="16"/>
  <c r="AN9" i="16" s="1"/>
  <c r="X20" i="16"/>
  <c r="AN20" i="16" s="1"/>
  <c r="X79" i="16"/>
  <c r="X17" i="16"/>
  <c r="X55" i="16"/>
  <c r="AN55" i="16" s="1"/>
  <c r="X71" i="16"/>
  <c r="AN71" i="16" s="1"/>
  <c r="X88" i="16"/>
  <c r="X90" i="16"/>
  <c r="X63" i="16"/>
  <c r="AN63" i="16" s="1"/>
  <c r="X33" i="16"/>
  <c r="AN33" i="16" s="1"/>
  <c r="X34" i="16"/>
  <c r="AN34" i="16" s="1"/>
  <c r="X89" i="16"/>
  <c r="AN89" i="16" s="1"/>
  <c r="X49" i="16"/>
  <c r="AN49" i="16" s="1"/>
  <c r="X76" i="16"/>
  <c r="AN76" i="16" s="1"/>
  <c r="X56" i="16"/>
  <c r="AN56" i="16" s="1"/>
  <c r="X8" i="16"/>
  <c r="X11" i="16"/>
  <c r="AN11" i="16" s="1"/>
  <c r="X94" i="16"/>
  <c r="AN94" i="16" s="1"/>
  <c r="X98" i="16"/>
  <c r="AN98" i="16" s="1"/>
  <c r="X93" i="16"/>
  <c r="AN93" i="16" s="1"/>
  <c r="X78" i="16"/>
  <c r="AN78" i="16" s="1"/>
  <c r="X64" i="16"/>
  <c r="AN64" i="16" s="1"/>
  <c r="X101" i="16"/>
  <c r="AN101" i="16" s="1"/>
  <c r="X65" i="16"/>
  <c r="X26" i="16"/>
  <c r="AN26" i="16" s="1"/>
  <c r="X77" i="16"/>
  <c r="AN77" i="16" s="1"/>
  <c r="X67" i="16"/>
  <c r="X80" i="16"/>
  <c r="AN80" i="16" s="1"/>
  <c r="X59" i="16"/>
  <c r="AN59" i="16" s="1"/>
  <c r="X21" i="16"/>
  <c r="AN21" i="16" s="1"/>
  <c r="X54" i="16"/>
  <c r="X25" i="16"/>
  <c r="X48" i="16"/>
  <c r="AN48" i="16" s="1"/>
  <c r="X39" i="16"/>
  <c r="AN39" i="16" s="1"/>
  <c r="X42" i="16"/>
  <c r="X45" i="16"/>
  <c r="AN45" i="16" s="1"/>
  <c r="X19" i="16"/>
  <c r="AN19" i="16" s="1"/>
  <c r="X3" i="16"/>
  <c r="X81" i="16"/>
  <c r="AN81" i="16" s="1"/>
  <c r="X61" i="16"/>
  <c r="X41" i="16"/>
  <c r="X40" i="16"/>
  <c r="AN40" i="16" s="1"/>
  <c r="X46" i="16"/>
  <c r="AN46" i="16" s="1"/>
  <c r="X27" i="16"/>
  <c r="X91" i="16"/>
  <c r="AN91" i="16" s="1"/>
  <c r="X95" i="16"/>
  <c r="AN95" i="16" s="1"/>
  <c r="X50" i="16"/>
  <c r="AN50" i="16" s="1"/>
  <c r="X73" i="16"/>
  <c r="X24" i="16"/>
  <c r="AN24" i="16" s="1"/>
  <c r="X15" i="16"/>
  <c r="AN15" i="16" s="1"/>
  <c r="K22" i="17" s="1"/>
  <c r="X96" i="16"/>
  <c r="X68" i="16"/>
  <c r="AN68" i="16" s="1"/>
  <c r="X16" i="16"/>
  <c r="AN16" i="16" s="1"/>
  <c r="X83" i="16"/>
  <c r="AN83" i="16" s="1"/>
  <c r="X70" i="16"/>
  <c r="X51" i="16"/>
  <c r="AN51" i="16" s="1"/>
  <c r="X13" i="16"/>
  <c r="X74" i="16"/>
  <c r="AN74" i="16" s="1"/>
  <c r="X35" i="16"/>
  <c r="X31" i="16"/>
  <c r="AN31" i="16" s="1"/>
  <c r="X75" i="16"/>
  <c r="AN75" i="16" s="1"/>
  <c r="X87" i="16"/>
  <c r="AN87" i="16" s="1"/>
  <c r="X57" i="16"/>
  <c r="X30" i="16"/>
  <c r="AN30" i="16" s="1"/>
  <c r="X23" i="16"/>
  <c r="X100" i="16"/>
  <c r="AN100" i="16" s="1"/>
  <c r="X22" i="16"/>
  <c r="X92" i="16"/>
  <c r="AN92" i="16" s="1"/>
  <c r="X44" i="16"/>
  <c r="X43" i="16"/>
  <c r="X103" i="16"/>
  <c r="X18" i="16"/>
  <c r="AN18" i="16" s="1"/>
  <c r="X60" i="16"/>
  <c r="X86" i="16"/>
  <c r="X62" i="16"/>
  <c r="AN62" i="16" s="1"/>
  <c r="X38" i="16"/>
  <c r="X97" i="16"/>
  <c r="AN97" i="16" s="1"/>
  <c r="X66" i="16"/>
  <c r="X32" i="16"/>
  <c r="AN32" i="16" s="1"/>
  <c r="X37" i="16"/>
  <c r="AN37" i="16" s="1"/>
  <c r="X85" i="16"/>
  <c r="AN85" i="16" s="1"/>
  <c r="X102" i="16"/>
  <c r="X7" i="16"/>
  <c r="CL4" i="16"/>
  <c r="F14" i="21" s="1"/>
  <c r="H31" i="21" s="1"/>
  <c r="CL28" i="16"/>
  <c r="G35" i="23" s="1"/>
  <c r="Q10" i="23" s="1"/>
  <c r="CL7" i="16"/>
  <c r="G14" i="21" s="1"/>
  <c r="I31" i="21" s="1"/>
  <c r="I43" i="23"/>
  <c r="AE14" i="16"/>
  <c r="AM7" i="16"/>
  <c r="G10" i="21" s="1"/>
  <c r="I27" i="21" s="1"/>
  <c r="AM28" i="16"/>
  <c r="D10" i="21" s="1"/>
  <c r="F27" i="21" s="1"/>
  <c r="AE7" i="16"/>
  <c r="E13" i="23" s="1"/>
  <c r="P5" i="23" s="1"/>
  <c r="AM14" i="16"/>
  <c r="AE4" i="16"/>
  <c r="F9" i="21" s="1"/>
  <c r="H26" i="21" s="1"/>
  <c r="AM4" i="16"/>
  <c r="F10" i="21" s="1"/>
  <c r="H27" i="21" s="1"/>
  <c r="BR12" i="16"/>
  <c r="K26" i="23" s="1"/>
  <c r="S8" i="23" s="1"/>
  <c r="CE12" i="16"/>
  <c r="K30" i="23" s="1"/>
  <c r="S9" i="23" s="1"/>
  <c r="BR14" i="16"/>
  <c r="BR28" i="16"/>
  <c r="D12" i="21" s="1"/>
  <c r="F29" i="21" s="1"/>
  <c r="BR7" i="16"/>
  <c r="G12" i="21" s="1"/>
  <c r="I29" i="21" s="1"/>
  <c r="BH14" i="16"/>
  <c r="DB28" i="16"/>
  <c r="D15" i="21" s="1"/>
  <c r="F32" i="21" s="1"/>
  <c r="X12" i="16"/>
  <c r="X14" i="16"/>
  <c r="DB12" i="16"/>
  <c r="K38" i="23" s="1"/>
  <c r="S11" i="23" s="1"/>
  <c r="DB7" i="16"/>
  <c r="CE4" i="16"/>
  <c r="CE14" i="16"/>
  <c r="CE7" i="16"/>
  <c r="G13" i="21" s="1"/>
  <c r="I30" i="21" s="1"/>
  <c r="CE28" i="16"/>
  <c r="G30" i="23" s="1"/>
  <c r="Q9" i="23" s="1"/>
  <c r="BR4" i="16"/>
  <c r="BH12" i="16"/>
  <c r="BH7" i="16"/>
  <c r="BH4" i="16"/>
  <c r="BH28" i="16"/>
  <c r="C12" i="21"/>
  <c r="E29" i="21" s="1"/>
  <c r="AE12" i="16"/>
  <c r="K13" i="23" s="1"/>
  <c r="S5" i="23" s="1"/>
  <c r="AE28" i="16"/>
  <c r="G13" i="23" s="1"/>
  <c r="Q5" i="23" s="1"/>
  <c r="E26" i="23"/>
  <c r="P8" i="23" s="1"/>
  <c r="DU7" i="16"/>
  <c r="G16" i="21" s="1"/>
  <c r="I33" i="21" s="1"/>
  <c r="DU12" i="16"/>
  <c r="K44" i="23" s="1"/>
  <c r="S12" i="23" s="1"/>
  <c r="DU28" i="16"/>
  <c r="D16" i="21" s="1"/>
  <c r="F33" i="21" s="1"/>
  <c r="DU4" i="16"/>
  <c r="DU14" i="16"/>
  <c r="E16" i="23"/>
  <c r="P6" i="23" s="1"/>
  <c r="X4" i="16"/>
  <c r="K16" i="23"/>
  <c r="S6" i="23" s="1"/>
  <c r="I35" i="23"/>
  <c r="R10" i="23" s="1"/>
  <c r="K35" i="23"/>
  <c r="S10" i="23" s="1"/>
  <c r="DA14" i="16"/>
  <c r="DB14" i="16" s="1"/>
  <c r="J43" i="23"/>
  <c r="DA4" i="16"/>
  <c r="DB4" i="16" s="1"/>
  <c r="F15" i="21" s="1"/>
  <c r="H32" i="21" s="1"/>
  <c r="D43" i="23"/>
  <c r="X28" i="16"/>
  <c r="X6" i="16"/>
  <c r="E9" i="21"/>
  <c r="G26" i="21" s="1"/>
  <c r="C11" i="21"/>
  <c r="E28" i="21" s="1"/>
  <c r="C9" i="21"/>
  <c r="E26" i="21" s="1"/>
  <c r="E12" i="21"/>
  <c r="G29" i="21" s="1"/>
  <c r="E11" i="21"/>
  <c r="G28" i="21" s="1"/>
  <c r="E10" i="21"/>
  <c r="G27" i="21" s="1"/>
  <c r="E14" i="21"/>
  <c r="G31" i="21" s="1"/>
  <c r="E13" i="21"/>
  <c r="G30" i="21" s="1"/>
  <c r="C10" i="21"/>
  <c r="E27" i="21" s="1"/>
  <c r="E16" i="21"/>
  <c r="G33" i="21" s="1"/>
  <c r="C16" i="21"/>
  <c r="E33" i="21" s="1"/>
  <c r="C14" i="21"/>
  <c r="E31" i="21" s="1"/>
  <c r="C15" i="21"/>
  <c r="E32" i="21" s="1"/>
  <c r="C13" i="21"/>
  <c r="E30" i="21" s="1"/>
  <c r="DV34" i="16"/>
  <c r="DV36" i="16"/>
  <c r="DV22" i="16"/>
  <c r="DV39" i="16"/>
  <c r="DV8" i="16"/>
  <c r="DV18" i="16"/>
  <c r="Y18" i="14"/>
  <c r="Y10" i="14"/>
  <c r="Y31" i="14"/>
  <c r="Y6" i="14"/>
  <c r="Y14" i="14"/>
  <c r="Y30" i="14"/>
  <c r="Y13" i="14"/>
  <c r="Y22" i="14"/>
  <c r="Y8" i="14"/>
  <c r="Y12" i="14"/>
  <c r="Y19" i="14"/>
  <c r="Y7" i="14"/>
  <c r="Y24" i="14"/>
  <c r="Y32" i="14"/>
  <c r="Y15" i="14"/>
  <c r="Y9" i="14"/>
  <c r="Y11" i="14"/>
  <c r="Y27" i="14"/>
  <c r="Y23" i="14"/>
  <c r="Y16" i="14"/>
  <c r="Y17" i="14"/>
  <c r="Y33" i="14"/>
  <c r="Y35" i="14"/>
  <c r="Y29" i="14"/>
  <c r="Y25" i="14"/>
  <c r="Y20" i="14"/>
  <c r="Y5" i="14"/>
  <c r="Y36" i="14"/>
  <c r="Y21" i="14"/>
  <c r="Y34" i="14"/>
  <c r="Y28" i="14"/>
  <c r="Y26" i="14"/>
  <c r="I123" i="3"/>
  <c r="I121" i="3"/>
  <c r="E115" i="3"/>
  <c r="F116" i="3"/>
  <c r="E117" i="3"/>
  <c r="I117" i="3"/>
  <c r="I115" i="3"/>
  <c r="AN54" i="16" l="1"/>
  <c r="AN57" i="16"/>
  <c r="AN88" i="16"/>
  <c r="AN84" i="16"/>
  <c r="AN67" i="16"/>
  <c r="AN42" i="16"/>
  <c r="DV6" i="16"/>
  <c r="E19" i="21" s="1"/>
  <c r="AN66" i="16"/>
  <c r="AN79" i="16"/>
  <c r="AN47" i="16"/>
  <c r="DX47" i="16" s="1"/>
  <c r="AN41" i="16"/>
  <c r="K46" i="17" s="1"/>
  <c r="AN43" i="16"/>
  <c r="K48" i="17" s="1"/>
  <c r="AN61" i="16"/>
  <c r="AN90" i="16"/>
  <c r="AN99" i="16"/>
  <c r="AN13" i="16"/>
  <c r="AN82" i="16"/>
  <c r="AN73" i="16"/>
  <c r="AN25" i="16"/>
  <c r="DX25" i="16" s="1"/>
  <c r="AN65" i="16"/>
  <c r="AN8" i="16"/>
  <c r="K13" i="17" s="1"/>
  <c r="AN60" i="16"/>
  <c r="AN22" i="16"/>
  <c r="DX22" i="16" s="1"/>
  <c r="AN27" i="16"/>
  <c r="K32" i="17" s="1"/>
  <c r="AN70" i="16"/>
  <c r="AN35" i="16"/>
  <c r="K40" i="17" s="1"/>
  <c r="AN53" i="16"/>
  <c r="AN17" i="16"/>
  <c r="DX17" i="16" s="1"/>
  <c r="AN96" i="16"/>
  <c r="K8" i="23"/>
  <c r="S4" i="23" s="1"/>
  <c r="AN44" i="16"/>
  <c r="K49" i="17" s="1"/>
  <c r="AN86" i="16"/>
  <c r="AN103" i="16"/>
  <c r="G19" i="23"/>
  <c r="Q7" i="23" s="1"/>
  <c r="G8" i="21"/>
  <c r="I25" i="21" s="1"/>
  <c r="AN102" i="16"/>
  <c r="AN38" i="16"/>
  <c r="K43" i="17" s="1"/>
  <c r="G11" i="21"/>
  <c r="I28" i="21" s="1"/>
  <c r="F11" i="21"/>
  <c r="H28" i="21" s="1"/>
  <c r="AN23" i="16"/>
  <c r="K29" i="17" s="1"/>
  <c r="C8" i="21"/>
  <c r="E25" i="21" s="1"/>
  <c r="K19" i="23"/>
  <c r="S7" i="23" s="1"/>
  <c r="I26" i="23"/>
  <c r="R8" i="23" s="1"/>
  <c r="G44" i="23"/>
  <c r="Q12" i="23" s="1"/>
  <c r="I8" i="23"/>
  <c r="R4" i="23" s="1"/>
  <c r="I30" i="23"/>
  <c r="R9" i="23" s="1"/>
  <c r="G38" i="23"/>
  <c r="Q11" i="23" s="1"/>
  <c r="I13" i="23"/>
  <c r="R5" i="23" s="1"/>
  <c r="C44" i="23"/>
  <c r="O12" i="23" s="1"/>
  <c r="I19" i="23"/>
  <c r="R7" i="23" s="1"/>
  <c r="G26" i="23"/>
  <c r="Q8" i="23" s="1"/>
  <c r="G16" i="23"/>
  <c r="Q6" i="23" s="1"/>
  <c r="I44" i="23"/>
  <c r="R12" i="23" s="1"/>
  <c r="K37" i="17"/>
  <c r="K14" i="17"/>
  <c r="K41" i="17"/>
  <c r="K56" i="17"/>
  <c r="K42" i="17"/>
  <c r="K44" i="17"/>
  <c r="K28" i="17"/>
  <c r="K25" i="17"/>
  <c r="K23" i="17"/>
  <c r="K38" i="17"/>
  <c r="K45" i="17"/>
  <c r="K27" i="17"/>
  <c r="K51" i="17"/>
  <c r="K36" i="17"/>
  <c r="K21" i="17"/>
  <c r="K54" i="17"/>
  <c r="K18" i="17"/>
  <c r="K34" i="17"/>
  <c r="K55" i="17"/>
  <c r="K53" i="17"/>
  <c r="K26" i="17"/>
  <c r="K31" i="17"/>
  <c r="K50" i="17"/>
  <c r="C13" i="23"/>
  <c r="O5" i="23" s="1"/>
  <c r="G9" i="21"/>
  <c r="I26" i="21" s="1"/>
  <c r="C35" i="23"/>
  <c r="O10" i="23" s="1"/>
  <c r="C16" i="23"/>
  <c r="O6" i="23" s="1"/>
  <c r="E30" i="23"/>
  <c r="P9" i="23" s="1"/>
  <c r="E35" i="23"/>
  <c r="P10" i="23" s="1"/>
  <c r="AN14" i="16"/>
  <c r="E38" i="23"/>
  <c r="P11" i="23" s="1"/>
  <c r="C26" i="23"/>
  <c r="O8" i="23" s="1"/>
  <c r="C30" i="23"/>
  <c r="O9" i="23" s="1"/>
  <c r="F13" i="21"/>
  <c r="H30" i="21" s="1"/>
  <c r="AN7" i="16"/>
  <c r="F12" i="21"/>
  <c r="H29" i="21" s="1"/>
  <c r="C8" i="23"/>
  <c r="O4" i="23" s="1"/>
  <c r="D13" i="21"/>
  <c r="F30" i="21" s="1"/>
  <c r="D11" i="21"/>
  <c r="F28" i="21" s="1"/>
  <c r="DV7" i="16"/>
  <c r="AN12" i="16"/>
  <c r="E44" i="23"/>
  <c r="P12" i="23" s="1"/>
  <c r="G15" i="21"/>
  <c r="I32" i="21" s="1"/>
  <c r="E19" i="23"/>
  <c r="P7" i="23" s="1"/>
  <c r="D9" i="21"/>
  <c r="F26" i="21" s="1"/>
  <c r="AN28" i="16"/>
  <c r="D14" i="21"/>
  <c r="F31" i="21" s="1"/>
  <c r="DV28" i="16"/>
  <c r="C19" i="23"/>
  <c r="O7" i="23" s="1"/>
  <c r="AN4" i="16"/>
  <c r="F16" i="21"/>
  <c r="H33" i="21" s="1"/>
  <c r="DV14" i="16"/>
  <c r="DV4" i="16"/>
  <c r="F8" i="21"/>
  <c r="H25" i="21" s="1"/>
  <c r="G8" i="23"/>
  <c r="Q4" i="23" s="1"/>
  <c r="E8" i="21"/>
  <c r="G25" i="21" s="1"/>
  <c r="AN6" i="16"/>
  <c r="I38" i="23"/>
  <c r="R11" i="23" s="1"/>
  <c r="C38" i="23"/>
  <c r="O11" i="23" s="1"/>
  <c r="E8" i="23"/>
  <c r="P4" i="23" s="1"/>
  <c r="D8" i="21"/>
  <c r="F25" i="21" s="1"/>
  <c r="C17" i="21"/>
  <c r="DX16" i="16"/>
  <c r="DX39" i="16"/>
  <c r="DX36" i="16"/>
  <c r="DX33" i="16"/>
  <c r="DX40" i="16"/>
  <c r="DX11" i="16"/>
  <c r="DX24" i="16"/>
  <c r="DX18" i="16"/>
  <c r="DX34" i="16"/>
  <c r="DX26" i="16"/>
  <c r="DX20" i="16"/>
  <c r="DX9" i="16"/>
  <c r="DX32" i="16"/>
  <c r="DX31" i="16"/>
  <c r="DV89" i="16"/>
  <c r="DV53" i="16"/>
  <c r="DV101" i="16"/>
  <c r="DV93" i="16"/>
  <c r="DV97" i="16"/>
  <c r="DV57" i="16"/>
  <c r="DV49" i="16"/>
  <c r="DV99" i="16"/>
  <c r="DV19" i="16"/>
  <c r="DV15" i="16"/>
  <c r="DV13" i="16"/>
  <c r="DV43" i="16"/>
  <c r="DV71" i="16"/>
  <c r="DV70" i="16"/>
  <c r="DV52" i="16"/>
  <c r="DV60" i="16"/>
  <c r="DV79" i="16"/>
  <c r="DV80" i="16"/>
  <c r="DV61" i="16"/>
  <c r="DV37" i="16"/>
  <c r="DV92" i="16"/>
  <c r="DV29" i="16"/>
  <c r="DV44" i="16"/>
  <c r="DV63" i="16"/>
  <c r="DV64" i="16"/>
  <c r="DV75" i="16"/>
  <c r="DV76" i="16"/>
  <c r="DV77" i="16"/>
  <c r="DV66" i="16"/>
  <c r="DV86" i="16"/>
  <c r="DV58" i="16"/>
  <c r="DV84" i="16"/>
  <c r="DV87" i="16"/>
  <c r="DV56" i="16"/>
  <c r="DV67" i="16"/>
  <c r="DV85" i="16"/>
  <c r="DV81" i="16"/>
  <c r="DV12" i="16"/>
  <c r="DV103" i="16"/>
  <c r="DV68" i="16"/>
  <c r="DV102" i="16"/>
  <c r="DV30" i="16"/>
  <c r="DV48" i="16"/>
  <c r="DV50" i="16"/>
  <c r="DV72" i="16"/>
  <c r="DV73" i="16"/>
  <c r="DV90" i="16"/>
  <c r="DV91" i="16"/>
  <c r="DV96" i="16"/>
  <c r="DV42" i="16"/>
  <c r="DV62" i="16"/>
  <c r="DV74" i="16"/>
  <c r="DV69" i="16"/>
  <c r="DV98" i="16"/>
  <c r="DV10" i="16"/>
  <c r="DV45" i="16"/>
  <c r="DV59" i="16"/>
  <c r="DV78" i="16"/>
  <c r="DV94" i="16"/>
  <c r="DV41" i="16"/>
  <c r="DV83" i="16"/>
  <c r="DV38" i="16"/>
  <c r="DV55" i="16"/>
  <c r="DV21" i="16"/>
  <c r="DV100" i="16"/>
  <c r="DV82" i="16"/>
  <c r="DV46" i="16"/>
  <c r="DV54" i="16"/>
  <c r="DV51" i="16"/>
  <c r="DV65" i="16"/>
  <c r="DV95" i="16"/>
  <c r="DV88" i="16"/>
  <c r="DV27" i="16"/>
  <c r="Z5" i="14"/>
  <c r="Z13" i="14"/>
  <c r="Z34" i="14"/>
  <c r="Z32" i="14"/>
  <c r="Z14" i="14"/>
  <c r="Z84" i="14"/>
  <c r="Z102" i="14"/>
  <c r="Z58" i="14"/>
  <c r="Z63" i="14"/>
  <c r="Z85" i="14"/>
  <c r="Z53" i="14"/>
  <c r="Z105" i="14"/>
  <c r="Z7" i="14"/>
  <c r="Z20" i="14"/>
  <c r="Z27" i="14"/>
  <c r="Z36" i="14"/>
  <c r="Z64" i="14"/>
  <c r="Z48" i="14"/>
  <c r="Z60" i="14"/>
  <c r="Z29" i="14"/>
  <c r="Z9" i="14"/>
  <c r="Z26" i="14"/>
  <c r="Z49" i="14"/>
  <c r="Z6" i="14"/>
  <c r="Z96" i="14"/>
  <c r="Z52" i="14"/>
  <c r="Z46" i="14"/>
  <c r="Z33" i="14"/>
  <c r="Z17" i="14"/>
  <c r="Z80" i="14"/>
  <c r="Z39" i="14"/>
  <c r="Z99" i="14"/>
  <c r="Z28" i="14"/>
  <c r="Z101" i="14"/>
  <c r="Z81" i="14"/>
  <c r="Z15" i="14"/>
  <c r="Z82" i="14"/>
  <c r="Z41" i="14"/>
  <c r="Z70" i="14"/>
  <c r="Z21" i="14"/>
  <c r="Z30" i="14"/>
  <c r="Z45" i="14"/>
  <c r="Z97" i="14"/>
  <c r="Z94" i="14"/>
  <c r="Z72" i="14"/>
  <c r="Z62" i="14"/>
  <c r="Z91" i="14"/>
  <c r="Z51" i="14"/>
  <c r="Z69" i="14"/>
  <c r="Z87" i="14"/>
  <c r="Z38" i="14"/>
  <c r="Z66" i="14"/>
  <c r="Z90" i="14"/>
  <c r="Z93" i="14"/>
  <c r="Z40" i="14"/>
  <c r="Z23" i="14"/>
  <c r="Z56" i="14"/>
  <c r="Z18" i="14"/>
  <c r="Z83" i="14"/>
  <c r="Z74" i="14"/>
  <c r="Z31" i="14"/>
  <c r="Z79" i="14"/>
  <c r="Z42" i="14"/>
  <c r="Z100" i="14"/>
  <c r="Z78" i="14"/>
  <c r="Z57" i="14"/>
  <c r="Z86" i="14"/>
  <c r="Z95" i="14"/>
  <c r="Z75" i="14"/>
  <c r="Z67" i="14"/>
  <c r="Z68" i="14"/>
  <c r="Z103" i="14"/>
  <c r="Z37" i="14"/>
  <c r="Z16" i="14"/>
  <c r="Z71" i="14"/>
  <c r="Z55" i="14"/>
  <c r="Z19" i="14"/>
  <c r="Z59" i="14"/>
  <c r="Z98" i="14"/>
  <c r="Z73" i="14"/>
  <c r="Z104" i="14"/>
  <c r="Z88" i="14"/>
  <c r="Z43" i="14"/>
  <c r="Z44" i="14"/>
  <c r="Z25" i="14"/>
  <c r="Z77" i="14"/>
  <c r="Z22" i="14"/>
  <c r="Z47" i="14"/>
  <c r="Z11" i="14"/>
  <c r="Z24" i="14"/>
  <c r="Z12" i="14"/>
  <c r="Z61" i="14"/>
  <c r="Z65" i="14"/>
  <c r="Z54" i="14"/>
  <c r="Z50" i="14"/>
  <c r="Z8" i="14"/>
  <c r="Z92" i="14"/>
  <c r="Z35" i="14"/>
  <c r="Z76" i="14"/>
  <c r="Z10" i="14"/>
  <c r="Z89" i="14"/>
  <c r="F115" i="3"/>
  <c r="F117" i="3"/>
  <c r="K30" i="17" l="1"/>
  <c r="K52" i="17"/>
  <c r="K15" i="17"/>
  <c r="K24" i="17"/>
  <c r="DX23" i="16"/>
  <c r="M29" i="17" s="1"/>
  <c r="DX8" i="16"/>
  <c r="DX35" i="16"/>
  <c r="M40" i="17" s="1"/>
  <c r="DX77" i="16"/>
  <c r="DX51" i="16"/>
  <c r="M56" i="17" s="1"/>
  <c r="DX98" i="16"/>
  <c r="DX73" i="16"/>
  <c r="DX86" i="16"/>
  <c r="DX70" i="16"/>
  <c r="I51" i="23"/>
  <c r="DX54" i="16"/>
  <c r="DX83" i="16"/>
  <c r="DX69" i="16"/>
  <c r="DX72" i="16"/>
  <c r="DX81" i="16"/>
  <c r="DX66" i="16"/>
  <c r="DX92" i="16"/>
  <c r="DX71" i="16"/>
  <c r="DX97" i="16"/>
  <c r="DX46" i="16"/>
  <c r="DX93" i="16"/>
  <c r="DX37" i="16"/>
  <c r="M42" i="17" s="1"/>
  <c r="DX62" i="16"/>
  <c r="DX48" i="16"/>
  <c r="M53" i="17" s="1"/>
  <c r="DX67" i="16"/>
  <c r="DX76" i="16"/>
  <c r="DX61" i="16"/>
  <c r="DX13" i="16"/>
  <c r="E55" i="23" s="1"/>
  <c r="DX101" i="16"/>
  <c r="DX85" i="16"/>
  <c r="DX42" i="16"/>
  <c r="DX75" i="16"/>
  <c r="DX53" i="16"/>
  <c r="DX50" i="16"/>
  <c r="M55" i="17" s="1"/>
  <c r="DX94" i="16"/>
  <c r="DX100" i="16"/>
  <c r="DX30" i="16"/>
  <c r="DX15" i="16"/>
  <c r="M22" i="17" s="1"/>
  <c r="F19" i="21"/>
  <c r="DX88" i="16"/>
  <c r="DX21" i="16"/>
  <c r="M27" i="17" s="1"/>
  <c r="DX59" i="16"/>
  <c r="DX96" i="16"/>
  <c r="DX102" i="16"/>
  <c r="DX64" i="16"/>
  <c r="DX79" i="16"/>
  <c r="DX19" i="16"/>
  <c r="DX89" i="16"/>
  <c r="DX43" i="16"/>
  <c r="M48" i="17" s="1"/>
  <c r="DX78" i="16"/>
  <c r="DX80" i="16"/>
  <c r="DX55" i="16"/>
  <c r="DX91" i="16"/>
  <c r="DX84" i="16"/>
  <c r="DX60" i="16"/>
  <c r="DX41" i="16"/>
  <c r="DX82" i="16"/>
  <c r="DX27" i="16"/>
  <c r="M32" i="17" s="1"/>
  <c r="DX95" i="16"/>
  <c r="DX45" i="16"/>
  <c r="M50" i="17" s="1"/>
  <c r="DX68" i="16"/>
  <c r="DX63" i="16"/>
  <c r="DX99" i="16"/>
  <c r="DX65" i="16"/>
  <c r="DX10" i="16"/>
  <c r="M16" i="17" s="1"/>
  <c r="DX90" i="16"/>
  <c r="DX103" i="16"/>
  <c r="DX58" i="16"/>
  <c r="DX44" i="16"/>
  <c r="DX52" i="16"/>
  <c r="DX74" i="16"/>
  <c r="DX38" i="16"/>
  <c r="DX29" i="16"/>
  <c r="M34" i="17" s="1"/>
  <c r="DX57" i="16"/>
  <c r="K47" i="17"/>
  <c r="K35" i="17"/>
  <c r="K39" i="17"/>
  <c r="K33" i="17"/>
  <c r="K20" i="17"/>
  <c r="K12" i="17"/>
  <c r="K17" i="17"/>
  <c r="K11" i="17"/>
  <c r="F17" i="21"/>
  <c r="K9" i="17"/>
  <c r="K51" i="23"/>
  <c r="K19" i="17"/>
  <c r="M23" i="17"/>
  <c r="M21" i="17"/>
  <c r="M24" i="17"/>
  <c r="M18" i="17"/>
  <c r="M30" i="17"/>
  <c r="M28" i="17"/>
  <c r="M14" i="17"/>
  <c r="M15" i="17"/>
  <c r="M44" i="17"/>
  <c r="M45" i="17"/>
  <c r="M37" i="17"/>
  <c r="M52" i="17"/>
  <c r="M31" i="17"/>
  <c r="E53" i="23"/>
  <c r="C51" i="23"/>
  <c r="DX14" i="16"/>
  <c r="E51" i="23"/>
  <c r="DX7" i="16"/>
  <c r="G17" i="21"/>
  <c r="G53" i="23"/>
  <c r="I53" i="23"/>
  <c r="E17" i="21"/>
  <c r="D17" i="21"/>
  <c r="DX28" i="16"/>
  <c r="G51" i="23"/>
  <c r="C53" i="23"/>
  <c r="DX4" i="16"/>
  <c r="DX6" i="16"/>
  <c r="DX12" i="16"/>
  <c r="K53" i="23"/>
  <c r="DX56" i="16"/>
  <c r="C19" i="21"/>
  <c r="C21" i="21"/>
  <c r="DX49" i="16"/>
  <c r="G19" i="21"/>
  <c r="DX87" i="16"/>
  <c r="D19" i="21"/>
  <c r="M25" i="17" l="1"/>
  <c r="M36" i="17"/>
  <c r="M26" i="17"/>
  <c r="M39" i="17"/>
  <c r="M49" i="17"/>
  <c r="M13" i="17"/>
  <c r="M51" i="17"/>
  <c r="M46" i="17"/>
  <c r="M54" i="17"/>
  <c r="G55" i="23"/>
  <c r="I55" i="23"/>
  <c r="M47" i="17"/>
  <c r="M35" i="17"/>
  <c r="M38" i="17"/>
  <c r="M11" i="17"/>
  <c r="M43" i="17"/>
  <c r="M41" i="17"/>
  <c r="M33" i="17"/>
  <c r="M19" i="17"/>
  <c r="M9" i="17"/>
  <c r="M17" i="17"/>
  <c r="M12" i="17"/>
  <c r="M20" i="17"/>
  <c r="G21" i="21"/>
  <c r="K55" i="23"/>
  <c r="E21" i="21"/>
  <c r="F21" i="21"/>
  <c r="D21" i="21"/>
  <c r="C55" i="23"/>
  <c r="AQ3" i="16" l="1" a="1"/>
  <c r="AQ3" i="16" s="1"/>
  <c r="AQ5" i="16" a="1"/>
  <c r="AQ5" i="16" s="1"/>
  <c r="DD3" i="16" a="1"/>
  <c r="DD3" i="16" s="1"/>
  <c r="Z5" i="16"/>
  <c r="DD5" i="16" a="1"/>
  <c r="DD5" i="16" s="1"/>
  <c r="BJ3" i="16" a="1"/>
  <c r="BJ3" i="16" s="1"/>
  <c r="BJ5" i="16" a="1"/>
  <c r="BJ5" i="16" s="1"/>
  <c r="CN3" i="16" a="1"/>
  <c r="CN3" i="16" s="1"/>
  <c r="CN5" i="16" a="1"/>
  <c r="CN5" i="16" s="1"/>
  <c r="AG3" i="16" a="1"/>
  <c r="AG3" i="16" s="1"/>
  <c r="AG5" i="16" a="1"/>
  <c r="AG5" i="16" s="1"/>
  <c r="BM5" i="16" a="1"/>
  <c r="BM5" i="16" s="1"/>
  <c r="CZ5" i="16" a="1"/>
  <c r="CZ5" i="16" s="1"/>
  <c r="CZ3" i="16" a="1"/>
  <c r="CZ3" i="16" s="1"/>
  <c r="CC3" i="16" a="1"/>
  <c r="CC3" i="16" s="1"/>
  <c r="BP5" i="16" a="1"/>
  <c r="BP5" i="16" s="1"/>
  <c r="CT5" i="16" a="1"/>
  <c r="CT5" i="16" s="1"/>
  <c r="CQ5" i="16" a="1"/>
  <c r="CQ5" i="16" s="1"/>
  <c r="CQ3" i="16" a="1"/>
  <c r="CQ3" i="16" s="1"/>
  <c r="AW5" i="16" a="1"/>
  <c r="AW5" i="16" s="1"/>
  <c r="CC5" i="16" a="1"/>
  <c r="CC5" i="16" s="1"/>
  <c r="AW3" i="16" a="1"/>
  <c r="AW3" i="16" s="1"/>
  <c r="BM3" i="16" a="1"/>
  <c r="BM3" i="16" s="1"/>
  <c r="BW5" i="16" a="1"/>
  <c r="BW5" i="16" s="1"/>
  <c r="DJ5" i="16" a="1"/>
  <c r="DJ5" i="16" s="1"/>
  <c r="DJ3" i="16" a="1"/>
  <c r="DJ3" i="16" s="1"/>
  <c r="BZ5" i="16" a="1"/>
  <c r="BZ5" i="16" s="1"/>
  <c r="BZ3" i="16" a="1"/>
  <c r="BZ3" i="16" s="1"/>
  <c r="AT5" i="16" a="1"/>
  <c r="AT5" i="16" s="1"/>
  <c r="AT3" i="16" a="1"/>
  <c r="AT3" i="16" s="1"/>
  <c r="CT3" i="16" a="1"/>
  <c r="CT3" i="16" s="1"/>
  <c r="DG5" i="16" a="1"/>
  <c r="DG5" i="16" s="1"/>
  <c r="DG3" i="16" a="1"/>
  <c r="DG3" i="16" s="1"/>
  <c r="BP3" i="16" a="1"/>
  <c r="BP3" i="16" s="1"/>
  <c r="CW5" i="16" a="1"/>
  <c r="CW5" i="16" s="1"/>
  <c r="CW3" i="16" a="1"/>
  <c r="CW3" i="16" s="1"/>
  <c r="DM5" i="16" a="1"/>
  <c r="DM5" i="16" s="1"/>
  <c r="DM3" i="16" a="1"/>
  <c r="DM3" i="16" s="1"/>
  <c r="BF3" i="16" a="1"/>
  <c r="BF3" i="16" s="1"/>
  <c r="BF5" i="16" a="1"/>
  <c r="BF5" i="16" s="1"/>
  <c r="AZ5" i="16" a="1"/>
  <c r="AZ5" i="16" s="1"/>
  <c r="CG5" i="16" a="1"/>
  <c r="CG5" i="16" s="1"/>
  <c r="CG3" i="16" a="1"/>
  <c r="CG3" i="16" s="1"/>
  <c r="CJ5" i="16" a="1"/>
  <c r="CJ5" i="16" s="1"/>
  <c r="BT5" i="16" a="1"/>
  <c r="BT5" i="16" s="1"/>
  <c r="BT3" i="16" a="1"/>
  <c r="BT3" i="16" s="1"/>
  <c r="AZ3" i="16" a="1"/>
  <c r="AZ3" i="16" s="1"/>
  <c r="DS3" i="16" a="1"/>
  <c r="DS3" i="16" s="1"/>
  <c r="DS5" i="16" a="1"/>
  <c r="DS5" i="16" s="1"/>
  <c r="CJ3" i="16" a="1"/>
  <c r="CJ3" i="16" s="1"/>
  <c r="BW3" i="16" a="1"/>
  <c r="BW3" i="16" s="1"/>
  <c r="DP5" i="16" a="1"/>
  <c r="DP5" i="16" s="1"/>
  <c r="DP3" i="16" a="1"/>
  <c r="DP3" i="16" s="1"/>
  <c r="BC3" i="16" a="1"/>
  <c r="BC3" i="16" s="1"/>
  <c r="BC5" i="16" a="1"/>
  <c r="BC5" i="16" s="1"/>
  <c r="AK5" i="16" a="1"/>
  <c r="AK5" i="16" s="1"/>
  <c r="AK3" i="16" a="1"/>
  <c r="AK3" i="16" s="1"/>
  <c r="DH3" i="16" l="1"/>
  <c r="CO5" i="16"/>
  <c r="DT3" i="16"/>
  <c r="BG5" i="16"/>
  <c r="DH5" i="16"/>
  <c r="BX5" i="16"/>
  <c r="BQ5" i="16"/>
  <c r="CO3" i="16"/>
  <c r="DK5" i="16"/>
  <c r="AR3" i="16"/>
  <c r="BD5" i="16"/>
  <c r="BG3" i="16"/>
  <c r="CU3" i="16"/>
  <c r="BN3" i="16"/>
  <c r="CD3" i="16"/>
  <c r="BK5" i="16"/>
  <c r="BA5" i="16"/>
  <c r="CU5" i="16"/>
  <c r="AL5" i="16"/>
  <c r="BA3" i="16"/>
  <c r="BD3" i="16"/>
  <c r="BU3" i="16"/>
  <c r="DN3" i="16"/>
  <c r="AU3" i="16"/>
  <c r="AX3" i="16"/>
  <c r="DA3" i="16"/>
  <c r="BK3" i="16"/>
  <c r="DQ3" i="16"/>
  <c r="AU5" i="16"/>
  <c r="DA5" i="16"/>
  <c r="CX3" i="16"/>
  <c r="CA3" i="16"/>
  <c r="AX5" i="16"/>
  <c r="BN5" i="16"/>
  <c r="AA5" i="16"/>
  <c r="BU5" i="16"/>
  <c r="CD5" i="16"/>
  <c r="DQ5" i="16"/>
  <c r="BX3" i="16"/>
  <c r="CX5" i="16"/>
  <c r="CA5" i="16"/>
  <c r="CR3" i="16"/>
  <c r="AH5" i="16"/>
  <c r="DE3" i="16"/>
  <c r="AL3" i="16"/>
  <c r="DN5" i="16"/>
  <c r="DE5" i="16"/>
  <c r="CK5" i="16"/>
  <c r="CH3" i="16"/>
  <c r="CK3" i="16"/>
  <c r="CH5" i="16"/>
  <c r="BQ3" i="16"/>
  <c r="DK3" i="16"/>
  <c r="CR5" i="16"/>
  <c r="AH3" i="16"/>
  <c r="AR5" i="16"/>
  <c r="DT5" i="16"/>
  <c r="Z3" i="16"/>
  <c r="J8" i="17"/>
  <c r="J10" i="17"/>
  <c r="CL3" i="16" l="1"/>
  <c r="AM3" i="16"/>
  <c r="DB5" i="16"/>
  <c r="AM5" i="16"/>
  <c r="CE3" i="16"/>
  <c r="CE5" i="16"/>
  <c r="CL5" i="16"/>
  <c r="BR5" i="16"/>
  <c r="BH5" i="16"/>
  <c r="BH3" i="16"/>
  <c r="DB3" i="16"/>
  <c r="DU5" i="16"/>
  <c r="DU3" i="16"/>
  <c r="BR3" i="16"/>
  <c r="AA3" i="16"/>
  <c r="AE5" i="16"/>
  <c r="DV5" i="16" l="1"/>
  <c r="DV3" i="16"/>
  <c r="AE3" i="16"/>
  <c r="AN5" i="16"/>
  <c r="DW37" i="16" l="1"/>
  <c r="DX5" i="16"/>
  <c r="M10" i="17" s="1"/>
  <c r="DW90" i="16"/>
  <c r="DW35" i="16"/>
  <c r="DW3" i="16"/>
  <c r="DW87" i="16"/>
  <c r="DW14" i="16"/>
  <c r="C54" i="23" s="1"/>
  <c r="DW80" i="16"/>
  <c r="DW46" i="16"/>
  <c r="DW5" i="16"/>
  <c r="DW26" i="16"/>
  <c r="DW56" i="16"/>
  <c r="DW27" i="16"/>
  <c r="DW9" i="16"/>
  <c r="DW99" i="16"/>
  <c r="DW48" i="16"/>
  <c r="DW60" i="16"/>
  <c r="DW57" i="16"/>
  <c r="DW15" i="16"/>
  <c r="DW38" i="16"/>
  <c r="DW84" i="16"/>
  <c r="DW33" i="16"/>
  <c r="DW72" i="16"/>
  <c r="DW19" i="16"/>
  <c r="DW25" i="16"/>
  <c r="DW50" i="16"/>
  <c r="DW86" i="16"/>
  <c r="DW78" i="16"/>
  <c r="DW42" i="16"/>
  <c r="DW73" i="16"/>
  <c r="DW30" i="16"/>
  <c r="DW49" i="16"/>
  <c r="DW17" i="16"/>
  <c r="DW20" i="16"/>
  <c r="DW68" i="16"/>
  <c r="DW22" i="16"/>
  <c r="K54" i="23" s="1"/>
  <c r="DW79" i="16"/>
  <c r="DW13" i="16"/>
  <c r="E54" i="23" s="1"/>
  <c r="DW65" i="16"/>
  <c r="DW6" i="16"/>
  <c r="E20" i="21" s="1"/>
  <c r="DW54" i="16"/>
  <c r="DW92" i="16"/>
  <c r="DW103" i="16"/>
  <c r="DW69" i="16"/>
  <c r="DW43" i="16"/>
  <c r="DW18" i="16"/>
  <c r="C20" i="21" s="1"/>
  <c r="DW75" i="16"/>
  <c r="DW66" i="16"/>
  <c r="DW52" i="16"/>
  <c r="DW53" i="16"/>
  <c r="DW102" i="16"/>
  <c r="DW51" i="16"/>
  <c r="DW24" i="16"/>
  <c r="DW47" i="16"/>
  <c r="DW62" i="16"/>
  <c r="DW67" i="16"/>
  <c r="DW55" i="16"/>
  <c r="DW97" i="16"/>
  <c r="DW98" i="16"/>
  <c r="DW59" i="16"/>
  <c r="DW12" i="16"/>
  <c r="I54" i="23" s="1"/>
  <c r="DW71" i="16"/>
  <c r="DW83" i="16"/>
  <c r="DW44" i="16"/>
  <c r="DW21" i="16"/>
  <c r="DW45" i="16"/>
  <c r="DW93" i="16"/>
  <c r="DW74" i="16"/>
  <c r="DW91" i="16"/>
  <c r="DW77" i="16"/>
  <c r="DW70" i="16"/>
  <c r="DW94" i="16"/>
  <c r="DW85" i="16"/>
  <c r="DW82" i="16"/>
  <c r="DW8" i="16"/>
  <c r="DW23" i="16"/>
  <c r="DW63" i="16"/>
  <c r="DW89" i="16"/>
  <c r="DW34" i="16"/>
  <c r="DW61" i="16"/>
  <c r="DW41" i="16"/>
  <c r="DW10" i="16"/>
  <c r="DW58" i="16"/>
  <c r="DW32" i="16"/>
  <c r="DW101" i="16"/>
  <c r="DW76" i="16"/>
  <c r="DW36" i="16"/>
  <c r="DW31" i="16"/>
  <c r="DW96" i="16"/>
  <c r="DW16" i="16"/>
  <c r="DW4" i="16"/>
  <c r="F20" i="21" s="1"/>
  <c r="DW88" i="16"/>
  <c r="DW64" i="16"/>
  <c r="DW40" i="16"/>
  <c r="DW29" i="16"/>
  <c r="DW7" i="16"/>
  <c r="G20" i="21" s="1"/>
  <c r="DW28" i="16"/>
  <c r="D20" i="21" s="1"/>
  <c r="DW39" i="16"/>
  <c r="DW100" i="16"/>
  <c r="DW11" i="16"/>
  <c r="DW95" i="16"/>
  <c r="DW81" i="16"/>
  <c r="K10" i="17"/>
  <c r="AN3" i="16"/>
  <c r="G54" i="23" l="1"/>
  <c r="AO5" i="16"/>
  <c r="L10" i="17" s="1"/>
  <c r="AO75" i="16"/>
  <c r="AO58" i="16"/>
  <c r="AO72" i="16"/>
  <c r="AO49" i="16"/>
  <c r="AO80" i="16"/>
  <c r="AO96" i="16"/>
  <c r="AO90" i="16"/>
  <c r="AO13" i="16"/>
  <c r="AO73" i="16"/>
  <c r="AO53" i="16"/>
  <c r="AO37" i="16"/>
  <c r="AO65" i="16"/>
  <c r="AO62" i="16"/>
  <c r="AO68" i="16"/>
  <c r="AO7" i="16"/>
  <c r="AO38" i="16"/>
  <c r="AO66" i="16"/>
  <c r="AO30" i="16"/>
  <c r="DX3" i="16"/>
  <c r="AO25" i="16"/>
  <c r="AO46" i="16"/>
  <c r="AO8" i="16"/>
  <c r="AO93" i="16"/>
  <c r="AO97" i="16"/>
  <c r="AO33" i="16"/>
  <c r="AO94" i="16"/>
  <c r="AO86" i="16"/>
  <c r="AO77" i="16"/>
  <c r="AO83" i="16"/>
  <c r="AO14" i="16"/>
  <c r="AO34" i="16"/>
  <c r="AO35" i="16"/>
  <c r="AO69" i="16"/>
  <c r="AO26" i="16"/>
  <c r="AO17" i="16"/>
  <c r="AO60" i="16"/>
  <c r="AO78" i="16"/>
  <c r="AO101" i="16"/>
  <c r="AO16" i="16"/>
  <c r="AO12" i="16"/>
  <c r="AO70" i="16"/>
  <c r="AO31" i="16"/>
  <c r="AO79" i="16"/>
  <c r="AO95" i="16"/>
  <c r="AO28" i="16"/>
  <c r="AO23" i="16"/>
  <c r="AO89" i="16"/>
  <c r="AO82" i="16"/>
  <c r="AO88" i="16"/>
  <c r="AO20" i="16"/>
  <c r="AO56" i="16"/>
  <c r="AO27" i="16"/>
  <c r="AO24" i="16"/>
  <c r="AO36" i="16"/>
  <c r="AO39" i="16"/>
  <c r="AO29" i="16"/>
  <c r="AO98" i="16"/>
  <c r="AO44" i="16"/>
  <c r="L49" i="17" s="1"/>
  <c r="AO21" i="16"/>
  <c r="AO63" i="16"/>
  <c r="AO51" i="16"/>
  <c r="L56" i="17" s="1"/>
  <c r="AO11" i="16"/>
  <c r="AO52" i="16"/>
  <c r="AO55" i="16"/>
  <c r="AO99" i="16"/>
  <c r="AO92" i="16"/>
  <c r="AO41" i="16"/>
  <c r="AO18" i="16"/>
  <c r="AO4" i="16"/>
  <c r="AO54" i="16"/>
  <c r="K8" i="17"/>
  <c r="AO48" i="16"/>
  <c r="AO22" i="16"/>
  <c r="AO3" i="16"/>
  <c r="L8" i="17" s="1"/>
  <c r="AO67" i="16"/>
  <c r="AO64" i="16"/>
  <c r="AO15" i="16"/>
  <c r="L22" i="17" s="1"/>
  <c r="AO45" i="16"/>
  <c r="AO40" i="16"/>
  <c r="AO87" i="16"/>
  <c r="AO10" i="16"/>
  <c r="L16" i="17" s="1"/>
  <c r="AO81" i="16"/>
  <c r="AO91" i="16"/>
  <c r="AO84" i="16"/>
  <c r="AO59" i="16"/>
  <c r="AO102" i="16"/>
  <c r="AO9" i="16"/>
  <c r="AO100" i="16"/>
  <c r="AO61" i="16"/>
  <c r="AO71" i="16"/>
  <c r="AO74" i="16"/>
  <c r="AO85" i="16"/>
  <c r="AO50" i="16"/>
  <c r="AO103" i="16"/>
  <c r="AO42" i="16"/>
  <c r="AO76" i="16"/>
  <c r="AO19" i="16"/>
  <c r="AO32" i="16"/>
  <c r="AO6" i="16"/>
  <c r="AO43" i="16"/>
  <c r="AO47" i="16"/>
  <c r="AO57" i="16"/>
  <c r="L43" i="17" l="1"/>
  <c r="L52" i="17"/>
  <c r="L9" i="17"/>
  <c r="F18" i="21"/>
  <c r="L28" i="17"/>
  <c r="G52" i="23"/>
  <c r="D18" i="21"/>
  <c r="L33" i="17"/>
  <c r="L46" i="17"/>
  <c r="L51" i="17"/>
  <c r="L48" i="17"/>
  <c r="C18" i="21"/>
  <c r="L25" i="17"/>
  <c r="L32" i="17"/>
  <c r="L30" i="17"/>
  <c r="L11" i="17"/>
  <c r="E18" i="21"/>
  <c r="L27" i="17"/>
  <c r="L24" i="17"/>
  <c r="DY8" i="16"/>
  <c r="DY79" i="16"/>
  <c r="EA79" i="16" s="1"/>
  <c r="DY61" i="16"/>
  <c r="EA61" i="16" s="1"/>
  <c r="DY89" i="16"/>
  <c r="EA89" i="16" s="1"/>
  <c r="DY68" i="16"/>
  <c r="EA68" i="16" s="1"/>
  <c r="DY28" i="16"/>
  <c r="DY31" i="16"/>
  <c r="DY43" i="16"/>
  <c r="DY52" i="16"/>
  <c r="EA52" i="16" s="1"/>
  <c r="DY59" i="16"/>
  <c r="EA59" i="16" s="1"/>
  <c r="DY10" i="16"/>
  <c r="DY78" i="16"/>
  <c r="EA78" i="16" s="1"/>
  <c r="DY86" i="16"/>
  <c r="DY13" i="16"/>
  <c r="DY71" i="16"/>
  <c r="EA71" i="16" s="1"/>
  <c r="DY63" i="16"/>
  <c r="EA63" i="16" s="1"/>
  <c r="DY17" i="16"/>
  <c r="DY88" i="16"/>
  <c r="EA88" i="16" s="1"/>
  <c r="DY81" i="16"/>
  <c r="EA81" i="16" s="1"/>
  <c r="DY7" i="16"/>
  <c r="N12" i="17" s="1"/>
  <c r="DY73" i="16"/>
  <c r="EA73" i="16" s="1"/>
  <c r="DY90" i="16"/>
  <c r="EA90" i="16" s="1"/>
  <c r="DY94" i="16"/>
  <c r="EA94" i="16" s="1"/>
  <c r="DY16" i="16"/>
  <c r="DY80" i="16"/>
  <c r="EA80" i="16" s="1"/>
  <c r="DY21" i="16"/>
  <c r="EA21" i="16" s="1"/>
  <c r="DY101" i="16"/>
  <c r="EA101" i="16" s="1"/>
  <c r="DY38" i="16"/>
  <c r="DY45" i="16"/>
  <c r="DY70" i="16"/>
  <c r="EA70" i="16" s="1"/>
  <c r="DY25" i="16"/>
  <c r="DY66" i="16"/>
  <c r="EA66" i="16" s="1"/>
  <c r="DY4" i="16"/>
  <c r="DY37" i="16"/>
  <c r="DY55" i="16"/>
  <c r="EA55" i="16" s="1"/>
  <c r="DY46" i="16"/>
  <c r="DY32" i="16"/>
  <c r="DY100" i="16"/>
  <c r="EA100" i="16" s="1"/>
  <c r="DY35" i="16"/>
  <c r="DY20" i="16"/>
  <c r="DY48" i="16"/>
  <c r="DY92" i="16"/>
  <c r="EA92" i="16" s="1"/>
  <c r="DY29" i="16"/>
  <c r="DY9" i="16"/>
  <c r="DY96" i="16"/>
  <c r="EA96" i="16" s="1"/>
  <c r="DY41" i="16"/>
  <c r="DY69" i="16"/>
  <c r="EA69" i="16" s="1"/>
  <c r="DY67" i="16"/>
  <c r="EA67" i="16" s="1"/>
  <c r="DY14" i="16"/>
  <c r="DY47" i="16"/>
  <c r="DY99" i="16"/>
  <c r="EA99" i="16" s="1"/>
  <c r="DY18" i="16"/>
  <c r="DY36" i="16"/>
  <c r="DY12" i="16"/>
  <c r="DY39" i="16"/>
  <c r="DY103" i="16"/>
  <c r="EA103" i="16" s="1"/>
  <c r="DY75" i="16"/>
  <c r="EA75" i="16" s="1"/>
  <c r="DY62" i="16"/>
  <c r="EA62" i="16" s="1"/>
  <c r="DY6" i="16"/>
  <c r="N11" i="17" s="1"/>
  <c r="DY65" i="16"/>
  <c r="EA65" i="16" s="1"/>
  <c r="DY3" i="16"/>
  <c r="DY51" i="16"/>
  <c r="DY72" i="16"/>
  <c r="EA72" i="16" s="1"/>
  <c r="DY44" i="16"/>
  <c r="DY26" i="16"/>
  <c r="DY34" i="16"/>
  <c r="DY83" i="16"/>
  <c r="EA83" i="16" s="1"/>
  <c r="DY33" i="16"/>
  <c r="DY87" i="16"/>
  <c r="EA87" i="16" s="1"/>
  <c r="DY84" i="16"/>
  <c r="EA84" i="16" s="1"/>
  <c r="DY5" i="16"/>
  <c r="DY24" i="16"/>
  <c r="M8" i="17"/>
  <c r="DY53" i="16"/>
  <c r="EA53" i="16" s="1"/>
  <c r="DY82" i="16"/>
  <c r="EA82" i="16" s="1"/>
  <c r="DY19" i="16"/>
  <c r="DY30" i="16"/>
  <c r="DY102" i="16"/>
  <c r="EA102" i="16" s="1"/>
  <c r="DY93" i="16"/>
  <c r="EA93" i="16" s="1"/>
  <c r="DY23" i="16"/>
  <c r="DY54" i="16"/>
  <c r="EA54" i="16" s="1"/>
  <c r="DY95" i="16"/>
  <c r="EA95" i="16" s="1"/>
  <c r="DY58" i="16"/>
  <c r="EA58" i="16" s="1"/>
  <c r="DY40" i="16"/>
  <c r="DY64" i="16"/>
  <c r="EA64" i="16" s="1"/>
  <c r="DY85" i="16"/>
  <c r="EA85" i="16" s="1"/>
  <c r="DY11" i="16"/>
  <c r="DY22" i="16"/>
  <c r="DY42" i="16"/>
  <c r="DY98" i="16"/>
  <c r="EA98" i="16" s="1"/>
  <c r="DY60" i="16"/>
  <c r="EA60" i="16" s="1"/>
  <c r="DY50" i="16"/>
  <c r="DY74" i="16"/>
  <c r="EA74" i="16" s="1"/>
  <c r="DY15" i="16"/>
  <c r="DY57" i="16"/>
  <c r="EA57" i="16" s="1"/>
  <c r="DY27" i="16"/>
  <c r="DY76" i="16"/>
  <c r="EA76" i="16" s="1"/>
  <c r="DY49" i="16"/>
  <c r="DY56" i="16"/>
  <c r="EA56" i="16" s="1"/>
  <c r="DY97" i="16"/>
  <c r="EA97" i="16" s="1"/>
  <c r="DY77" i="16"/>
  <c r="EA77" i="16" s="1"/>
  <c r="DY91" i="16"/>
  <c r="EA91" i="16" s="1"/>
  <c r="L42" i="17"/>
  <c r="L37" i="17"/>
  <c r="L21" i="17"/>
  <c r="L36" i="17"/>
  <c r="L31" i="17"/>
  <c r="L35" i="17"/>
  <c r="L26" i="17"/>
  <c r="K52" i="23"/>
  <c r="L15" i="17"/>
  <c r="L38" i="17"/>
  <c r="L53" i="17"/>
  <c r="L34" i="17"/>
  <c r="L19" i="17"/>
  <c r="I52" i="23"/>
  <c r="L40" i="17"/>
  <c r="L17" i="17"/>
  <c r="E52" i="23"/>
  <c r="L47" i="17"/>
  <c r="L14" i="17"/>
  <c r="L55" i="17"/>
  <c r="L45" i="17"/>
  <c r="L54" i="17"/>
  <c r="L44" i="17"/>
  <c r="L23" i="17"/>
  <c r="L39" i="17"/>
  <c r="G18" i="21"/>
  <c r="L12" i="17"/>
  <c r="L50" i="17"/>
  <c r="L18" i="17"/>
  <c r="L41" i="17"/>
  <c r="L29" i="17"/>
  <c r="C52" i="23"/>
  <c r="L20" i="17"/>
  <c r="L13" i="17"/>
  <c r="EA10" i="16" l="1"/>
  <c r="DZ10" i="16" s="1"/>
  <c r="N16" i="17"/>
  <c r="EA15" i="16"/>
  <c r="DZ15" i="16" s="1"/>
  <c r="N22" i="17"/>
  <c r="DZ97" i="16"/>
  <c r="N55" i="17"/>
  <c r="EA50" i="16"/>
  <c r="N45" i="17"/>
  <c r="EA40" i="16"/>
  <c r="N26" i="17"/>
  <c r="EA19" i="16"/>
  <c r="N38" i="17"/>
  <c r="EA33" i="16"/>
  <c r="DZ65" i="16"/>
  <c r="N25" i="17"/>
  <c r="EA18" i="16"/>
  <c r="C22" i="21"/>
  <c r="N14" i="17"/>
  <c r="EA9" i="16"/>
  <c r="N51" i="17"/>
  <c r="EA46" i="16"/>
  <c r="N43" i="17"/>
  <c r="EA38" i="16"/>
  <c r="EA7" i="16"/>
  <c r="G22" i="21"/>
  <c r="DZ78" i="16"/>
  <c r="DZ89" i="16"/>
  <c r="DZ56" i="16"/>
  <c r="DZ60" i="16"/>
  <c r="DZ58" i="16"/>
  <c r="DZ82" i="16"/>
  <c r="DZ83" i="16"/>
  <c r="E22" i="21"/>
  <c r="EA6" i="16"/>
  <c r="DZ99" i="16"/>
  <c r="N34" i="17"/>
  <c r="EA29" i="16"/>
  <c r="DZ55" i="16"/>
  <c r="DZ101" i="16"/>
  <c r="DZ81" i="16"/>
  <c r="DZ61" i="16"/>
  <c r="EA49" i="16"/>
  <c r="N54" i="17"/>
  <c r="DZ98" i="16"/>
  <c r="DZ95" i="16"/>
  <c r="DZ53" i="16"/>
  <c r="N39" i="17"/>
  <c r="EA34" i="16"/>
  <c r="DZ62" i="16"/>
  <c r="EA47" i="16"/>
  <c r="N52" i="17"/>
  <c r="DZ92" i="16"/>
  <c r="EA37" i="16"/>
  <c r="N42" i="17"/>
  <c r="DZ21" i="16"/>
  <c r="DZ88" i="16"/>
  <c r="DZ59" i="16"/>
  <c r="DZ79" i="16"/>
  <c r="DZ76" i="16"/>
  <c r="N47" i="17"/>
  <c r="EA42" i="16"/>
  <c r="DZ54" i="16"/>
  <c r="EA26" i="16"/>
  <c r="N31" i="17"/>
  <c r="DZ75" i="16"/>
  <c r="EA14" i="16"/>
  <c r="C56" i="23"/>
  <c r="N20" i="17"/>
  <c r="N53" i="17"/>
  <c r="EA48" i="16"/>
  <c r="EA4" i="16"/>
  <c r="N9" i="17"/>
  <c r="F22" i="21"/>
  <c r="DZ80" i="16"/>
  <c r="N24" i="17"/>
  <c r="EA17" i="16"/>
  <c r="DZ52" i="16"/>
  <c r="N13" i="17"/>
  <c r="EA8" i="16"/>
  <c r="N32" i="17"/>
  <c r="EA27" i="16"/>
  <c r="EA22" i="16"/>
  <c r="K56" i="23"/>
  <c r="N15" i="17"/>
  <c r="N29" i="17"/>
  <c r="EA23" i="16"/>
  <c r="N27" i="17"/>
  <c r="N28" i="17"/>
  <c r="EA24" i="16"/>
  <c r="N49" i="17"/>
  <c r="EA44" i="16"/>
  <c r="DZ103" i="16"/>
  <c r="DZ67" i="16"/>
  <c r="N21" i="17"/>
  <c r="EA20" i="16"/>
  <c r="DZ66" i="16"/>
  <c r="N23" i="17"/>
  <c r="EA16" i="16"/>
  <c r="DZ63" i="16"/>
  <c r="N48" i="17"/>
  <c r="EA43" i="16"/>
  <c r="DZ57" i="16"/>
  <c r="N18" i="17"/>
  <c r="EA11" i="16"/>
  <c r="DZ93" i="16"/>
  <c r="N10" i="17"/>
  <c r="EA5" i="16"/>
  <c r="DZ72" i="16"/>
  <c r="N44" i="17"/>
  <c r="EA39" i="16"/>
  <c r="DZ69" i="16"/>
  <c r="N40" i="17"/>
  <c r="EA35" i="16"/>
  <c r="N30" i="17"/>
  <c r="EA25" i="16"/>
  <c r="DZ94" i="16"/>
  <c r="DZ71" i="16"/>
  <c r="N36" i="17"/>
  <c r="EA31" i="16"/>
  <c r="DZ91" i="16"/>
  <c r="DZ85" i="16"/>
  <c r="DZ102" i="16"/>
  <c r="DZ84" i="16"/>
  <c r="N56" i="17"/>
  <c r="EA51" i="16"/>
  <c r="I56" i="23"/>
  <c r="N19" i="17"/>
  <c r="EA12" i="16"/>
  <c r="EA41" i="16"/>
  <c r="N46" i="17"/>
  <c r="DZ100" i="16"/>
  <c r="DZ70" i="16"/>
  <c r="DZ90" i="16"/>
  <c r="N17" i="17"/>
  <c r="EA13" i="16"/>
  <c r="E56" i="23"/>
  <c r="EA28" i="16"/>
  <c r="N33" i="17"/>
  <c r="D22" i="21"/>
  <c r="G56" i="23"/>
  <c r="DZ77" i="16"/>
  <c r="DZ74" i="16"/>
  <c r="DZ64" i="16"/>
  <c r="N35" i="17"/>
  <c r="EA30" i="16"/>
  <c r="DZ87" i="16"/>
  <c r="N8" i="17"/>
  <c r="EA3" i="16"/>
  <c r="N41" i="17"/>
  <c r="EA36" i="16"/>
  <c r="DZ96" i="16"/>
  <c r="N37" i="17"/>
  <c r="EA32" i="16"/>
  <c r="N50" i="17"/>
  <c r="EA45" i="16"/>
  <c r="DZ73" i="16"/>
  <c r="EA86" i="16"/>
  <c r="DZ68" i="16"/>
  <c r="DZ28" i="16" l="1"/>
  <c r="DZ16" i="16"/>
  <c r="DZ23" i="16"/>
  <c r="DZ42" i="16"/>
  <c r="DZ34" i="16"/>
  <c r="DZ19" i="16"/>
  <c r="DZ45" i="16"/>
  <c r="DZ8" i="16"/>
  <c r="DZ14" i="16"/>
  <c r="DZ37" i="16"/>
  <c r="DZ49" i="16"/>
  <c r="DZ6" i="16"/>
  <c r="DZ7" i="16"/>
  <c r="DZ13" i="16"/>
  <c r="DZ44" i="16"/>
  <c r="DZ38" i="16"/>
  <c r="DZ18" i="16"/>
  <c r="DZ40" i="16"/>
  <c r="DZ3" i="16"/>
  <c r="DZ32" i="16"/>
  <c r="DZ41" i="16"/>
  <c r="DZ39" i="16"/>
  <c r="DZ4" i="16"/>
  <c r="DZ12" i="16"/>
  <c r="DZ11" i="16"/>
  <c r="DZ43" i="16"/>
  <c r="DZ20" i="16"/>
  <c r="DZ22" i="16"/>
  <c r="DZ48" i="16"/>
  <c r="DZ50" i="16"/>
  <c r="DZ25" i="16"/>
  <c r="DZ24" i="16"/>
  <c r="DZ27" i="16"/>
  <c r="DZ17" i="16"/>
  <c r="DZ26" i="16"/>
  <c r="DZ47" i="16"/>
  <c r="DZ29" i="16"/>
  <c r="DZ46" i="16"/>
  <c r="DZ86" i="16"/>
  <c r="DZ30" i="16"/>
  <c r="DZ33" i="16"/>
  <c r="DZ36" i="16"/>
  <c r="DZ51" i="16"/>
  <c r="DZ31" i="16"/>
  <c r="DZ35" i="16"/>
  <c r="DZ5" i="16"/>
  <c r="DZ9"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tc={E3EDB09A-4754-424D-B1B1-5CE06C5D8CA1}</author>
    <author>tc={B524E54E-1366-4744-BFB6-046F0EDC6B16}</author>
    <author>tc={E2C29B25-9543-406F-A2DD-A0E69E530ECA}</author>
    <author>tc={C4B16DAA-713D-4608-A835-BB3110BF9844}</author>
    <author>tc={E807275E-3B75-4FA2-BC76-FF4996E3259A}</author>
    <author>tc={66A2008C-8B32-4F7E-81BD-047F36319AC2}</author>
    <author>tc={B021FA31-B595-42C5-BD83-154FC750F8DF}</author>
    <author>tc={320944E2-E55B-4425-87B0-8B1CC301B8E8}</author>
    <author>tc={6B9199F1-0324-422D-B948-496FA2DD94C7}</author>
    <author>tc={EF3A1B11-3342-481E-B44A-27185B8CE0AF}</author>
    <author>tc={54BD72DC-11F1-4ACD-8A3B-655E667D9B55}</author>
    <author>tc={396D24B8-BF1E-4142-B019-2A25C2C033CD}</author>
    <author>tc={02EC0CD9-C735-48DD-9E99-35C6F620563D}</author>
    <author>tc={751C4860-9460-415E-B2EF-4292D15024B8}</author>
    <author>tc={36F51755-4DA9-4624-A0B0-7F7437047A94}</author>
    <author>tc={A4DB6CD0-897A-45D4-B02B-534B5B792F1C}</author>
    <author>tc={6F9A1F09-841C-4A7D-82AA-13B025C9C8DB}</author>
    <author>tc={D08F6DFC-0F9C-4E3D-B740-45D490F248D3}</author>
    <author>tc={7EC8C0A1-9296-4C43-8B06-87CB545B4F0A}</author>
    <author>tc={7B3EF4CB-ACFE-4B7A-8C13-4FF26D65B179}</author>
    <author>tc={34B4A4CA-9A2B-405E-ABD6-5CAB13C7B3A3}</author>
    <author>tc={4A1B7939-2454-4B2B-9331-6F26DA9DAFA1}</author>
    <author>tc={FE74A822-10FB-41F0-9E16-F3B209794C0B}</author>
    <author>tc={B2293974-5CD5-4348-9364-CF833C46AE69}</author>
    <author>tc={B60DA6BF-B26A-4545-9A44-6CCC3A88E4A3}</author>
    <author>tc={0CFB8F8B-C370-42CE-A8FF-52AA0E9084E8}</author>
    <author>tc={8C552624-B701-495E-B8F7-7C4478ACACAE}</author>
    <author>tc={11EEE6C0-21E7-4CDC-AE01-ADE795236006}</author>
    <author>tc={0271FE12-53DF-4997-9802-7612FD4FA1B2}</author>
    <author>tc={5C03DB38-DBC2-4681-BFA7-64019BBF4962}</author>
    <author>tc={6E28866C-DBE3-4838-BFFC-48C441D16A17}</author>
    <author>tc={99737436-BC27-457D-B10F-C916A33603BF}</author>
    <author>tc={2607A50D-163A-4679-B7BB-73BB6E83E78B}</author>
    <author>tc={DA896784-0904-41AA-AE1C-B183189DDCC0}</author>
    <author>tc={E6DB5099-C878-455D-9A42-A1856A9EB852}</author>
    <author>tc={5DF94D74-460D-4E4F-A786-8CB517DFC797}</author>
    <author>tc={28889FC6-7F08-41D5-B3A2-A9FBD87343D3}</author>
    <author>tc={C242B6D1-131A-46A8-BA23-CE1580FF8FCF}</author>
    <author>tc={F3F67987-0770-4BAC-B264-E9C2C592F13A}</author>
    <author>tc={43D4D5DC-BD40-4BB7-AAD2-6621F9936F75}</author>
    <author>tc={BFCACB78-1A91-46A3-8193-881AC1615992}</author>
    <author>tc={9945431C-D8AC-407E-A27A-0892079D78FA}</author>
    <author>tc={5EDB86D3-93FC-4FFE-B49D-EDA906975745}</author>
    <author>tc={D4A4056E-04BF-4AC3-871B-2AD293CFBCF0}</author>
    <author>tc={BF2EEA1A-9AE0-4477-873C-65A472282961}</author>
    <author>tc={A7E8BD84-DFE3-4E83-B929-4DB764633C6E}</author>
    <author>tc={F6E6E674-FA64-4023-B8DD-4B2BB9546E2D}</author>
    <author>tc={97A97341-2D16-4C12-BF0A-5668E7D872B4}</author>
    <author>tc={9519E9BB-F15F-4182-9C31-674E72BAD1F9}</author>
    <author>tc={9DD1F1D6-7E99-4513-8A20-B39895FE2794}</author>
    <author>tc={879C6CD8-6953-4EFB-93CC-299EB264EDDE}</author>
    <author>tc={BDA8BA87-CF4E-4728-9576-8B756CC0F923}</author>
    <author>tc={6C93EA89-8AEF-4946-8993-D4DF3CB93F91}</author>
    <author>tc={31181BBB-AC77-45D3-97A3-A1D402637591}</author>
    <author>tc={0975C8A1-2BE5-4288-B73B-D957742829A7}</author>
    <author>tc={F3882CDE-AF58-4252-9008-0FB889746F15}</author>
    <author>tc={F65EEFD3-EDCA-4198-91E6-D52B20435585}</author>
    <author>tc={8D545782-1270-4F5E-98A6-3CC3DE2D90F3}</author>
    <author>tc={911577C4-BD75-4644-B258-890E53A506D5}</author>
    <author>tc={8EC41628-B13F-4277-B54C-9BC25B092904}</author>
    <author>tc={29FAE9A6-EF52-4130-BE4C-C31508FEFAAD}</author>
    <author>tc={1E15BFB9-D6E1-42B0-BD59-71D98DF28132}</author>
    <author>tc={00825BF8-E0E0-4D69-8C64-78EA9E83A84A}</author>
    <author>tc={B44138BA-0DB6-4374-9E68-EE2A2205ECB4}</author>
    <author>tc={57C00596-B67D-4177-A39A-E9B7689882D4}</author>
    <author>tc={004B9037-93C8-405F-A877-E9534C205FA6}</author>
    <author>tc={D0EACDB2-6FEC-451F-98AD-1C901D2788E6}</author>
    <author>tc={A7535CD0-5BC3-4314-A85D-A45A9B14C5A7}</author>
    <author>tc={F5CBB04A-1EB7-45DD-B65A-462EC8D545F5}</author>
    <author>tc={73D73CB5-F2E4-4422-927B-B86D4C281D26}</author>
    <author>tc={E1438883-3742-4C74-ADEE-938B53AFB4BD}</author>
    <author>Ayeshik, Faiyaz</author>
    <author>tc={29F2ED94-1130-4C8A-B9F0-8C899242B579}</author>
    <author>tc={AE378B95-91F0-46B9-8296-F2D85CBB1D6D}</author>
    <author>tc={DB411E5C-70A4-4B91-910E-F4455A5F9C35}</author>
    <author>tc={376F39B3-ABE8-4A3D-B8AA-7533E3E592A0}</author>
    <author>tc={7185C044-9AE1-4009-BAD6-CEE84216D5D0}</author>
    <author>tc={C349E738-BC80-4E39-97FC-ABA0E624EE86}</author>
    <author>tc={0466CC14-5896-4DF2-B566-F6731B8BB0C3}</author>
    <author>tc={570766B8-B106-44E3-A4F3-BD2BC426B4CC}</author>
    <author>Baksi, Pankaj</author>
    <author>tc={2F8A1510-5F44-4B08-BB28-F9681F495DFD}</author>
    <author>tc={15459379-78B7-4505-ACF8-FA8067A675FE}</author>
    <author>tc={AA91C52F-31D4-475F-9B38-25000F55ACD4}</author>
    <author>tc={369B4AF2-213A-4213-8643-565568237C6A}</author>
    <author>tc={E4B4B399-54B1-44BD-BBE0-3C313E97224A}</author>
    <author>tc={52BEAE94-65A2-4B53-94FC-52A1A1E60BC6}</author>
    <author>tc={193CB67A-A3EB-4DF5-8F62-A22C56A0ADAB}</author>
    <author>tc={AC5B9824-0CBB-49F7-A8F3-42D345CF0050}</author>
    <author>tc={B9725233-0F3C-4D2F-B18D-7B0B5C568F8C}</author>
    <author>tc={624A2526-CB5E-46A8-B8BB-3C78912D12AA}</author>
    <author>tc={2328C70A-0CA6-4049-BE0C-1B8C8D05A76F}</author>
    <author>tc={59D4C71E-EDE4-4FBF-A620-B3A9F1EC4AA0}</author>
    <author>tc={A1EF3B39-A4FF-4590-8D1A-FC7A4EAE2EC4}</author>
    <author>tc={AAA3E273-03A7-438C-81DF-698B89DC2AE0}</author>
    <author>tc={DD263756-B662-4C00-A94D-11FB4E33D017}</author>
    <author>tc={6F332279-20FA-4684-BDDB-DAD32A61361E}</author>
    <author>tc={D728F85C-B5AD-4B72-B55B-6BE54369ABC0}</author>
    <author>tc={285BFE32-5D66-4CEE-BDEB-59034F71F42D}</author>
    <author>tc={2B29C767-92C7-4B9E-8A87-806B851A6932}</author>
    <author>tc={4267D914-AF63-47BE-AD3C-E50AE5402685}</author>
    <author>tc={25F682BA-5282-4077-BAA0-7898F3940D85}</author>
    <author>tc={905AA9FF-287D-49F1-ADE2-F47C6AED779B}</author>
    <author>tc={407ED07C-E659-4B86-BB8E-98B1580737B7}</author>
    <author>tc={DE7D8873-27D8-41D2-99AE-89B0C79708F6}</author>
    <author>tc={294F2A3A-7382-4A75-A725-31D93707C2FE}</author>
    <author>tc={EDDB0EEB-A7A8-4D54-A10E-BFCADADB87FB}</author>
    <author>tc={6265ED11-4406-4C14-AB88-3B473D83D1C6}</author>
  </authors>
  <commentList>
    <comment ref="J2" authorId="0" shapeId="0" xr:uid="{E3EDB09A-4754-424D-B1B1-5CE06C5D8CA1}">
      <text>
        <t>[Threaded comment]
Your version of Excel allows you to read this threaded comment; however, any edits to it will get removed if the file is opened in a newer version of Excel. Learn more: https://go.microsoft.com/fwlink/?linkid=870924
Comment:
    Updated based on feedback from General Manager, IP, BEZA as received on 9 Aug 2023</t>
      </text>
    </comment>
    <comment ref="P2" authorId="1" shapeId="0" xr:uid="{B524E54E-1366-4744-BFB6-046F0EDC6B16}">
      <text>
        <t>[Threaded comment]
Your version of Excel allows you to read this threaded comment; however, any edits to it will get removed if the file is opened in a newer version of Excel. Learn more: https://go.microsoft.com/fwlink/?linkid=870924
Comment:
    Column updated based on input from BEZA key persons</t>
      </text>
    </comment>
    <comment ref="T2" authorId="2" shapeId="0" xr:uid="{E2C29B25-9543-406F-A2DD-A0E69E530ECA}">
      <text>
        <t>[Threaded comment]
Your version of Excel allows you to read this threaded comment; however, any edits to it will get removed if the file is opened in a newer version of Excel. Learn more: https://go.microsoft.com/fwlink/?linkid=870924
Comment:
    Column updated based on input from BEZA key persons</t>
      </text>
    </comment>
    <comment ref="Y2" authorId="3" shapeId="0" xr:uid="{C4B16DAA-713D-4608-A835-BB3110BF9844}">
      <text>
        <t>[Threaded comment]
Your version of Excel allows you to read this threaded comment; however, any edits to it will get removed if the file is opened in a newer version of Excel. Learn more: https://go.microsoft.com/fwlink/?linkid=870924
Comment:
    Updated based on feedback from General Manager, Planning, BEZA as received on 9 Aug 2023</t>
      </text>
    </comment>
    <comment ref="AB2" authorId="4" shapeId="0" xr:uid="{E807275E-3B75-4FA2-BC76-FF4996E3259A}">
      <text>
        <t>[Threaded comment]
Your version of Excel allows you to read this threaded comment; however, any edits to it will get removed if the file is opened in a newer version of Excel. Learn more: https://go.microsoft.com/fwlink/?linkid=870924
Comment:
    Updated based on feedback from General Manager, Planning, BEZA as received on 10 Aug 2023</t>
      </text>
    </comment>
    <comment ref="J3" authorId="5" shapeId="0" xr:uid="{66A2008C-8B32-4F7E-81BD-047F36319AC2}">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Q3" authorId="6" shapeId="0" xr:uid="{B021FA31-B595-42C5-BD83-154FC750F8DF}">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
Reply:
    Score for Mirsarai and Feni calculated collectively</t>
      </text>
    </comment>
    <comment ref="U3" authorId="7" shapeId="0" xr:uid="{320944E2-E55B-4425-87B0-8B1CC301B8E8}">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
Reply:
    Score for Mirsarai and Feni calculated collectively</t>
      </text>
    </comment>
    <comment ref="Y3" authorId="8" shapeId="0" xr:uid="{6B9199F1-0324-422D-B948-496FA2DD94C7}">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AF3" authorId="9" shapeId="0" xr:uid="{EF3A1B11-3342-481E-B44A-27185B8CE0AF}">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AJ3" authorId="10" shapeId="0" xr:uid="{54BD72DC-11F1-4ACD-8A3B-655E667D9B55}">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AP3" authorId="11" shapeId="0" xr:uid="{396D24B8-BF1E-4142-B019-2A25C2C033CD}">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AS3" authorId="12" shapeId="0" xr:uid="{02EC0CD9-C735-48DD-9E99-35C6F620563D}">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AV3" authorId="13" shapeId="0" xr:uid="{751C4860-9460-415E-B2EF-4292D15024B8}">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AY3" authorId="14" shapeId="0" xr:uid="{36F51755-4DA9-4624-A0B0-7F7437047A94}">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B3" authorId="15" shapeId="0" xr:uid="{A4DB6CD0-897A-45D4-B02B-534B5B792F1C}">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E3" authorId="16" shapeId="0" xr:uid="{6F9A1F09-841C-4A7D-82AA-13B025C9C8DB}">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I3" authorId="17" shapeId="0" xr:uid="{D08F6DFC-0F9C-4E3D-B740-45D490F248D3}">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L3" authorId="18" shapeId="0" xr:uid="{7EC8C0A1-9296-4C43-8B06-87CB545B4F0A}">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O3" authorId="19" shapeId="0" xr:uid="{7B3EF4CB-ACFE-4B7A-8C13-4FF26D65B179}">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S3" authorId="20" shapeId="0" xr:uid="{34B4A4CA-9A2B-405E-ABD6-5CAB13C7B3A3}">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V3" authorId="21" shapeId="0" xr:uid="{4A1B7939-2454-4B2B-9331-6F26DA9DAFA1}">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Y3" authorId="22" shapeId="0" xr:uid="{FE74A822-10FB-41F0-9E16-F3B209794C0B}">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B3" authorId="23" shapeId="0" xr:uid="{B2293974-5CD5-4348-9364-CF833C46AE69}">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F3" authorId="24" shapeId="0" xr:uid="{B60DA6BF-B26A-4545-9A44-6CCC3A88E4A3}">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I3" authorId="25" shapeId="0" xr:uid="{0CFB8F8B-C370-42CE-A8FF-52AA0E9084E8}">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M3" authorId="26" shapeId="0" xr:uid="{8C552624-B701-495E-B8F7-7C4478ACACAE}">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P3" authorId="27" shapeId="0" xr:uid="{11EEE6C0-21E7-4CDC-AE01-ADE795236006}">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S3" authorId="28" shapeId="0" xr:uid="{0271FE12-53DF-4997-9802-7612FD4FA1B2}">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V3" authorId="29" shapeId="0" xr:uid="{5C03DB38-DBC2-4681-BFA7-64019BBF4962}">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Y3" authorId="30" shapeId="0" xr:uid="{6E28866C-DBE3-4838-BFFC-48C441D16A17}">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DC3" authorId="31" shapeId="0" xr:uid="{99737436-BC27-457D-B10F-C916A33603BF}">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DF3" authorId="32" shapeId="0" xr:uid="{2607A50D-163A-4679-B7BB-73BB6E83E78B}">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DI3" authorId="33" shapeId="0" xr:uid="{DA896784-0904-41AA-AE1C-B183189DDCC0}">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DL3" authorId="34" shapeId="0" xr:uid="{E6DB5099-C878-455D-9A42-A1856A9EB852}">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DO3" authorId="35" shapeId="0" xr:uid="{5DF94D74-460D-4E4F-A786-8CB517DFC797}">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DR3" authorId="36" shapeId="0" xr:uid="{28889FC6-7F08-41D5-B3A2-A9FBD87343D3}">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E4" authorId="37" shapeId="0" xr:uid="{C242B6D1-131A-46A8-BA23-CE1580FF8FCF}">
      <text>
        <t>[Threaded comment]
Your version of Excel allows you to read this threaded comment; however, any edits to it will get removed if the file is opened in a newer version of Excel. Learn more: https://go.microsoft.com/fwlink/?linkid=870924
Comment:
    According to feasibility reports, this zone has a dedicated jetty within the premises.</t>
      </text>
    </comment>
    <comment ref="CP4" authorId="38" shapeId="0" xr:uid="{F3F67987-0770-4BAC-B264-E9C2C592F13A}">
      <text>
        <t>[Threaded comment]
Your version of Excel allows you to read this threaded comment; however, any edits to it will get removed if the file is opened in a newer version of Excel. Learn more: https://go.microsoft.com/fwlink/?linkid=870924
Comment:
    As per feasibility, the zone has dedicated housing complex within the premises.</t>
      </text>
    </comment>
    <comment ref="J5" authorId="39" shapeId="0" xr:uid="{43D4D5DC-BD40-4BB7-AAD2-6621F9936F75}">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Q5" authorId="40" shapeId="0" xr:uid="{BFCACB78-1A91-46A3-8193-881AC1615992}">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U5" authorId="41" shapeId="0" xr:uid="{9945431C-D8AC-407E-A27A-0892079D78FA}">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Y5" authorId="42" shapeId="0" xr:uid="{5EDB86D3-93FC-4FFE-B49D-EDA906975745}">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AF5" authorId="43" shapeId="0" xr:uid="{D4A4056E-04BF-4AC3-871B-2AD293CFBCF0}">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AJ5" authorId="44" shapeId="0" xr:uid="{BF2EEA1A-9AE0-4477-873C-65A472282961}">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AP5" authorId="45" shapeId="0" xr:uid="{A7E8BD84-DFE3-4E83-B929-4DB764633C6E}">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AS5" authorId="46" shapeId="0" xr:uid="{F6E6E674-FA64-4023-B8DD-4B2BB9546E2D}">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AV5" authorId="47" shapeId="0" xr:uid="{97A97341-2D16-4C12-BF0A-5668E7D872B4}">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AY5" authorId="48" shapeId="0" xr:uid="{9519E9BB-F15F-4182-9C31-674E72BAD1F9}">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B5" authorId="49" shapeId="0" xr:uid="{9DD1F1D6-7E99-4513-8A20-B39895FE2794}">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E5" authorId="50" shapeId="0" xr:uid="{879C6CD8-6953-4EFB-93CC-299EB264EDDE}">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I5" authorId="51" shapeId="0" xr:uid="{BDA8BA87-CF4E-4728-9576-8B756CC0F923}">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L5" authorId="52" shapeId="0" xr:uid="{6C93EA89-8AEF-4946-8993-D4DF3CB93F91}">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O5" authorId="53" shapeId="0" xr:uid="{31181BBB-AC77-45D3-97A3-A1D402637591}">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S5" authorId="54" shapeId="0" xr:uid="{0975C8A1-2BE5-4288-B73B-D957742829A7}">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V5" authorId="55" shapeId="0" xr:uid="{F3882CDE-AF58-4252-9008-0FB889746F15}">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BY5" authorId="56" shapeId="0" xr:uid="{F65EEFD3-EDCA-4198-91E6-D52B20435585}">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B5" authorId="57" shapeId="0" xr:uid="{8D545782-1270-4F5E-98A6-3CC3DE2D90F3}">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F5" authorId="58" shapeId="0" xr:uid="{911577C4-BD75-4644-B258-890E53A506D5}">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I5" authorId="59" shapeId="0" xr:uid="{8EC41628-B13F-4277-B54C-9BC25B092904}">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M5" authorId="60" shapeId="0" xr:uid="{29FAE9A6-EF52-4130-BE4C-C31508FEFAAD}">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P5" authorId="61" shapeId="0" xr:uid="{1E15BFB9-D6E1-42B0-BD59-71D98DF28132}">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S5" authorId="62" shapeId="0" xr:uid="{00825BF8-E0E0-4D69-8C64-78EA9E83A84A}">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V5" authorId="63" shapeId="0" xr:uid="{B44138BA-0DB6-4374-9E68-EE2A2205ECB4}">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Y5" authorId="64" shapeId="0" xr:uid="{57C00596-B67D-4177-A39A-E9B7689882D4}">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DC5" authorId="65" shapeId="0" xr:uid="{004B9037-93C8-405F-A877-E9534C205FA6}">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DF5" authorId="66" shapeId="0" xr:uid="{D0EACDB2-6FEC-451F-98AD-1C901D2788E6}">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DI5" authorId="67" shapeId="0" xr:uid="{A7535CD0-5BC3-4314-A85D-A45A9B14C5A7}">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DL5" authorId="68" shapeId="0" xr:uid="{F5CBB04A-1EB7-45DD-B65A-462EC8D545F5}">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DO5" authorId="69" shapeId="0" xr:uid="{73D73CB5-F2E4-4422-927B-B86D4C281D26}">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DR5" authorId="70" shapeId="0" xr:uid="{E1438883-3742-4C74-ADEE-938B53AFB4BD}">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M6" authorId="71" shapeId="0" xr:uid="{CF9CDC5F-EF35-4491-BF33-B2AD4CE6752B}">
      <text>
        <r>
          <rPr>
            <b/>
            <sz val="9"/>
            <color indexed="81"/>
            <rFont val="Tahoma"/>
            <family val="2"/>
          </rPr>
          <t>Ayeshik, Faiyaz:</t>
        </r>
        <r>
          <rPr>
            <sz val="9"/>
            <color indexed="81"/>
            <rFont val="Tahoma"/>
            <family val="2"/>
          </rPr>
          <t xml:space="preserve">
Araihazar-1 is the G2G EZ
</t>
        </r>
      </text>
    </comment>
    <comment ref="P7" authorId="72" shapeId="0" xr:uid="{29F2ED94-1130-4C8A-B9F0-8C899242B579}">
      <text>
        <t>[Threaded comment]
Your version of Excel allows you to read this threaded comment; however, any edits to it will get removed if the file is opened in a newer version of Excel. Learn more: https://go.microsoft.com/fwlink/?linkid=870924
Comment:
    Updated from DPP</t>
      </text>
    </comment>
    <comment ref="T7" authorId="73" shapeId="0" xr:uid="{AE378B95-91F0-46B9-8296-F2D85CBB1D6D}">
      <text>
        <t>[Threaded comment]
Your version of Excel allows you to read this threaded comment; however, any edits to it will get removed if the file is opened in a newer version of Excel. Learn more: https://go.microsoft.com/fwlink/?linkid=870924
Comment:
    Updated from DPP</t>
      </text>
    </comment>
    <comment ref="P8" authorId="74" shapeId="0" xr:uid="{DB411E5C-70A4-4B91-910E-F4455A5F9C35}">
      <text>
        <t>[Threaded comment]
Your version of Excel allows you to read this threaded comment; however, any edits to it will get removed if the file is opened in a newer version of Excel. Learn more: https://go.microsoft.com/fwlink/?linkid=870924
Comment:
    Updated from Pre-Feasibility</t>
      </text>
    </comment>
    <comment ref="T8" authorId="75" shapeId="0" xr:uid="{376F39B3-ABE8-4A3D-B8AA-7533E3E592A0}">
      <text>
        <t>[Threaded comment]
Your version of Excel allows you to read this threaded comment; however, any edits to it will get removed if the file is opened in a newer version of Excel. Learn more: https://go.microsoft.com/fwlink/?linkid=870924
Comment:
    Updated from Pre-Feasibility</t>
      </text>
    </comment>
    <comment ref="AP8" authorId="76" shapeId="0" xr:uid="{7185C044-9AE1-4009-BAD6-CEE84216D5D0}">
      <text>
        <t>[Threaded comment]
Your version of Excel allows you to read this threaded comment; however, any edits to it will get removed if the file is opened in a newer version of Excel. Learn more: https://go.microsoft.com/fwlink/?linkid=870924
Comment:
    Updated based on Feasibility</t>
      </text>
    </comment>
    <comment ref="BL8" authorId="77" shapeId="0" xr:uid="{C349E738-BC80-4E39-97FC-ABA0E624EE86}">
      <text>
        <t>[Threaded comment]
Your version of Excel allows you to read this threaded comment; however, any edits to it will get removed if the file is opened in a newer version of Excel. Learn more: https://go.microsoft.com/fwlink/?linkid=870924
Comment:
    Adjusted based on GTCL data
https://gtcl.org.bd/sites/default/files/files/gtcl.portal.gov.bd/download/665a096b_bf05_4662_a122_d6818672adbc/2023-07-20-08-02-12b061073b931f1f14aaf289ce1796e8.pdf</t>
      </text>
    </comment>
    <comment ref="BO8" authorId="78" shapeId="0" xr:uid="{0466CC14-5896-4DF2-B566-F6731B8BB0C3}">
      <text>
        <t>[Threaded comment]
Your version of Excel allows you to read this threaded comment; however, any edits to it will get removed if the file is opened in a newer version of Excel. Learn more: https://go.microsoft.com/fwlink/?linkid=870924
Comment:
    Updated based on Pre-Feasibility</t>
      </text>
    </comment>
    <comment ref="J9" authorId="79" shapeId="0" xr:uid="{570766B8-B106-44E3-A4F3-BD2BC426B4CC}">
      <text>
        <t>[Threaded comment]
Your version of Excel allows you to read this threaded comment; however, any edits to it will get removed if the file is opened in a newer version of Excel. Learn more: https://go.microsoft.com/fwlink/?linkid=870924
Comment:
    Land acquisition issue. Only 40 acres land available with BEZA</t>
      </text>
    </comment>
    <comment ref="AB10" authorId="80" shapeId="0" xr:uid="{02882A99-B83B-415E-AD80-3D6F07BBC440}">
      <text>
        <r>
          <rPr>
            <b/>
            <sz val="9"/>
            <color indexed="81"/>
            <rFont val="Tahoma"/>
            <charset val="1"/>
          </rPr>
          <t>Baksi, Pankaj:</t>
        </r>
        <r>
          <rPr>
            <sz val="9"/>
            <color indexed="81"/>
            <rFont val="Tahoma"/>
            <charset val="1"/>
          </rPr>
          <t xml:space="preserve">
Report not available with consultant. Zone has also ranked lowest in Level 1 ranking. Hence not taken up for Level 2 scoring.</t>
        </r>
      </text>
    </comment>
    <comment ref="J11" authorId="81" shapeId="0" xr:uid="{2F8A1510-5F44-4B08-BB28-F9681F495DFD}">
      <text>
        <t xml:space="preserve">[Threaded comment]
Your version of Excel allows you to read this threaded comment; however, any edits to it will get removed if the file is opened in a newer version of Excel. Learn more: https://go.microsoft.com/fwlink/?linkid=870924
Comment:
    Land acquisition issue, only 110 acres land available. </t>
      </text>
    </comment>
    <comment ref="BL12" authorId="82" shapeId="0" xr:uid="{15459379-78B7-4505-ACF8-FA8067A675FE}">
      <text>
        <t>[Threaded comment]
Your version of Excel allows you to read this threaded comment; however, any edits to it will get removed if the file is opened in a newer version of Excel. Learn more: https://go.microsoft.com/fwlink/?linkid=870924
Comment:
    Updated from Feasibility Study</t>
      </text>
    </comment>
    <comment ref="M13" authorId="71" shapeId="0" xr:uid="{DE92176B-8C38-4FFB-9228-6E9148DF4DC1}">
      <text>
        <r>
          <rPr>
            <b/>
            <sz val="9"/>
            <color indexed="81"/>
            <rFont val="Tahoma"/>
            <family val="2"/>
          </rPr>
          <t>Ayeshik, Faiyaz:</t>
        </r>
        <r>
          <rPr>
            <sz val="9"/>
            <color indexed="81"/>
            <rFont val="Tahoma"/>
            <family val="2"/>
          </rPr>
          <t xml:space="preserve">
Listed as Anowara-2 in BEZA Planning List</t>
        </r>
      </text>
    </comment>
    <comment ref="AS13" authorId="83" shapeId="0" xr:uid="{AA91C52F-31D4-475F-9B38-25000F55ACD4}">
      <text>
        <t>[Threaded comment]
Your version of Excel allows you to read this threaded comment; however, any edits to it will get removed if the file is opened in a newer version of Excel. Learn more: https://go.microsoft.com/fwlink/?linkid=870924
Comment:
    The data updated based on discussion with BEZA- Zone has connecting road to highway</t>
      </text>
    </comment>
    <comment ref="J14" authorId="84" shapeId="0" xr:uid="{369B4AF2-213A-4213-8643-565568237C6A}">
      <text>
        <t>[Threaded comment]
Your version of Excel allows you to read this threaded comment; however, any edits to it will get removed if the file is opened in a newer version of Excel. Learn more: https://go.microsoft.com/fwlink/?linkid=870924
Comment:
    No land available as per email from BEZA dated 11 December 2024</t>
      </text>
    </comment>
    <comment ref="AB15" authorId="80" shapeId="0" xr:uid="{4DBE92F8-150D-48D0-B722-326E7E49D802}">
      <text>
        <r>
          <rPr>
            <b/>
            <sz val="9"/>
            <color indexed="81"/>
            <rFont val="Tahoma"/>
            <charset val="1"/>
          </rPr>
          <t>Baksi, Pankaj:</t>
        </r>
        <r>
          <rPr>
            <sz val="9"/>
            <color indexed="81"/>
            <rFont val="Tahoma"/>
            <charset val="1"/>
          </rPr>
          <t xml:space="preserve">
Report not available with consultant. Zone has also ranked lowest in Level 1 ranking. Hence not taken up for Level 2 scoring.</t>
        </r>
      </text>
    </comment>
    <comment ref="J16" authorId="85" shapeId="0" xr:uid="{E4B4B399-54B1-44BD-BBE0-3C313E97224A}">
      <text>
        <t xml:space="preserve">[Threaded comment]
Your version of Excel allows you to read this threaded comment; however, any edits to it will get removed if the file is opened in a newer version of Excel. Learn more: https://go.microsoft.com/fwlink/?linkid=870924
Comment:
    Major environmental bottleneck, cancellation of EIA. As informed by BEZA on 11 Dec 2024. </t>
      </text>
    </comment>
    <comment ref="P16" authorId="86" shapeId="0" xr:uid="{52BEAE94-65A2-4B53-94FC-52A1A1E60BC6}">
      <text>
        <t>[Threaded comment]
Your version of Excel allows you to read this threaded comment; however, any edits to it will get removed if the file is opened in a newer version of Excel. Learn more: https://go.microsoft.com/fwlink/?linkid=870924
Comment:
    Updated from Feasibility Study</t>
      </text>
    </comment>
    <comment ref="T16" authorId="87" shapeId="0" xr:uid="{193CB67A-A3EB-4DF5-8F62-A22C56A0ADAB}">
      <text>
        <t>[Threaded comment]
Your version of Excel allows you to read this threaded comment; however, any edits to it will get removed if the file is opened in a newer version of Excel. Learn more: https://go.microsoft.com/fwlink/?linkid=870924
Comment:
    Updated from Feasibility Study</t>
      </text>
    </comment>
    <comment ref="BL16" authorId="88" shapeId="0" xr:uid="{AC5B9824-0CBB-49F7-A8F3-42D345CF0050}">
      <text>
        <t>[Threaded comment]
Your version of Excel allows you to read this threaded comment; however, any edits to it will get removed if the file is opened in a newer version of Excel. Learn more: https://go.microsoft.com/fwlink/?linkid=870924
Comment:
    Adjusted based on GTCL data
https://gtcl.org.bd/sites/default/files/files/gtcl.portal.gov.bd/download/665a096b_bf05_4662_a122_d6818672adbc/2023-07-20-08-02-12b061073b931f1f14aaf289ce1796e8.pdf</t>
      </text>
    </comment>
    <comment ref="BO16" authorId="89" shapeId="0" xr:uid="{B9725233-0F3C-4D2F-B18D-7B0B5C568F8C}">
      <text>
        <t>[Threaded comment]
Your version of Excel allows you to read this threaded comment; however, any edits to it will get removed if the file is opened in a newer version of Excel. Learn more: https://go.microsoft.com/fwlink/?linkid=870924
Comment:
    Updated from Feasibility Study</t>
      </text>
    </comment>
    <comment ref="DC16" authorId="90" shapeId="0" xr:uid="{624A2526-CB5E-46A8-B8BB-3C78912D12AA}">
      <text>
        <t xml:space="preserve">[Threaded comment]
Your version of Excel allows you to read this threaded comment; however, any edits to it will get removed if the file is opened in a newer version of Excel. Learn more: https://go.microsoft.com/fwlink/?linkid=870924
Comment:
    EIA approval cancelled as per mail from BEZA dated 11 Nov. </t>
      </text>
    </comment>
    <comment ref="J18" authorId="91" shapeId="0" xr:uid="{2328C70A-0CA6-4049-BE0C-1B8C8D05A76F}">
      <text>
        <t>[Threaded comment]
Your version of Excel allows you to read this threaded comment; however, any edits to it will get removed if the file is opened in a newer version of Excel. Learn more: https://go.microsoft.com/fwlink/?linkid=870924
Comment:
    Land not available as informed by BEZA on 11 Dec 2024.</t>
      </text>
    </comment>
    <comment ref="P20" authorId="92" shapeId="0" xr:uid="{59D4C71E-EDE4-4FBF-A620-B3A9F1EC4AA0}">
      <text>
        <t>[Threaded comment]
Your version of Excel allows you to read this threaded comment; however, any edits to it will get removed if the file is opened in a newer version of Excel. Learn more: https://go.microsoft.com/fwlink/?linkid=870924
Comment:
    Updated from DPP</t>
      </text>
    </comment>
    <comment ref="AF20" authorId="93" shapeId="0" xr:uid="{A1EF3B39-A4FF-4590-8D1A-FC7A4EAE2EC4}">
      <text>
        <t>[Threaded comment]
Your version of Excel allows you to read this threaded comment; however, any edits to it will get removed if the file is opened in a newer version of Excel. Learn more: https://go.microsoft.com/fwlink/?linkid=870924
Comment:
    Updated demand as per discussions with BEZA due to high land demand practically observed from various sector investors observed in the EZ</t>
      </text>
    </comment>
    <comment ref="BL20" authorId="94" shapeId="0" xr:uid="{AAA3E273-03A7-438C-81DF-698B89DC2AE0}">
      <text>
        <t xml:space="preserve">[Threaded comment]
Your version of Excel allows you to read this threaded comment; however, any edits to it will get removed if the file is opened in a newer version of Excel. Learn more: https://go.microsoft.com/fwlink/?linkid=870924
Comment:
    Gas availability updated as per latest data provided by BEZA- gas available within site </t>
      </text>
    </comment>
    <comment ref="M21" authorId="95" shapeId="0" xr:uid="{DD263756-B662-4C00-A94D-11FB4E33D017}">
      <text>
        <t>[Threaded comment]
Your version of Excel allows you to read this threaded comment; however, any edits to it will get removed if the file is opened in a newer version of Excel. Learn more: https://go.microsoft.com/fwlink/?linkid=870924
Comment:
    Updated based on feasibility study</t>
      </text>
    </comment>
    <comment ref="P21" authorId="96" shapeId="0" xr:uid="{6F332279-20FA-4684-BDDB-DAD32A61361E}">
      <text>
        <t>[Threaded comment]
Your version of Excel allows you to read this threaded comment; however, any edits to it will get removed if the file is opened in a newer version of Excel. Learn more: https://go.microsoft.com/fwlink/?linkid=870924
Comment:
    Feasibility Study (Pg 182)</t>
      </text>
    </comment>
    <comment ref="T21" authorId="97" shapeId="0" xr:uid="{D728F85C-B5AD-4B72-B55B-6BE54369ABC0}">
      <text>
        <t>[Threaded comment]
Your version of Excel allows you to read this threaded comment; however, any edits to it will get removed if the file is opened in a newer version of Excel. Learn more: https://go.microsoft.com/fwlink/?linkid=870924
Comment:
    Mujib Badh present</t>
      </text>
    </comment>
    <comment ref="AF22" authorId="98" shapeId="0" xr:uid="{285BFE32-5D66-4CEE-BDEB-59034F71F42D}">
      <text>
        <t>[Threaded comment]
Your version of Excel allows you to read this threaded comment; however, any edits to it will get removed if the file is opened in a newer version of Excel. Learn more: https://go.microsoft.com/fwlink/?linkid=870924
Comment:
    Updated demand as per discussions with BEZA due to high land demand practically observed from various sector investors observed in the EZ</t>
      </text>
    </comment>
    <comment ref="BI22" authorId="99" shapeId="0" xr:uid="{2B29C767-92C7-4B9E-8A87-806B851A6932}">
      <text>
        <t>[Threaded comment]
Your version of Excel allows you to read this threaded comment; however, any edits to it will get removed if the file is opened in a newer version of Excel. Learn more: https://go.microsoft.com/fwlink/?linkid=870924
Comment:
    Power availability status updated due to new power station constructed near site as per discussions with BEZA</t>
      </text>
    </comment>
    <comment ref="CB22" authorId="100" shapeId="0" xr:uid="{4267D914-AF63-47BE-AD3C-E50AE5402685}">
      <text>
        <t>[Threaded comment]
Your version of Excel allows you to read this threaded comment; however, any edits to it will get removed if the file is opened in a newer version of Excel. Learn more: https://go.microsoft.com/fwlink/?linkid=870924
Comment:
    Site located on industry corridor- data updated</t>
      </text>
    </comment>
    <comment ref="J24" authorId="101" shapeId="0" xr:uid="{25F682BA-5282-4077-BAA0-7898F3940D85}">
      <text>
        <t xml:space="preserve">[Threaded comment]
Your version of Excel allows you to read this threaded comment; however, any edits to it will get removed if the file is opened in a newer version of Excel. Learn more: https://go.microsoft.com/fwlink/?linkid=870924
Comment:
    Land not available as informed by BEZA on 11 Dec 2024
</t>
      </text>
    </comment>
    <comment ref="T26" authorId="102" shapeId="0" xr:uid="{905AA9FF-287D-49F1-ADE2-F47C6AED779B}">
      <text>
        <t>[Threaded comment]
Your version of Excel allows you to read this threaded comment; however, any edits to it will get removed if the file is opened in a newer version of Excel. Learn more: https://go.microsoft.com/fwlink/?linkid=870924
Comment:
    Updated based on feasibility study. Embankment not required.</t>
      </text>
    </comment>
    <comment ref="J27" authorId="103" shapeId="0" xr:uid="{407ED07C-E659-4B86-BB8E-98B1580737B7}">
      <text>
        <t>[Threaded comment]
Your version of Excel allows you to read this threaded comment; however, any edits to it will get removed if the file is opened in a newer version of Excel. Learn more: https://go.microsoft.com/fwlink/?linkid=870924
Comment:
    Land not available as informed by BEZA on 11 Dec 2024</t>
      </text>
    </comment>
    <comment ref="J28" authorId="104" shapeId="0" xr:uid="{DE7D8873-27D8-41D2-99AE-89B0C79708F6}">
      <text>
        <t>[Threaded comment]
Your version of Excel allows you to read this threaded comment; however, any edits to it will get removed if the file is opened in a newer version of Excel. Learn more: https://go.microsoft.com/fwlink/?linkid=870924
Comment:
    Land not available as informed by BEZA on 11 Dec 2024.</t>
      </text>
    </comment>
    <comment ref="P28" authorId="105" shapeId="0" xr:uid="{294F2A3A-7382-4A75-A725-31D93707C2FE}">
      <text>
        <t>[Threaded comment]
Your version of Excel allows you to read this threaded comment; however, any edits to it will get removed if the file is opened in a newer version of Excel. Learn more: https://go.microsoft.com/fwlink/?linkid=870924
Comment:
    Updated from DPP</t>
      </text>
    </comment>
    <comment ref="J29" authorId="106" shapeId="0" xr:uid="{EDDB0EEB-A7A8-4D54-A10E-BFCADADB87FB}">
      <text>
        <t>[Threaded comment]
Your version of Excel allows you to read this threaded comment; however, any edits to it will get removed if the file is opened in a newer version of Excel. Learn more: https://go.microsoft.com/fwlink/?linkid=870924
Comment:
    Land not available as informed by BEZA on 11 Dec 2024</t>
      </text>
    </comment>
    <comment ref="M51" authorId="71" shapeId="0" xr:uid="{9399899B-6DD0-48FA-9429-2035B181F47B}">
      <text>
        <r>
          <rPr>
            <b/>
            <sz val="9"/>
            <color indexed="81"/>
            <rFont val="Tahoma"/>
            <family val="2"/>
          </rPr>
          <t>Ayeshik, Faiyaz:</t>
        </r>
        <r>
          <rPr>
            <sz val="9"/>
            <color indexed="81"/>
            <rFont val="Tahoma"/>
            <family val="2"/>
          </rPr>
          <t xml:space="preserve">
Area of Sherpur-Jamalpur</t>
        </r>
      </text>
    </comment>
    <comment ref="AB52" authorId="107" shapeId="0" xr:uid="{6265ED11-4406-4C14-AB88-3B473D83D1C6}">
      <text>
        <t>[Threaded comment]
Your version of Excel allows you to read this threaded comment; however, any edits to it will get removed if the file is opened in a newer version of Excel. Learn more: https://go.microsoft.com/fwlink/?linkid=870924
Comment:
    Updated</t>
      </text>
    </comment>
    <comment ref="AB53" authorId="80" shapeId="0" xr:uid="{CB3D39F1-314C-49B6-9010-AF90199D3772}">
      <text>
        <r>
          <rPr>
            <b/>
            <sz val="9"/>
            <color indexed="81"/>
            <rFont val="Tahoma"/>
            <charset val="1"/>
          </rPr>
          <t>Baksi, Pankaj:</t>
        </r>
        <r>
          <rPr>
            <sz val="9"/>
            <color indexed="81"/>
            <rFont val="Tahoma"/>
            <charset val="1"/>
          </rPr>
          <t xml:space="preserve">
Report not available with consultant. Zone has also ranked lowest in Level 1 ranking. Hence not taken up for Level 2 scoring.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tc={24D9BDAF-6507-461C-8FD2-5BA87BB6906E}</author>
    <author>tc={9526EAF5-92D2-4680-90F0-09E54F39A170}</author>
    <author>tc={48BCFDAB-8880-4869-9E97-5854E2541372}</author>
  </authors>
  <commentList>
    <comment ref="J2" authorId="0" shapeId="0" xr:uid="{24D9BDAF-6507-461C-8FD2-5BA87BB6906E}">
      <text>
        <t>[Threaded comment]
Your version of Excel allows you to read this threaded comment; however, any edits to it will get removed if the file is opened in a newer version of Excel. Learn more: https://go.microsoft.com/fwlink/?linkid=870924
Comment:
    Does not include Pre-Feasibility</t>
      </text>
    </comment>
    <comment ref="G18" authorId="1" shapeId="0" xr:uid="{9526EAF5-92D2-4680-90F0-09E54F39A170}">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G62" authorId="2" shapeId="0" xr:uid="{48BCFDAB-8880-4869-9E97-5854E2541372}">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tc={3EDA5BE1-FBA0-4F59-AAD5-CE113BCB0944}</author>
    <author>tc={50293B47-D795-48CA-968D-0AA1E93658BC}</author>
    <author>tc={617637CE-6A95-484B-B389-CE822E65FEDC}</author>
    <author>tc={36FDDEC7-CE05-4E34-9580-D12FA7A71725}</author>
    <author>tc={EB99EC88-3027-4444-A6AE-55A1600FC482}</author>
  </authors>
  <commentList>
    <comment ref="J2" authorId="0" shapeId="0" xr:uid="{3EDA5BE1-FBA0-4F59-AAD5-CE113BCB0944}">
      <text>
        <t>[Threaded comment]
Your version of Excel allows you to read this threaded comment; however, any edits to it will get removed if the file is opened in a newer version of Excel. Learn more: https://go.microsoft.com/fwlink/?linkid=870924
Comment:
    Updated based on feedback from Manager, IP, BEZA as received on 9 Aug 2023</t>
      </text>
    </comment>
    <comment ref="J4" authorId="1" shapeId="0" xr:uid="{50293B47-D795-48CA-968D-0AA1E93658BC}">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J5" authorId="2" shapeId="0" xr:uid="{617637CE-6A95-484B-B389-CE822E65FEDC}">
      <text>
        <t>[Threaded comment]
Your version of Excel allows you to read this threaded comment; however, any edits to it will get removed if the file is opened in a newer version of Excel. Learn more: https://go.microsoft.com/fwlink/?linkid=870924
Comment:
    As the zone is under BSMSN, the parameters of Mirsarai EZ are replicated</t>
      </text>
    </comment>
    <comment ref="C31" authorId="3" shapeId="0" xr:uid="{36FDDEC7-CE05-4E34-9580-D12FA7A71725}">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@Kumar, Praveen Kindly complete Level 2 scoring for this EZ. Thanks</t>
      </text>
    </comment>
    <comment ref="H78" authorId="4" shapeId="0" xr:uid="{EB99EC88-3027-4444-A6AE-55A1600FC482}">
      <text>
        <t>[Threaded comment]
Your version of Excel allows you to read this threaded comment; however, any edits to it will get removed if the file is opened in a newer version of Excel. Learn more: https://go.microsoft.com/fwlink/?linkid=870924
Comment:
    Zones with pre-qualification or final license have been considered "Under Development." Zones without any license have been considered "In-Principle Approved"</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tc={1BA84DB3-91C9-4189-B351-B358F6794F04}</author>
  </authors>
  <commentList>
    <comment ref="C16" authorId="0" shapeId="0" xr:uid="{1BA84DB3-91C9-4189-B351-B358F6794F04}">
      <text>
        <t>[Threaded comment]
Your version of Excel allows you to read this threaded comment; however, any edits to it will get removed if the file is opened in a newer version of Excel. Learn more: https://go.microsoft.com/fwlink/?linkid=870924
Comment:
    Updated based on discussions with BEZA held on 28 November 2024.</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tc={DA81CDDB-193F-42AE-AC27-34C7EA4D6A9E}</author>
    <author>tc={D1E1E431-1B92-46EE-8165-553219ACB76A}</author>
    <author>tc={65313FBC-329B-4AB0-A08F-A65D23E01483}</author>
    <author>tc={F4E3D9AA-9E1B-481E-B916-95B0273D6395}</author>
    <author>tc={2C47ED81-2DF2-415C-B9E4-E8A1E59ADBB1}</author>
    <author>tc={8ECCA59F-9725-4A2D-B295-121113A6029D}</author>
    <author>tc={7B04EF38-0C16-440D-B16F-95F4D8FDE558}</author>
    <author>tc={A14337D2-BCDE-4E6C-A100-EDB17754BE60}</author>
    <author>tc={B1EAED8A-3A43-4B0E-B5C1-80312C439F1A}</author>
    <author>tc={2B18EBED-5EA3-4E78-8F5D-8487F43BFCBA}</author>
    <author>tc={13249899-7FB1-4366-811C-8B6C0C4E5CAC}</author>
    <author>tc={63E80C3C-5370-44CA-8D20-074DFF9EA14E}</author>
    <author>tc={995A869A-BB5B-40E4-B03F-C5A082572FA8}</author>
    <author>tc={8D1A4A1C-6EFD-46E7-A182-711D7FD42D05}</author>
    <author>tc={DBEFB7C9-C0DF-4336-B083-C99D5B0D0327}</author>
    <author>Ayeshik, Faiyaz</author>
    <author>tc={9EA832B6-3F8D-496A-8DCF-9B3AA7238B44}</author>
    <author>tc={67C959EB-F381-4165-AF9C-52B9090E8FDE}</author>
    <author>tc={FAB74658-2758-4A3F-8059-01888E17293A}</author>
    <author>tc={04673395-2259-4187-A80A-CFFFB05F50AD}</author>
    <author>tc={C69C70AC-50FC-46D6-B57F-5A4FBD23B025}</author>
  </authors>
  <commentList>
    <comment ref="I3" authorId="0" shapeId="0" xr:uid="{DA81CDDB-193F-42AE-AC27-34C7EA4D6A9E}">
      <text>
        <t>[Threaded comment]
Your version of Excel allows you to read this threaded comment; however, any edits to it will get removed if the file is opened in a newer version of Excel. Learn more: https://go.microsoft.com/fwlink/?linkid=870924
Comment:
    Discrepancy between website PEZ status list and 2018 brochure e.g. City EZ is License Awarded in one, but Pre-Qualification in another
Reply:
    PEZ License List from OSS given priority for classification
Reply:
    Priority given to OSS List for Classification</t>
      </text>
    </comment>
    <comment ref="AI3" authorId="1" shapeId="0" xr:uid="{D1E1E431-1B92-46EE-8165-553219ACB76A}">
      <text>
        <t>[Threaded comment]
Your version of Excel allows you to read this threaded comment; however, any edits to it will get removed if the file is opened in a newer version of Excel. Learn more: https://go.microsoft.com/fwlink/?linkid=870924
Comment:
    Requires Checking</t>
      </text>
    </comment>
    <comment ref="AU4" authorId="2" shapeId="0" xr:uid="{65313FBC-329B-4AB0-A08F-A65D23E01483}">
      <text>
        <t>[Threaded comment]
Your version of Excel allows you to read this threaded comment; however, any edits to it will get removed if the file is opened in a newer version of Excel. Learn more: https://go.microsoft.com/fwlink/?linkid=870924
Comment:
    Total 165 plots, 120 categorized as less than 2 acres and rest as more than 2 acres</t>
      </text>
    </comment>
    <comment ref="AU9" authorId="3" shapeId="0" xr:uid="{F4E3D9AA-9E1B-481E-B916-95B0273D6395}">
      <text>
        <t>[Threaded comment]
Your version of Excel allows you to read this threaded comment; however, any edits to it will get removed if the file is opened in a newer version of Excel. Learn more: https://go.microsoft.com/fwlink/?linkid=870924
Comment:
    there are 1-2 acre plots and also 2 acre plots
however majority plots 1 acre</t>
      </text>
    </comment>
    <comment ref="AE12" authorId="4" shapeId="0" xr:uid="{2C47ED81-2DF2-415C-B9E4-E8A1E59ADBB1}">
      <text>
        <t>[Threaded comment]
Your version of Excel allows you to read this threaded comment; however, any edits to it will get removed if the file is opened in a newer version of Excel. Learn more: https://go.microsoft.com/fwlink/?linkid=870924
Comment:
    Site visit report: Potential of acquiring 20,000 acres</t>
      </text>
    </comment>
    <comment ref="C24" authorId="5" shapeId="0" xr:uid="{8ECCA59F-9725-4A2D-B295-121113A6029D}">
      <text>
        <t>[Threaded comment]
Your version of Excel allows you to read this threaded comment; however, any edits to it will get removed if the file is opened in a newer version of Excel. Learn more: https://go.microsoft.com/fwlink/?linkid=870924
Comment:
    Two reports on this, one pre-feasibility another feasibility. the pre-feasibility one has more detailed data</t>
      </text>
    </comment>
    <comment ref="AD24" authorId="6" shapeId="0" xr:uid="{7B04EF38-0C16-440D-B16F-95F4D8FDE558}">
      <text>
        <t>[Threaded comment]
Your version of Excel allows you to read this threaded comment; however, any edits to it will get removed if the file is opened in a newer version of Excel. Learn more: https://go.microsoft.com/fwlink/?linkid=870924
Comment:
    There is a mention of Jamalpur EZ-2 on website that is not on our list</t>
      </text>
    </comment>
    <comment ref="AE30" authorId="7" shapeId="0" xr:uid="{A14337D2-BCDE-4E6C-A100-EDB17754BE60}">
      <text>
        <t>[Threaded comment]
Your version of Excel allows you to read this threaded comment; however, any edits to it will get removed if the file is opened in a newer version of Excel. Learn more: https://go.microsoft.com/fwlink/?linkid=870924
Comment:
    Area not mentioned in site visit report</t>
      </text>
    </comment>
    <comment ref="C31" authorId="8" shapeId="0" xr:uid="{B1EAED8A-3A43-4B0E-B5C1-80312C439F1A}">
      <text>
        <t>[Threaded comment]
Your version of Excel allows you to read this threaded comment; however, any edits to it will get removed if the file is opened in a newer version of Excel. Learn more: https://go.microsoft.com/fwlink/?linkid=870924
Comment:
    based on pre feasibility report dated 2021 - pwc</t>
      </text>
    </comment>
    <comment ref="C33" authorId="9" shapeId="0" xr:uid="{2B18EBED-5EA3-4E78-8F5D-8487F43BFCBA}">
      <text>
        <t>[Threaded comment]
Your version of Excel allows you to read this threaded comment; however, any edits to it will get removed if the file is opened in a newer version of Excel. Learn more: https://go.microsoft.com/fwlink/?linkid=870924
Comment:
    Based on feasibility report dated 2014 - sheltech, jdi, maxwell</t>
      </text>
    </comment>
    <comment ref="AN35" authorId="10" shapeId="0" xr:uid="{13249899-7FB1-4366-811C-8B6C0C4E5CAC}">
      <text>
        <t>[Threaded comment]
Your version of Excel allows you to read this threaded comment; however, any edits to it will get removed if the file is opened in a newer version of Excel. Learn more: https://go.microsoft.com/fwlink/?linkid=870924
Comment:
    Double check values for rows with this issue</t>
      </text>
    </comment>
    <comment ref="C36" authorId="11" shapeId="0" xr:uid="{63E80C3C-5370-44CA-8D20-074DFF9EA14E}">
      <text>
        <t>[Threaded comment]
Your version of Excel allows you to read this threaded comment; however, any edits to it will get removed if the file is opened in a newer version of Excel. Learn more: https://go.microsoft.com/fwlink/?linkid=870924
Comment:
    Feasibility report of Sonadia Eco Tourism Park Used here</t>
      </text>
    </comment>
    <comment ref="C40" authorId="12" shapeId="0" xr:uid="{995A869A-BB5B-40E4-B03F-C5A082572FA8}">
      <text>
        <t>[Threaded comment]
Your version of Excel allows you to read this threaded comment; however, any edits to it will get removed if the file is opened in a newer version of Excel. Learn more: https://go.microsoft.com/fwlink/?linkid=870924
Comment:
    Jaliardip Economic Zone</t>
      </text>
    </comment>
    <comment ref="AE41" authorId="13" shapeId="0" xr:uid="{8D1A4A1C-6EFD-46E7-A182-711D7FD42D05}">
      <text>
        <t>[Threaded comment]
Your version of Excel allows you to read this threaded comment; however, any edits to it will get removed if the file is opened in a newer version of Excel. Learn more: https://go.microsoft.com/fwlink/?linkid=870924
Comment:
    Revisit this figure</t>
      </text>
    </comment>
    <comment ref="C59" authorId="14" shapeId="0" xr:uid="{DBEFB7C9-C0DF-4336-B083-C99D5B0D0327}">
      <text>
        <t>[Threaded comment]
Your version of Excel allows you to read this threaded comment; however, any edits to it will get removed if the file is opened in a newer version of Excel. Learn more: https://go.microsoft.com/fwlink/?linkid=870924
Comment:
    Jajira Economic Zone File used</t>
      </text>
    </comment>
    <comment ref="AQ60" authorId="15" shapeId="0" xr:uid="{505135A4-8040-44AA-9785-56785B0B9F14}">
      <text>
        <r>
          <rPr>
            <b/>
            <sz val="9"/>
            <color indexed="81"/>
            <rFont val="Tahoma"/>
            <family val="2"/>
          </rPr>
          <t>Ayeshik, Faiyaz:</t>
        </r>
        <r>
          <rPr>
            <sz val="9"/>
            <color indexed="81"/>
            <rFont val="Tahoma"/>
            <family val="2"/>
          </rPr>
          <t xml:space="preserve">
Area of Sherpur-Jamalpur</t>
        </r>
      </text>
    </comment>
    <comment ref="AE67" authorId="16" shapeId="0" xr:uid="{9EA832B6-3F8D-496A-8DCF-9B3AA7238B44}">
      <text>
        <t>[Threaded comment]
Your version of Excel allows you to read this threaded comment; however, any edits to it will get removed if the file is opened in a newer version of Excel. Learn more: https://go.microsoft.com/fwlink/?linkid=870924
Comment:
    1259.83 acre of additional land proposed (currently under private ownership)</t>
      </text>
    </comment>
    <comment ref="AQ68" authorId="15" shapeId="0" xr:uid="{83780A14-CDD9-495F-B806-5BD348ED768C}">
      <text>
        <r>
          <rPr>
            <b/>
            <sz val="9"/>
            <color indexed="81"/>
            <rFont val="Tahoma"/>
            <family val="2"/>
          </rPr>
          <t>Ayeshik, Faiyaz:</t>
        </r>
        <r>
          <rPr>
            <sz val="9"/>
            <color indexed="81"/>
            <rFont val="Tahoma"/>
            <family val="2"/>
          </rPr>
          <t xml:space="preserve">
Listed as Anowara-2 in BEZA Planning List</t>
        </r>
      </text>
    </comment>
    <comment ref="AY68" authorId="17" shapeId="0" xr:uid="{67C959EB-F381-4165-AF9C-52B9090E8FDE}">
      <text>
        <t>[Threaded comment]
Your version of Excel allows you to read this threaded comment; however, any edits to it will get removed if the file is opened in a newer version of Excel. Learn more: https://go.microsoft.com/fwlink/?linkid=870924
Comment:
    utility assumed to be water+gas+electricity/power+parking areas</t>
      </text>
    </comment>
    <comment ref="C69" authorId="18" shapeId="0" xr:uid="{FAB74658-2758-4A3F-8059-01888E17293A}">
      <text>
        <t>[Threaded comment]
Your version of Excel allows you to read this threaded comment; however, any edits to it will get removed if the file is opened in a newer version of Excel. Learn more: https://go.microsoft.com/fwlink/?linkid=870924
Comment:
    From area and location Feasibility Report seems like that of Araihazar EZ -2. There is another araihazar ez</t>
      </text>
    </comment>
    <comment ref="AE70" authorId="19" shapeId="0" xr:uid="{04673395-2259-4187-A80A-CFFFB05F50AD}">
      <text>
        <t>[Threaded comment]
Your version of Excel allows you to read this threaded comment; however, any edits to it will get removed if the file is opened in a newer version of Excel. Learn more: https://go.microsoft.com/fwlink/?linkid=870924
Comment:
    Additional 38 acre is proposed</t>
      </text>
    </comment>
    <comment ref="H72" authorId="20" shapeId="0" xr:uid="{C69C70AC-50FC-46D6-B57F-5A4FBD23B025}">
      <text>
        <t>[Threaded comment]
Your version of Excel allows you to read this threaded comment; however, any edits to it will get removed if the file is opened in a newer version of Excel. Learn more: https://go.microsoft.com/fwlink/?linkid=870924
Comment:
    Zones with pre-qualification or final license have been considered "Under Development." Zones without any license have been considered "In-Principle Approved"</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tc={975D94D8-D6F7-44A6-B159-2BA02BA81767}</author>
  </authors>
  <commentList>
    <comment ref="C22" authorId="0" shapeId="0" xr:uid="{975D94D8-D6F7-44A6-B159-2BA02BA81767}">
      <text>
        <t>[Threaded comment]
Your version of Excel allows you to read this threaded comment; however, any edits to it will get removed if the file is opened in a newer version of Excel. Learn more: https://go.microsoft.com/fwlink/?linkid=870924
Comment:
    @Kumar, Praveen Kindly complete Level 2 scoring for this EZ. Thanks</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tc={34CD15AF-A621-461B-8C6B-AB3ECD195A4D}</author>
  </authors>
  <commentList>
    <comment ref="C31" authorId="0" shapeId="0" xr:uid="{34CD15AF-A621-461B-8C6B-AB3ECD195A4D}">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@Kumar, Praveen Kindly complete Level 2 scoring for this EZ. Thanks</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tc={BBA2E974-510A-4321-80AE-F118F926547B}</author>
    <author>tc={D46B66FD-99DE-41D3-AB9B-4C1586B5C49A}</author>
    <author>tc={F423334C-EAB3-42FE-BDD1-27C2B7F0C499}</author>
    <author>tc={7D881192-A181-44FB-B436-026F1FCA2E28}</author>
    <author>tc={BDFC9A2D-6369-4418-B53A-4384462EF016}</author>
    <author>tc={90B612B9-9307-4CDD-BB0B-06BEBBA78203}</author>
    <author>tc={EDF81000-BEF2-4BDB-9F9C-885A10065B89}</author>
    <author>tc={40D0B7E4-051F-4767-AAA9-64675ABABD57}</author>
    <author>tc={DBB5A1C3-EB96-430F-ABD7-E0C76D4CD6E5}</author>
    <author>tc={3483F440-4367-43C9-9D1A-77A5FDAB0087}</author>
    <author>tc={8D6567FD-422E-4100-A7E9-63263A8086BF}</author>
    <author>tc={06ADBE1E-C55D-45FA-AB1B-E3C1C9BB89CF}</author>
    <author>tc={A540164D-C50E-4A15-94D6-A87C705CCB50}</author>
    <author>tc={EC790809-DB13-400C-BD4B-2F24EE38704A}</author>
    <author>tc={E4F0B6D6-13B7-49FC-A7E8-38D1039E425B}</author>
  </authors>
  <commentList>
    <comment ref="AD3" authorId="0" shapeId="0" xr:uid="{BBA2E974-510A-4321-80AE-F118F926547B}">
      <text>
        <t>[Threaded comment]
Your version of Excel allows you to read this threaded comment; however, any edits to it will get removed if the file is opened in a newer version of Excel. Learn more: https://go.microsoft.com/fwlink/?linkid=870924
Comment:
    Total 165 plots, 120 categorized as less than 2 acres and rest as more than 2 acres</t>
      </text>
    </comment>
    <comment ref="AH4" authorId="1" shapeId="0" xr:uid="{D46B66FD-99DE-41D3-AB9B-4C1586B5C49A}">
      <text>
        <t>[Threaded comment]
Your version of Excel allows you to read this threaded comment; however, any edits to it will get removed if the file is opened in a newer version of Excel. Learn more: https://go.microsoft.com/fwlink/?linkid=870924
Comment:
    utility assumed to be water+gas+electricity/power+parking areas</t>
      </text>
    </comment>
    <comment ref="B5" authorId="2" shapeId="0" xr:uid="{F423334C-EAB3-42FE-BDD1-27C2B7F0C499}">
      <text>
        <t>[Threaded comment]
Your version of Excel allows you to read this threaded comment; however, any edits to it will get removed if the file is opened in a newer version of Excel. Learn more: https://go.microsoft.com/fwlink/?linkid=870924
Comment:
    Two reports on this, one pre-feasibility another feasibility. the pre-feasibility one has more detailed data</t>
      </text>
    </comment>
    <comment ref="B7" authorId="3" shapeId="0" xr:uid="{7D881192-A181-44FB-B436-026F1FCA2E28}">
      <text>
        <t>[Threaded comment]
Your version of Excel allows you to read this threaded comment; however, any edits to it will get removed if the file is opened in a newer version of Excel. Learn more: https://go.microsoft.com/fwlink/?linkid=870924
Comment:
    Based on feasibility report dated 2014 - sheltech, jdi, maxwell</t>
      </text>
    </comment>
    <comment ref="Y10" authorId="4" shapeId="0" xr:uid="{BDFC9A2D-6369-4418-B53A-4384462EF016}">
      <text>
        <t>[Threaded comment]
Your version of Excel allows you to read this threaded comment; however, any edits to it will get removed if the file is opened in a newer version of Excel. Learn more: https://go.microsoft.com/fwlink/?linkid=870924
Comment:
    Area not mentioned in site visit report</t>
      </text>
    </comment>
    <comment ref="B11" authorId="5" shapeId="0" xr:uid="{90B612B9-9307-4CDD-BB0B-06BEBBA78203}">
      <text>
        <t>[Threaded comment]
Your version of Excel allows you to read this threaded comment; however, any edits to it will get removed if the file is opened in a newer version of Excel. Learn more: https://go.microsoft.com/fwlink/?linkid=870924
Comment:
    Feasibility report of Sonadia Eco Tourism Park Used here</t>
      </text>
    </comment>
    <comment ref="B14" authorId="6" shapeId="0" xr:uid="{EDF81000-BEF2-4BDB-9F9C-885A10065B89}">
      <text>
        <t>[Threaded comment]
Your version of Excel allows you to read this threaded comment; however, any edits to it will get removed if the file is opened in a newer version of Excel. Learn more: https://go.microsoft.com/fwlink/?linkid=870924
Comment:
    Jajira Economic Zone File used</t>
      </text>
    </comment>
    <comment ref="B15" authorId="7" shapeId="0" xr:uid="{40D0B7E4-051F-4767-AAA9-64675ABABD57}">
      <text>
        <t>[Threaded comment]
Your version of Excel allows you to read this threaded comment; however, any edits to it will get removed if the file is opened in a newer version of Excel. Learn more: https://go.microsoft.com/fwlink/?linkid=870924
Comment:
    From area and location Feasibility Report seems like that of Araihazar EZ -2. There is another araihazar ez</t>
      </text>
    </comment>
    <comment ref="AD16" authorId="8" shapeId="0" xr:uid="{DBB5A1C3-EB96-430F-ABD7-E0C76D4CD6E5}">
      <text>
        <t>[Threaded comment]
Your version of Excel allows you to read this threaded comment; however, any edits to it will get removed if the file is opened in a newer version of Excel. Learn more: https://go.microsoft.com/fwlink/?linkid=870924
Comment:
    there are 1-2 acre plots and also 2 acre plots
however majority plots 1 acre</t>
      </text>
    </comment>
    <comment ref="B20" authorId="9" shapeId="0" xr:uid="{3483F440-4367-43C9-9D1A-77A5FDAB0087}">
      <text>
        <t>[Threaded comment]
Your version of Excel allows you to read this threaded comment; however, any edits to it will get removed if the file is opened in a newer version of Excel. Learn more: https://go.microsoft.com/fwlink/?linkid=870924
Comment:
    based on pre feasibility report dated 2021 - pwc</t>
      </text>
    </comment>
    <comment ref="B24" authorId="10" shapeId="0" xr:uid="{8D6567FD-422E-4100-A7E9-63263A8086BF}">
      <text>
        <t>[Threaded comment]
Your version of Excel allows you to read this threaded comment; however, any edits to it will get removed if the file is opened in a newer version of Excel. Learn more: https://go.microsoft.com/fwlink/?linkid=870924
Comment:
    Jaliardip Economic Zone</t>
      </text>
    </comment>
    <comment ref="Y29" authorId="11" shapeId="0" xr:uid="{06ADBE1E-C55D-45FA-AB1B-E3C1C9BB89CF}">
      <text>
        <t>[Threaded comment]
Your version of Excel allows you to read this threaded comment; however, any edits to it will get removed if the file is opened in a newer version of Excel. Learn more: https://go.microsoft.com/fwlink/?linkid=870924
Comment:
    1259.83 acre of additional land proposed (currently under private ownership)</t>
      </text>
    </comment>
    <comment ref="Y33" authorId="12" shapeId="0" xr:uid="{A540164D-C50E-4A15-94D6-A87C705CCB50}">
      <text>
        <t>[Threaded comment]
Your version of Excel allows you to read this threaded comment; however, any edits to it will get removed if the file is opened in a newer version of Excel. Learn more: https://go.microsoft.com/fwlink/?linkid=870924
Comment:
    Site visit report: Potential of acquiring 20,000 acres</t>
      </text>
    </comment>
    <comment ref="Y45" authorId="13" shapeId="0" xr:uid="{EC790809-DB13-400C-BD4B-2F24EE38704A}">
      <text>
        <t>[Threaded comment]
Your version of Excel allows you to read this threaded comment; however, any edits to it will get removed if the file is opened in a newer version of Excel. Learn more: https://go.microsoft.com/fwlink/?linkid=870924
Comment:
    Additional 38 acre is proposed</t>
      </text>
    </comment>
    <comment ref="Y53" authorId="14" shapeId="0" xr:uid="{E4F0B6D6-13B7-49FC-A7E8-38D1039E425B}">
      <text>
        <t>[Threaded comment]
Your version of Excel allows you to read this threaded comment; however, any edits to it will get removed if the file is opened in a newer version of Excel. Learn more: https://go.microsoft.com/fwlink/?linkid=870924
Comment:
    Revisit this figure</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tc={9980302E-4B74-48D9-81E9-8E6C8413F5E4}</author>
    <author>tc={0D0535BE-EA8A-47F1-ACDF-2395FFF05DED}</author>
    <author>tc={9FC77CEB-D701-4377-9CC6-25F47077A81B}</author>
    <author>tc={89317BFD-B342-490F-BEB0-103CC7C7627B}</author>
    <author>tc={F7C09198-000B-42D0-88BD-D01EAC405B79}</author>
    <author>tc={6B292317-964F-46A2-BE5D-3413CE454B94}</author>
    <author>tc={C525A6BA-36C9-4DFD-B621-A9E13D529E1F}</author>
  </authors>
  <commentList>
    <comment ref="C25" authorId="0" shapeId="0" xr:uid="{9980302E-4B74-48D9-81E9-8E6C8413F5E4}">
      <text>
        <t>[Threaded comment]
Your version of Excel allows you to read this threaded comment; however, any edits to it will get removed if the file is opened in a newer version of Excel. Learn more: https://go.microsoft.com/fwlink/?linkid=870924
Comment:
    Two reports on this, one pre-feasibility another feasibility. the pre-feasibility one has more detailed data</t>
      </text>
    </comment>
    <comment ref="C32" authorId="1" shapeId="0" xr:uid="{0D0535BE-EA8A-47F1-ACDF-2395FFF05DED}">
      <text>
        <t>[Threaded comment]
Your version of Excel allows you to read this threaded comment; however, any edits to it will get removed if the file is opened in a newer version of Excel. Learn more: https://go.microsoft.com/fwlink/?linkid=870924
Comment:
    based on pre feasibility report dated 2021 - pwc</t>
      </text>
    </comment>
    <comment ref="C34" authorId="2" shapeId="0" xr:uid="{9FC77CEB-D701-4377-9CC6-25F47077A81B}">
      <text>
        <t>[Threaded comment]
Your version of Excel allows you to read this threaded comment; however, any edits to it will get removed if the file is opened in a newer version of Excel. Learn more: https://go.microsoft.com/fwlink/?linkid=870924
Comment:
    Based on feasibility report dated 2014 - sheltech, jdi, maxwell</t>
      </text>
    </comment>
    <comment ref="C37" authorId="3" shapeId="0" xr:uid="{89317BFD-B342-490F-BEB0-103CC7C7627B}">
      <text>
        <t>[Threaded comment]
Your version of Excel allows you to read this threaded comment; however, any edits to it will get removed if the file is opened in a newer version of Excel. Learn more: https://go.microsoft.com/fwlink/?linkid=870924
Comment:
    Feasibility report of Sonadia Eco Tourism Park Used here</t>
      </text>
    </comment>
    <comment ref="C41" authorId="4" shapeId="0" xr:uid="{F7C09198-000B-42D0-88BD-D01EAC405B79}">
      <text>
        <t>[Threaded comment]
Your version of Excel allows you to read this threaded comment; however, any edits to it will get removed if the file is opened in a newer version of Excel. Learn more: https://go.microsoft.com/fwlink/?linkid=870924
Comment:
    Jaliardip Economic Zone</t>
      </text>
    </comment>
    <comment ref="C60" authorId="5" shapeId="0" xr:uid="{6B292317-964F-46A2-BE5D-3413CE454B94}">
      <text>
        <t>[Threaded comment]
Your version of Excel allows you to read this threaded comment; however, any edits to it will get removed if the file is opened in a newer version of Excel. Learn more: https://go.microsoft.com/fwlink/?linkid=870924
Comment:
    Jajira Economic Zone File used</t>
      </text>
    </comment>
    <comment ref="C70" authorId="6" shapeId="0" xr:uid="{C525A6BA-36C9-4DFD-B621-A9E13D529E1F}">
      <text>
        <t>[Threaded comment]
Your version of Excel allows you to read this threaded comment; however, any edits to it will get removed if the file is opened in a newer version of Excel. Learn more: https://go.microsoft.com/fwlink/?linkid=870924
Comment:
    From area and location Feasibility Report seems like that of Araihazar EZ -2. There is another araihazar ez</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<sst xmlns="http://schemas.openxmlformats.org/spreadsheetml/2006/main" count="13884" uniqueCount="1445">
  <si>
    <t>Color Code</t>
  </si>
  <si>
    <t>Highest Scores (Top 9)</t>
  </si>
  <si>
    <t>Selected for Divisional Representation</t>
  </si>
  <si>
    <t>Overall Scoring (Out of 4) and Overall Ranking</t>
  </si>
  <si>
    <t>SN</t>
  </si>
  <si>
    <t>Name</t>
  </si>
  <si>
    <t>Division</t>
  </si>
  <si>
    <t>District</t>
  </si>
  <si>
    <t>Upazila</t>
  </si>
  <si>
    <t>Type</t>
  </si>
  <si>
    <t>BEZA Updated EZ List Area (Acres)</t>
  </si>
  <si>
    <t>Grade</t>
  </si>
  <si>
    <t>Zone Priority</t>
  </si>
  <si>
    <t>Level 1 Score
(Out of 2)</t>
  </si>
  <si>
    <t>Level 1 Score Rank</t>
  </si>
  <si>
    <t>Total Score (Out of 4)</t>
  </si>
  <si>
    <t>Total Score Rank</t>
  </si>
  <si>
    <t>Mirsarai Economic Zone</t>
  </si>
  <si>
    <t>Feni Economic Zone</t>
  </si>
  <si>
    <t>Sitakundo Economic Zone</t>
  </si>
  <si>
    <t>Sabrang Tourism Park</t>
  </si>
  <si>
    <t>Araihazar Economic Zone</t>
  </si>
  <si>
    <t>Nawabganj Economic Zone</t>
  </si>
  <si>
    <t>Anowara Economic Zone - 2</t>
  </si>
  <si>
    <t>Gopalganj Economic Zone</t>
  </si>
  <si>
    <t>Kushtia Economic Zone</t>
  </si>
  <si>
    <t>Dhaka SEZ, Keraniganj</t>
  </si>
  <si>
    <t>Moheshkhali Economic Zone – 3, Dhalghata, Cox’s Bazar</t>
  </si>
  <si>
    <t>Naf Tourism Park</t>
  </si>
  <si>
    <t>Narayanganj Economic Zone</t>
  </si>
  <si>
    <t>Sonadia Eco Tourism Park</t>
  </si>
  <si>
    <t>Chandpur Economic Zone – 1</t>
  </si>
  <si>
    <t>Karnaphuli Dry Dock Special Economic Zone</t>
  </si>
  <si>
    <t>Aman Economic Zone</t>
  </si>
  <si>
    <t>East-West Special Economic Zone</t>
  </si>
  <si>
    <t>Meghna Industrial Economic Zone</t>
  </si>
  <si>
    <t>Shreehatta Economic Zone</t>
  </si>
  <si>
    <t>Mongla Economic Zone</t>
  </si>
  <si>
    <t>City Economic Zone</t>
  </si>
  <si>
    <t>Meghna Economic Zone</t>
  </si>
  <si>
    <t>Cumilla Economic Zone</t>
  </si>
  <si>
    <t>Tangail Economic Zone</t>
  </si>
  <si>
    <t>Anowara Economic Zone</t>
  </si>
  <si>
    <t>Jamalpur Economic Zone</t>
  </si>
  <si>
    <t>Bay Economic Zone</t>
  </si>
  <si>
    <t>Dhaka Economic Zone, Dohar</t>
  </si>
  <si>
    <t>Hamid Economic Zone</t>
  </si>
  <si>
    <t>Kazi Farms Economic Zone Ltd.</t>
  </si>
  <si>
    <t>City Special Economic Zone</t>
  </si>
  <si>
    <t>Bogura Economic Zone – 1</t>
  </si>
  <si>
    <t>Sylhet Special Economic Zone</t>
  </si>
  <si>
    <t>Sonargaon Economic Zone</t>
  </si>
  <si>
    <t>Abdul Monem Economic Zone</t>
  </si>
  <si>
    <t>Agoiljhara Economic Zone</t>
  </si>
  <si>
    <t>Hoshendi Economic Zone</t>
  </si>
  <si>
    <t>Panchagarh Economic Zone</t>
  </si>
  <si>
    <t>Moheshkhali Economic Zone – 1, Cox’s Bazar</t>
  </si>
  <si>
    <t>Manikganj Economic Zone</t>
  </si>
  <si>
    <t>Netrakona Economic Zone – 1</t>
  </si>
  <si>
    <t>Nilphamari Economic Zone</t>
  </si>
  <si>
    <t>Natore Economic Zone</t>
  </si>
  <si>
    <t>Shariatpur Economic Zone, Jajira</t>
  </si>
  <si>
    <t>Bhola Economic Zone</t>
  </si>
  <si>
    <t>Sherpur-Jamalpur Economic Zone</t>
  </si>
  <si>
    <t>Mongla Special Economic Zone (Indian SEZ)</t>
  </si>
  <si>
    <t xml:space="preserve"> Level 1 Score</t>
  </si>
  <si>
    <t>Total
Score</t>
  </si>
  <si>
    <t xml:space="preserve"> Total Score Rank</t>
  </si>
  <si>
    <t>Chattogram</t>
  </si>
  <si>
    <t>Sitakundo</t>
  </si>
  <si>
    <t>Government</t>
  </si>
  <si>
    <t>Mirsarai</t>
  </si>
  <si>
    <t>Feni</t>
  </si>
  <si>
    <t>Sonagazi</t>
  </si>
  <si>
    <t>Cox’s Bazar</t>
  </si>
  <si>
    <t>Teknaf</t>
  </si>
  <si>
    <t>Dhaka</t>
  </si>
  <si>
    <t>Narayanganj</t>
  </si>
  <si>
    <t>Araihazar</t>
  </si>
  <si>
    <t>G2G</t>
  </si>
  <si>
    <t>Nawabganj</t>
  </si>
  <si>
    <t>Anowara</t>
  </si>
  <si>
    <t>Gopalganj</t>
  </si>
  <si>
    <t>Kotalipara</t>
  </si>
  <si>
    <t>Khulna</t>
  </si>
  <si>
    <t>Kushtia</t>
  </si>
  <si>
    <t>Bheramara</t>
  </si>
  <si>
    <t>Keraniganj</t>
  </si>
  <si>
    <t>Moheshkhali</t>
  </si>
  <si>
    <t>Bandar and Sonargaon</t>
  </si>
  <si>
    <t>Chandpur</t>
  </si>
  <si>
    <t>Matlab Uttar</t>
  </si>
  <si>
    <t>Private</t>
  </si>
  <si>
    <t>Sonargaon</t>
  </si>
  <si>
    <t>Sylhet</t>
  </si>
  <si>
    <t>Moulvibazar</t>
  </si>
  <si>
    <t>Moulvibazar Sadar</t>
  </si>
  <si>
    <t>Bagerhat</t>
  </si>
  <si>
    <t>Mongla</t>
  </si>
  <si>
    <t>Rupganj</t>
  </si>
  <si>
    <t>Cumilla</t>
  </si>
  <si>
    <t>Meghna</t>
  </si>
  <si>
    <t>Tangail</t>
  </si>
  <si>
    <t>Bhuapur</t>
  </si>
  <si>
    <t>Mymensingh</t>
  </si>
  <si>
    <t>Jamalpur</t>
  </si>
  <si>
    <t>Jamalpur Sadar</t>
  </si>
  <si>
    <t>Gazipur</t>
  </si>
  <si>
    <t>Konabari</t>
  </si>
  <si>
    <t>Dohar</t>
  </si>
  <si>
    <t>Trishal</t>
  </si>
  <si>
    <t>Chandanaish</t>
  </si>
  <si>
    <t>Demra</t>
  </si>
  <si>
    <t>Rajshahi</t>
  </si>
  <si>
    <t>Bogura</t>
  </si>
  <si>
    <t>Shahajahanpur</t>
  </si>
  <si>
    <t>Gowainghat</t>
  </si>
  <si>
    <t>Munshiganj</t>
  </si>
  <si>
    <t>Gajaria</t>
  </si>
  <si>
    <t>Barishal</t>
  </si>
  <si>
    <t>Agoiljhara</t>
  </si>
  <si>
    <t>Rangpur</t>
  </si>
  <si>
    <t>Panchagarh</t>
  </si>
  <si>
    <t>Debiganj</t>
  </si>
  <si>
    <t>Manikganj</t>
  </si>
  <si>
    <t>Shibaloy</t>
  </si>
  <si>
    <t>Netrakona</t>
  </si>
  <si>
    <t>Netrakona Sadar</t>
  </si>
  <si>
    <t>Nilphamari</t>
  </si>
  <si>
    <t>Nilphamari Sadar</t>
  </si>
  <si>
    <t>Natore</t>
  </si>
  <si>
    <t>Lalpur</t>
  </si>
  <si>
    <t>Shariatpur</t>
  </si>
  <si>
    <t>Jajira</t>
  </si>
  <si>
    <t>Bhola</t>
  </si>
  <si>
    <t>Bhola Sadar</t>
  </si>
  <si>
    <t>Sherpur</t>
  </si>
  <si>
    <t>Sherpur Sadar</t>
  </si>
  <si>
    <t>Shariatpur Economic Zone, Gosairhat</t>
  </si>
  <si>
    <t>Gosairhat</t>
  </si>
  <si>
    <t>Chandpur Economic Zone – 2</t>
  </si>
  <si>
    <t>Haimchar</t>
  </si>
  <si>
    <t>Bashundhara Economic Zone</t>
  </si>
  <si>
    <t>Arisha Economic Zone</t>
  </si>
  <si>
    <t>Savar, Keraniganj</t>
  </si>
  <si>
    <t>Sirajganj Economic Zone</t>
  </si>
  <si>
    <t>Sirajganj</t>
  </si>
  <si>
    <t>Sirajganj Sadar, Belkuchi</t>
  </si>
  <si>
    <t>Araihazar Economic Zone - 2</t>
  </si>
  <si>
    <t>Khulna Economic Zone – 1</t>
  </si>
  <si>
    <t>Batiaghata</t>
  </si>
  <si>
    <t>Habiganj Economic Zone</t>
  </si>
  <si>
    <t>Habiganj</t>
  </si>
  <si>
    <t>Chunarughat</t>
  </si>
  <si>
    <t>Noakhali Economic Zone, Companiganj</t>
  </si>
  <si>
    <t>Noakhali</t>
  </si>
  <si>
    <t>Companiganj</t>
  </si>
  <si>
    <t>Cox’s Bazar Special Economic Zone, Moheshkhali</t>
  </si>
  <si>
    <t>Moheshkhali Special Economic Zone Cox’s Bazar</t>
  </si>
  <si>
    <t>Anowar Economic Zone</t>
  </si>
  <si>
    <t>Standard Global Economic Zone</t>
  </si>
  <si>
    <t>Akij Economic Zone</t>
  </si>
  <si>
    <t>Chor Megha Economic Zone</t>
  </si>
  <si>
    <t>Hizla</t>
  </si>
  <si>
    <t>Narayanganj Economic Zone, Sonargaon</t>
  </si>
  <si>
    <t>United City IT Park Ltd.</t>
  </si>
  <si>
    <t>Vatara &amp; Badda</t>
  </si>
  <si>
    <t>Mymensingh Economic Zone</t>
  </si>
  <si>
    <t>Mymensingh Sadar</t>
  </si>
  <si>
    <t>A.K.Khan and Comapny Ltd. Economic Zone,</t>
  </si>
  <si>
    <t>Narsingdi</t>
  </si>
  <si>
    <t>Palash</t>
  </si>
  <si>
    <t>Kurigram Economic Zone – 1</t>
  </si>
  <si>
    <t>Kurigram</t>
  </si>
  <si>
    <t>Kurigram Sadar</t>
  </si>
  <si>
    <t>Shreepur Economic Zone</t>
  </si>
  <si>
    <t>Shreepur</t>
  </si>
  <si>
    <t>C</t>
  </si>
  <si>
    <t>Sathkira Economic Zone</t>
  </si>
  <si>
    <t>Sathkira</t>
  </si>
  <si>
    <t>-</t>
  </si>
  <si>
    <t>(blank)</t>
  </si>
  <si>
    <t>Natore Economic Zone – 2</t>
  </si>
  <si>
    <t>Nator Sadar</t>
  </si>
  <si>
    <t>East-Coast Group Economic Zone</t>
  </si>
  <si>
    <t>Bahubal</t>
  </si>
  <si>
    <t>Khulna Economic Zone – 2</t>
  </si>
  <si>
    <t>Terokhada</t>
  </si>
  <si>
    <t>Kishoreganj Economic Zone (Nitol Motors Ltd.)</t>
  </si>
  <si>
    <t>Kishoreganj</t>
  </si>
  <si>
    <t>Pakundia</t>
  </si>
  <si>
    <t>‘Garments Industries Park’ proposed by BGMEA</t>
  </si>
  <si>
    <t>Abul Khair Economic Zone</t>
  </si>
  <si>
    <t>Aliance Economic Zone</t>
  </si>
  <si>
    <t>Daudkandi</t>
  </si>
  <si>
    <t>Mymensingh Economic Zone, Ishwarganj</t>
  </si>
  <si>
    <t>Ishwarganj</t>
  </si>
  <si>
    <t>Sandwip Economic Zone</t>
  </si>
  <si>
    <t>Sandwip</t>
  </si>
  <si>
    <t>Patia Economic Zone</t>
  </si>
  <si>
    <t>Patia</t>
  </si>
  <si>
    <t>Chatak Economic Zone</t>
  </si>
  <si>
    <t>Sunamganj</t>
  </si>
  <si>
    <t>Chatak</t>
  </si>
  <si>
    <t>Madaripur Economic Zone</t>
  </si>
  <si>
    <t>Madaripur</t>
  </si>
  <si>
    <t>Rajoir</t>
  </si>
  <si>
    <t>Dinajpur Economic Zone</t>
  </si>
  <si>
    <t>Dinajpur</t>
  </si>
  <si>
    <t>Dinajpur Sadar</t>
  </si>
  <si>
    <t>Faridpur Economic Zone</t>
  </si>
  <si>
    <t>Faridpur</t>
  </si>
  <si>
    <t>Faridpur Sadar</t>
  </si>
  <si>
    <t>Famkam Economic Zone</t>
  </si>
  <si>
    <t>Rampal</t>
  </si>
  <si>
    <t>Moheshkhali Economic Zone – 2, Kalarmarchara, Cox’s Bazar</t>
  </si>
  <si>
    <t>Moheshkhali Economic Zone, Kalarmarchara</t>
  </si>
  <si>
    <t>Kalarmarchara</t>
  </si>
  <si>
    <t>Gopalganj Economic Zone – 2</t>
  </si>
  <si>
    <t>Gopalganj Sadar</t>
  </si>
  <si>
    <t>Alutila Special Tourism Zone</t>
  </si>
  <si>
    <t>Khagrachari Hill Tracts</t>
  </si>
  <si>
    <t>Matiranga &amp; Khagrachari</t>
  </si>
  <si>
    <t>Sunamganj Economic Zone, Chhatak</t>
  </si>
  <si>
    <t> Chhatak</t>
  </si>
  <si>
    <t>D</t>
  </si>
  <si>
    <t>Moheshkhali Special Economic Zone (Sonadia &amp; Ghatibhanga)</t>
  </si>
  <si>
    <t>Sundarban Tourism Park</t>
  </si>
  <si>
    <t>Sharankhola</t>
  </si>
  <si>
    <t>B</t>
  </si>
  <si>
    <t>Magura Economic Zone</t>
  </si>
  <si>
    <t>Magura</t>
  </si>
  <si>
    <t>Narsingdi Economic Zone</t>
  </si>
  <si>
    <t>Narsingdi Sadar</t>
  </si>
  <si>
    <t>Gajaria Economic Zone</t>
  </si>
  <si>
    <t>Pabna Economic Zone</t>
  </si>
  <si>
    <t>Pabna</t>
  </si>
  <si>
    <t>Bera</t>
  </si>
  <si>
    <t>Rampal Economic Zone</t>
  </si>
  <si>
    <t>Sapahar Economic Zone, Naogaon</t>
  </si>
  <si>
    <t>Naogaon</t>
  </si>
  <si>
    <t>Sapahar</t>
  </si>
  <si>
    <t>Ashuganj Economic Zone</t>
  </si>
  <si>
    <t>Brahmanbaria</t>
  </si>
  <si>
    <t>Ashuganj</t>
  </si>
  <si>
    <t>A</t>
  </si>
  <si>
    <t>Lakshmipur Economic Zone</t>
  </si>
  <si>
    <t>Lakshmipur</t>
  </si>
  <si>
    <t>Rajshahi Economic Zone</t>
  </si>
  <si>
    <t>Paba</t>
  </si>
  <si>
    <t>Adjusted Scores</t>
  </si>
  <si>
    <t>Parameter Weight Score</t>
  </si>
  <si>
    <t>Parameter Maximum Score</t>
  </si>
  <si>
    <t>1.1. Land Details (20% weightage)</t>
  </si>
  <si>
    <t>1.2. BEZA Existing plans (15% weightage)</t>
  </si>
  <si>
    <t>1.3. Sector Demand (15% weightage):</t>
  </si>
  <si>
    <t>2.1. Connectivity/ Logistics (10% weightage)</t>
  </si>
  <si>
    <t>2.2. Utility (10% weightage)</t>
  </si>
  <si>
    <t>2.3. Agglomeration Effects (10% weightage)</t>
  </si>
  <si>
    <t>Land Availability (Grade)​</t>
  </si>
  <si>
    <t>2.4. Regional Policy (6% weightage)</t>
  </si>
  <si>
    <t>Land Size (Acres)</t>
  </si>
  <si>
    <t>2.5. Social (8% weightage)</t>
  </si>
  <si>
    <t>Land Suitability for Construction</t>
  </si>
  <si>
    <t>2.6. Environment (6% weightage)</t>
  </si>
  <si>
    <t>Requirement for Distaster Risk Reduction &amp; Resilience Infrastructure</t>
  </si>
  <si>
    <t>Existing BEZA Report</t>
  </si>
  <si>
    <t>Existing Sectors</t>
  </si>
  <si>
    <t>Potential New Sectors</t>
  </si>
  <si>
    <t>National Highway Connectivity (km)</t>
  </si>
  <si>
    <t>Connecting Road to Highway (km)</t>
  </si>
  <si>
    <t>Port Connectivity (km)</t>
  </si>
  <si>
    <t>Airport Connectivity (km)</t>
  </si>
  <si>
    <t>Railway Station (km)</t>
  </si>
  <si>
    <t>Inland waterway/ Land port (km)</t>
  </si>
  <si>
    <t>Power Availability (km)</t>
  </si>
  <si>
    <t>Gas Availability (km)</t>
  </si>
  <si>
    <t>Source of Surface Water (km)</t>
  </si>
  <si>
    <t>2.3. Agglomeration effects (10% weightage)</t>
  </si>
  <si>
    <t>Other BEZA EZ</t>
  </si>
  <si>
    <t>BEPZA/BHTPA/BSIC</t>
  </si>
  <si>
    <t>Unorganized Industries</t>
  </si>
  <si>
    <t>Located on Economic Corridor</t>
  </si>
  <si>
    <t>Economic/Social Priority (Laggard Area)</t>
  </si>
  <si>
    <t>Regional Tax Incentive</t>
  </si>
  <si>
    <t>Employable Population</t>
  </si>
  <si>
    <t>Housing (km)</t>
  </si>
  <si>
    <t>Hotels/Recreation</t>
  </si>
  <si>
    <t>Health (Hospitals)</t>
  </si>
  <si>
    <t>University/Technical &amp; Vocational Institutions</t>
  </si>
  <si>
    <t>Environment Compliance (EIA)</t>
  </si>
  <si>
    <t>Flood Risk Index</t>
  </si>
  <si>
    <t>Earthquake Risk Index</t>
  </si>
  <si>
    <t>Sea Level Rise Risk Index</t>
  </si>
  <si>
    <t>Cyclone Risk Index</t>
  </si>
  <si>
    <t>Storm Surge Risk Index</t>
  </si>
  <si>
    <t>Level 1 Score</t>
  </si>
  <si>
    <t>Level 2 Score</t>
  </si>
  <si>
    <t>Level 2 Score Rank</t>
  </si>
  <si>
    <t>Total Score</t>
  </si>
  <si>
    <t>Land Details</t>
  </si>
  <si>
    <t>Development Status (In-principle/Pre-planning/Planning/In Development)</t>
  </si>
  <si>
    <t>State of EZ</t>
  </si>
  <si>
    <t>Land Availability (Grade)​
(50%)</t>
  </si>
  <si>
    <t>Land Availability (Grade)​ Score</t>
  </si>
  <si>
    <t>Land Availability (Grade)​ Weighted Score</t>
  </si>
  <si>
    <t>Land Size (Acres)
(15%)</t>
  </si>
  <si>
    <t>Land Size (Acres) Score</t>
  </si>
  <si>
    <t>Land Size (Acres) Weighted Score</t>
  </si>
  <si>
    <t>Land Suitability
(Cost of Land Filling in Million BDT per acre)
(25%)</t>
  </si>
  <si>
    <t>Land Suitability for Construction Score</t>
  </si>
  <si>
    <t>Land Suitability for Construction Weighted Score</t>
  </si>
  <si>
    <t>Cost of DRRI Infrastructure in million BDT per acre
(10%)</t>
  </si>
  <si>
    <t>Requirement for Distaster Risk Reduction &amp; Resilience Infrastructure Score</t>
  </si>
  <si>
    <t>Requirement for Distaster Risk Reduction &amp; Resilience Infrastructure Weighted Score</t>
  </si>
  <si>
    <t>Zone Priority
(40%)</t>
  </si>
  <si>
    <t>Zone Priority Score</t>
  </si>
  <si>
    <t>Zone Priority Weighted Score</t>
  </si>
  <si>
    <t>Existing BEZA Report
(60%)</t>
  </si>
  <si>
    <t>Existing BEZA Report Score</t>
  </si>
  <si>
    <t>Existing BEZA Report Weighted Score</t>
  </si>
  <si>
    <t>Existing Sectors
(50%)</t>
  </si>
  <si>
    <t>Existing Sectors Score</t>
  </si>
  <si>
    <t>Existing Sectors Weighted Score</t>
  </si>
  <si>
    <t>Total Sectors</t>
  </si>
  <si>
    <t>Potential New Sectors
(50%)</t>
  </si>
  <si>
    <t>Potential New Sectors Score</t>
  </si>
  <si>
    <t>Potential New Sectors Weighted Score</t>
  </si>
  <si>
    <t>National Highway Connectivity (km)
(15%)</t>
  </si>
  <si>
    <t>National Highway Connectivity Score</t>
  </si>
  <si>
    <t>National Highway Connectivity Weighted Score</t>
  </si>
  <si>
    <t>Connecting Road to Highway (km)
(15%)</t>
  </si>
  <si>
    <t>Connecting Road to Highway Score</t>
  </si>
  <si>
    <t>Connecting Road to Highway Weighted Score</t>
  </si>
  <si>
    <t>Seaport Connectivity (km)
(30%)</t>
  </si>
  <si>
    <t>Seaport Connectivity Score</t>
  </si>
  <si>
    <t>Seaport Connectivity Weighted Score</t>
  </si>
  <si>
    <t>Airport Connectivity (km)
(10%)</t>
  </si>
  <si>
    <t>Airport Connectivity Score</t>
  </si>
  <si>
    <t>Airport Connectivity Weighted Score</t>
  </si>
  <si>
    <t>Railway Station (km)
(10%)</t>
  </si>
  <si>
    <t>Railway Station Score</t>
  </si>
  <si>
    <t>Railway Station Weighted Score</t>
  </si>
  <si>
    <t>Inland waterway/ Land port (km)
(20%)</t>
  </si>
  <si>
    <t>Inland waterway/ Land port Score</t>
  </si>
  <si>
    <t>Inland waterway/ Land port Weighted Score</t>
  </si>
  <si>
    <t>Power Station (40%)</t>
  </si>
  <si>
    <t>Power Station Score</t>
  </si>
  <si>
    <t>Power Station Weighted Score</t>
  </si>
  <si>
    <t>Gas Station (20%)</t>
  </si>
  <si>
    <t>Gas Station Score</t>
  </si>
  <si>
    <t>Gas Station Weighted Score</t>
  </si>
  <si>
    <t>Source of Surface Water (40%)</t>
  </si>
  <si>
    <t>Source of Surface Water Score</t>
  </si>
  <si>
    <t>Source of Surface Water Weighted Score</t>
  </si>
  <si>
    <t>2.2. Utility (12% weightage)</t>
  </si>
  <si>
    <t>Other BEZA EZ (20%)</t>
  </si>
  <si>
    <t>Other BEZA EZ Score</t>
  </si>
  <si>
    <t>Other BEZA EZ Weighted Score</t>
  </si>
  <si>
    <t>BEPZA/ BHPTA/ BSCIC (20%)</t>
  </si>
  <si>
    <t>BEPZA/ BHPTA/ BSCIC Score</t>
  </si>
  <si>
    <t>BEPZA/ BHPTA/ BSCIC Weighted Score</t>
  </si>
  <si>
    <t>Cluster Industries (from SMI) (20%)</t>
  </si>
  <si>
    <t>Cluster Industries (from SMI) Score</t>
  </si>
  <si>
    <t>Unorganized (from SMI) Weighted Score</t>
  </si>
  <si>
    <t>Located on Industrial corridor (40%)</t>
  </si>
  <si>
    <t>Located on Industrial corridor Score</t>
  </si>
  <si>
    <t>Located on Industrial corridor Weighted Score</t>
  </si>
  <si>
    <t>Economic/ Social priority (laggered area) (100%)</t>
  </si>
  <si>
    <t>Economic/ Social priority (laggered area) Score</t>
  </si>
  <si>
    <t>Economic/ Social priority (laagered area) Weighted Score</t>
  </si>
  <si>
    <t>Regional Tax incentive  (0%)</t>
  </si>
  <si>
    <t>Regional Tax incentive Score</t>
  </si>
  <si>
    <t>Regional Tax incentive  Weighted Score</t>
  </si>
  <si>
    <t>2.4. Regional Policy (4% weightage)</t>
  </si>
  <si>
    <t>Employable population (40%) 2013</t>
  </si>
  <si>
    <t>Employable population Score</t>
  </si>
  <si>
    <t>Employable population Weighted Score</t>
  </si>
  <si>
    <t>Housing (20%)</t>
  </si>
  <si>
    <t>Housing Score</t>
  </si>
  <si>
    <t>Housing Weighted Score</t>
  </si>
  <si>
    <t>Hotels (10%)</t>
  </si>
  <si>
    <t>Hotels Score</t>
  </si>
  <si>
    <t>Hotels Weighted Score</t>
  </si>
  <si>
    <t>Health (Hospital) (15%)</t>
  </si>
  <si>
    <t>Health (Hospital) Score</t>
  </si>
  <si>
    <t>Health (Hospital) Weighted Score</t>
  </si>
  <si>
    <t>University/ Technical &amp; Vocational Institutions (15%)</t>
  </si>
  <si>
    <t>University/ Technical &amp; Vocational Institutions Score</t>
  </si>
  <si>
    <t>University/ Technical &amp; Vocational Institutions Weighted Score</t>
  </si>
  <si>
    <t>Environment compliance (30%)</t>
  </si>
  <si>
    <t>Environment compliance Score</t>
  </si>
  <si>
    <t>Environment compliance Weighted Score</t>
  </si>
  <si>
    <t>Flood Risk Index (30%)</t>
  </si>
  <si>
    <t>Flood Risk Index Score</t>
  </si>
  <si>
    <t>Flood Risk Index Weighted Score</t>
  </si>
  <si>
    <t>Earth Quake Risk Index (10%)</t>
  </si>
  <si>
    <t>Earth Quake Risk Index Score</t>
  </si>
  <si>
    <t>Earth Quake Risk Index Weighted Score</t>
  </si>
  <si>
    <t>Sea Level Rise Risk Index (10%)</t>
  </si>
  <si>
    <t>Sea Level Rise  Risk Index Score</t>
  </si>
  <si>
    <t>Sea Level Rise Risk Index Weighted Score</t>
  </si>
  <si>
    <t>Cyclone Risk Index (10%)</t>
  </si>
  <si>
    <t>Cyclone Risk Index Score</t>
  </si>
  <si>
    <t>Cyclone Risk Index Weighted Score</t>
  </si>
  <si>
    <t>Storm Surge Risk Index (10%)</t>
  </si>
  <si>
    <t>Storm Surge Risk Index Score</t>
  </si>
  <si>
    <t>Storm Surge Risk Index Weighted Score</t>
  </si>
  <si>
    <t>Fully Scored (Y/N)</t>
  </si>
  <si>
    <t>Count of Blanks</t>
  </si>
  <si>
    <t>Under Development</t>
  </si>
  <si>
    <t>Operational</t>
  </si>
  <si>
    <t>A Grade</t>
  </si>
  <si>
    <t>High</t>
  </si>
  <si>
    <t>Low</t>
  </si>
  <si>
    <t>Priority 1</t>
  </si>
  <si>
    <t>Pre-Feasibility/Feasibility</t>
  </si>
  <si>
    <t>Yes</t>
  </si>
  <si>
    <t>No</t>
  </si>
  <si>
    <t>Moderate &amp; Low</t>
  </si>
  <si>
    <t>High &amp; Very High</t>
  </si>
  <si>
    <t>Very High &amp; High</t>
  </si>
  <si>
    <t>Planning Stage</t>
  </si>
  <si>
    <t>Development Stage</t>
  </si>
  <si>
    <t>Land settlement ongoing</t>
  </si>
  <si>
    <t>Not Available</t>
  </si>
  <si>
    <t>Under Construction</t>
  </si>
  <si>
    <t>Medium</t>
  </si>
  <si>
    <t>Very Low</t>
  </si>
  <si>
    <t>Sea shore erosion.</t>
  </si>
  <si>
    <t>In-Principle Approval</t>
  </si>
  <si>
    <t>Pre-Planning Stage</t>
  </si>
  <si>
    <t>DPP planning stage</t>
  </si>
  <si>
    <t>Not available</t>
  </si>
  <si>
    <t xml:space="preserve">Planning Stage. </t>
  </si>
  <si>
    <t>B Grade</t>
  </si>
  <si>
    <t>Priority 3</t>
  </si>
  <si>
    <t>Not available (saline)</t>
  </si>
  <si>
    <t>Partial land is available</t>
  </si>
  <si>
    <t>Proposed Agro Photo Voltaic Zone</t>
  </si>
  <si>
    <t>N/A</t>
  </si>
  <si>
    <t>In-principal Approval/No Report</t>
  </si>
  <si>
    <t>River erosion and land not available</t>
  </si>
  <si>
    <t>Priority 2</t>
  </si>
  <si>
    <t>C Grade</t>
  </si>
  <si>
    <t>Planning Stage.</t>
  </si>
  <si>
    <t>Site Visit/Assessment</t>
  </si>
  <si>
    <t>Licensing ongoing</t>
  </si>
  <si>
    <t>DPP being prepared.</t>
  </si>
  <si>
    <t>DPP preparation ongoing</t>
  </si>
  <si>
    <t>Litigation ongoing</t>
  </si>
  <si>
    <t>Land acquisition and development cost are very high. It will take very long.</t>
  </si>
  <si>
    <t>Feasibility to be done</t>
  </si>
  <si>
    <t>No land available</t>
  </si>
  <si>
    <t>Feasibility Ongoing</t>
  </si>
  <si>
    <t>Land not available</t>
  </si>
  <si>
    <t>Land partially available</t>
  </si>
  <si>
    <t>Land under litigation</t>
  </si>
  <si>
    <t>Land acquisition ongoing</t>
  </si>
  <si>
    <t>Most land is private and cost-prohibitive.</t>
  </si>
  <si>
    <t xml:space="preserve">Not connected </t>
  </si>
  <si>
    <t>Negotiation ongoing</t>
  </si>
  <si>
    <t>Licensing process ongoing</t>
  </si>
  <si>
    <t>Under construction</t>
  </si>
  <si>
    <t>Proposed land under litigation</t>
  </si>
  <si>
    <t>No information on land availability</t>
  </si>
  <si>
    <t>River Commission Objections. Hilsa Breeding Area.</t>
  </si>
  <si>
    <t>Not under BEZA jurisdiction.</t>
  </si>
  <si>
    <t>Land is privately owned.</t>
  </si>
  <si>
    <t>Land is private and cost prohibitive. Grade C</t>
  </si>
  <si>
    <t>Hilly area. Land procurement difficult.</t>
  </si>
  <si>
    <t>Acquisition ongoing</t>
  </si>
  <si>
    <t>As per decision of HPM. This site has been omitted.</t>
  </si>
  <si>
    <t>CHT area laws don't allow EZ development.</t>
  </si>
  <si>
    <t>Land under litigation.</t>
  </si>
  <si>
    <t>No activity at this stage</t>
  </si>
  <si>
    <t>Indeginoues settlements and private land. Resettlement difficult</t>
  </si>
  <si>
    <t>Electric poles and grid lines in area. Expensive to relocate.</t>
  </si>
  <si>
    <t>Preliminary Site Assessment</t>
  </si>
  <si>
    <t>In-Principal approval</t>
  </si>
  <si>
    <t>Feasibility</t>
  </si>
  <si>
    <t>Project Proposed</t>
  </si>
  <si>
    <t>Project Approved</t>
  </si>
  <si>
    <t>Project Implementation Started</t>
  </si>
  <si>
    <t>Basic Infrastructure (Ready to Operate)</t>
  </si>
  <si>
    <t>Ongoing</t>
  </si>
  <si>
    <t>Plan</t>
  </si>
  <si>
    <t>Sherpur Economic Zone</t>
  </si>
  <si>
    <t>Level 1 Parameter Details</t>
  </si>
  <si>
    <r>
      <rPr>
        <b/>
        <sz val="12"/>
        <color rgb="FF000000"/>
        <rFont val="Verdana"/>
        <family val="2"/>
      </rPr>
      <t xml:space="preserve">1. Land Details </t>
    </r>
    <r>
      <rPr>
        <b/>
        <sz val="12"/>
        <color rgb="FFC00000"/>
        <rFont val="Verdana"/>
        <family val="2"/>
      </rPr>
      <t>(20% weightage)</t>
    </r>
    <r>
      <rPr>
        <b/>
        <sz val="12"/>
        <color rgb="FF000000"/>
        <rFont val="Verdana"/>
        <family val="2"/>
      </rPr>
      <t xml:space="preserve">: </t>
    </r>
    <r>
      <rPr>
        <sz val="12"/>
        <color rgb="FF000000"/>
        <rFont val="Verdana"/>
        <family val="2"/>
      </rPr>
      <t>Larger the total area, more the potential for attracting investment and multiple sectors</t>
    </r>
  </si>
  <si>
    <t>Weightage</t>
  </si>
  <si>
    <r>
      <t xml:space="preserve">Land availability (Grade) </t>
    </r>
    <r>
      <rPr>
        <b/>
        <sz val="11"/>
        <color rgb="FFC00000"/>
        <rFont val="Verdana"/>
        <family val="2"/>
      </rPr>
      <t>(50%)</t>
    </r>
  </si>
  <si>
    <r>
      <t xml:space="preserve">Land Size </t>
    </r>
    <r>
      <rPr>
        <b/>
        <sz val="11"/>
        <color rgb="FFC00000"/>
        <rFont val="Verdana"/>
        <family val="2"/>
      </rPr>
      <t>(15%)</t>
    </r>
  </si>
  <si>
    <r>
      <t xml:space="preserve">Land Suitability for Construction </t>
    </r>
    <r>
      <rPr>
        <b/>
        <sz val="11"/>
        <color rgb="FFC00000"/>
        <rFont val="Verdana"/>
        <family val="2"/>
      </rPr>
      <t>(25%)</t>
    </r>
  </si>
  <si>
    <r>
      <t xml:space="preserve">Requirement for Distaster Risk Reduction &amp; Resilience Infrastructure </t>
    </r>
    <r>
      <rPr>
        <b/>
        <sz val="11"/>
        <color rgb="FFC00000"/>
        <rFont val="Verdana"/>
        <family val="2"/>
      </rPr>
      <t>(10%)</t>
    </r>
  </si>
  <si>
    <t>Score</t>
  </si>
  <si>
    <t>Definitions</t>
  </si>
  <si>
    <t>Area (in acre)</t>
  </si>
  <si>
    <t>Land Suitability for Construction
(Land Filling Cost in million BDT per acre)</t>
  </si>
  <si>
    <t>Requirement for Distaster Risk Reduction &amp; Resilience Infrastructure
(Cost of DRRI Infrastructure (Embankment/Dyke) in million BDT per acre)</t>
  </si>
  <si>
    <t>Land Fully Available/Development Started</t>
  </si>
  <si>
    <t>&lt;100</t>
  </si>
  <si>
    <t>Low (&gt;5)</t>
  </si>
  <si>
    <t>High (&gt;5)</t>
  </si>
  <si>
    <t>Land Partially Available/Planning or Feasibility Stage</t>
  </si>
  <si>
    <t>100-500</t>
  </si>
  <si>
    <t>Medium (2-5)</t>
  </si>
  <si>
    <t>Land not available/Costly/Litigation/Major Environmental Bottlenecks</t>
  </si>
  <si>
    <t>&gt;500</t>
  </si>
  <si>
    <t>High (&lt;2)</t>
  </si>
  <si>
    <t>Low (&lt;2)</t>
  </si>
  <si>
    <t>Based on information from Feasibility Studies</t>
  </si>
  <si>
    <r>
      <rPr>
        <b/>
        <sz val="12"/>
        <color rgb="FF000000"/>
        <rFont val="Verdana"/>
        <family val="2"/>
      </rPr>
      <t xml:space="preserve">2. BEZA Existing plans </t>
    </r>
    <r>
      <rPr>
        <b/>
        <sz val="12"/>
        <color rgb="FFC00000"/>
        <rFont val="Verdana"/>
        <family val="2"/>
      </rPr>
      <t>(15% weightage)</t>
    </r>
    <r>
      <rPr>
        <b/>
        <sz val="12"/>
        <color rgb="FF000000"/>
        <rFont val="Verdana"/>
        <family val="2"/>
      </rPr>
      <t xml:space="preserve">:  </t>
    </r>
    <r>
      <rPr>
        <sz val="12"/>
        <color rgb="FF000000"/>
        <rFont val="Verdana"/>
        <family val="2"/>
      </rPr>
      <t>Parameters based on current plans of BEZA</t>
    </r>
  </si>
  <si>
    <r>
      <t xml:space="preserve">BEZA Priority </t>
    </r>
    <r>
      <rPr>
        <b/>
        <sz val="11"/>
        <color rgb="FFC00000"/>
        <rFont val="Verdana"/>
        <family val="2"/>
      </rPr>
      <t>(40%)</t>
    </r>
  </si>
  <si>
    <r>
      <t xml:space="preserve">Existing BEZA report </t>
    </r>
    <r>
      <rPr>
        <b/>
        <sz val="11"/>
        <color rgb="FFC00000"/>
        <rFont val="Verdana"/>
        <family val="2"/>
      </rPr>
      <t>(60%)</t>
    </r>
  </si>
  <si>
    <t>Priority</t>
  </si>
  <si>
    <t>Report</t>
  </si>
  <si>
    <r>
      <rPr>
        <b/>
        <sz val="12"/>
        <color rgb="FF000000"/>
        <rFont val="Verdana"/>
        <family val="2"/>
      </rPr>
      <t xml:space="preserve">3. Sector Demand </t>
    </r>
    <r>
      <rPr>
        <b/>
        <sz val="12"/>
        <color rgb="FFC00000"/>
        <rFont val="Verdana"/>
        <family val="2"/>
      </rPr>
      <t>(15% weightage)</t>
    </r>
    <r>
      <rPr>
        <b/>
        <sz val="12"/>
        <color rgb="FF000000"/>
        <rFont val="Verdana"/>
        <family val="2"/>
      </rPr>
      <t xml:space="preserve">:  </t>
    </r>
    <r>
      <rPr>
        <sz val="12"/>
        <color rgb="FF000000"/>
        <rFont val="Verdana"/>
        <family val="2"/>
      </rPr>
      <t>Parameters based on total number of sectors in the district, highlighting diversity of the area</t>
    </r>
  </si>
  <si>
    <r>
      <t xml:space="preserve">Existing Sectors </t>
    </r>
    <r>
      <rPr>
        <b/>
        <sz val="11"/>
        <color rgb="FFC00000"/>
        <rFont val="Verdana"/>
        <family val="2"/>
      </rPr>
      <t>(50%)</t>
    </r>
  </si>
  <si>
    <r>
      <t xml:space="preserve">Potential New Sectors </t>
    </r>
    <r>
      <rPr>
        <b/>
        <sz val="11"/>
        <color rgb="FFC00000"/>
        <rFont val="Verdana"/>
        <family val="2"/>
      </rPr>
      <t>(50%)</t>
    </r>
  </si>
  <si>
    <t>Sectors</t>
  </si>
  <si>
    <t>&gt;10</t>
  </si>
  <si>
    <t>&gt;5</t>
  </si>
  <si>
    <t>5 to 10</t>
  </si>
  <si>
    <t>2 to 5</t>
  </si>
  <si>
    <t>&lt;5</t>
  </si>
  <si>
    <t>&lt;2</t>
  </si>
  <si>
    <t xml:space="preserve">Level 2 Parameter Details </t>
  </si>
  <si>
    <r>
      <rPr>
        <b/>
        <sz val="12"/>
        <color rgb="FF000000"/>
        <rFont val="Verdana"/>
        <family val="2"/>
      </rPr>
      <t xml:space="preserve">1. Connectivity/ Logistics </t>
    </r>
    <r>
      <rPr>
        <b/>
        <sz val="12"/>
        <color rgb="FFC00000"/>
        <rFont val="Verdana"/>
        <family val="2"/>
      </rPr>
      <t>(10% weightage)</t>
    </r>
    <r>
      <rPr>
        <b/>
        <sz val="12"/>
        <color rgb="FF000000"/>
        <rFont val="Verdana"/>
        <family val="2"/>
      </rPr>
      <t xml:space="preserve">: </t>
    </r>
    <r>
      <rPr>
        <sz val="12"/>
        <color rgb="FF000000"/>
        <rFont val="Verdana"/>
        <family val="2"/>
      </rPr>
      <t>Parameters based on connectivity with ports, railways &amp; airports</t>
    </r>
  </si>
  <si>
    <r>
      <t xml:space="preserve">National Highway Connectivity </t>
    </r>
    <r>
      <rPr>
        <b/>
        <sz val="11"/>
        <color rgb="FFFF0000"/>
        <rFont val="Verdana"/>
        <family val="2"/>
      </rPr>
      <t>(15%)</t>
    </r>
  </si>
  <si>
    <r>
      <t xml:space="preserve">Connecting Road to Highway </t>
    </r>
    <r>
      <rPr>
        <b/>
        <sz val="11"/>
        <color rgb="FFFF0000"/>
        <rFont val="Verdana"/>
        <family val="2"/>
      </rPr>
      <t>(15%)</t>
    </r>
  </si>
  <si>
    <r>
      <t xml:space="preserve">Seaport Connectivity </t>
    </r>
    <r>
      <rPr>
        <b/>
        <sz val="11"/>
        <color rgb="FFFF0000"/>
        <rFont val="Verdana"/>
        <family val="2"/>
      </rPr>
      <t>(30%)</t>
    </r>
  </si>
  <si>
    <t>Distance (in kms)</t>
  </si>
  <si>
    <t>Connecting road from site</t>
  </si>
  <si>
    <t>&lt;=25</t>
  </si>
  <si>
    <t>&lt;=200</t>
  </si>
  <si>
    <t>25 to 50</t>
  </si>
  <si>
    <t>200 to 400</t>
  </si>
  <si>
    <t>&gt;50</t>
  </si>
  <si>
    <t>&gt;400</t>
  </si>
  <si>
    <r>
      <t xml:space="preserve">Airport Connectivity </t>
    </r>
    <r>
      <rPr>
        <b/>
        <sz val="11"/>
        <color rgb="FFFF0000"/>
        <rFont val="Verdana"/>
        <family val="2"/>
      </rPr>
      <t>(10%)</t>
    </r>
  </si>
  <si>
    <r>
      <t xml:space="preserve">Railway Station </t>
    </r>
    <r>
      <rPr>
        <b/>
        <sz val="11"/>
        <color rgb="FFFF0000"/>
        <rFont val="Verdana"/>
        <family val="2"/>
      </rPr>
      <t>(10%)</t>
    </r>
  </si>
  <si>
    <r>
      <t xml:space="preserve">Inland waterway/ Land port </t>
    </r>
    <r>
      <rPr>
        <b/>
        <sz val="11"/>
        <color rgb="FFFF0000"/>
        <rFont val="Verdana"/>
        <family val="2"/>
      </rPr>
      <t>(20%)</t>
    </r>
  </si>
  <si>
    <t>&lt;=100</t>
  </si>
  <si>
    <t>&lt;=50</t>
  </si>
  <si>
    <t>100 to 200</t>
  </si>
  <si>
    <t>50 to 150</t>
  </si>
  <si>
    <t>50 to 200</t>
  </si>
  <si>
    <t>&gt;200</t>
  </si>
  <si>
    <t>&gt;150</t>
  </si>
  <si>
    <t>For All of the above</t>
  </si>
  <si>
    <t>Feasiblity Studies</t>
  </si>
  <si>
    <t>Secondary research</t>
  </si>
  <si>
    <r>
      <t xml:space="preserve">2. Utility </t>
    </r>
    <r>
      <rPr>
        <b/>
        <sz val="12"/>
        <color rgb="FFC00000"/>
        <rFont val="Verdana"/>
        <family val="2"/>
      </rPr>
      <t>(12% weightage)</t>
    </r>
    <r>
      <rPr>
        <b/>
        <sz val="12"/>
        <color rgb="FF000000"/>
        <rFont val="Verdana"/>
        <family val="2"/>
      </rPr>
      <t xml:space="preserve">:  </t>
    </r>
    <r>
      <rPr>
        <sz val="12"/>
        <color rgb="FF000000"/>
        <rFont val="Verdana"/>
        <family val="2"/>
      </rPr>
      <t>Parameters based utility source - power, gas, water &amp; telecom</t>
    </r>
  </si>
  <si>
    <r>
      <t xml:space="preserve">Power Station </t>
    </r>
    <r>
      <rPr>
        <b/>
        <sz val="11"/>
        <color rgb="FFFF0000"/>
        <rFont val="Verdana"/>
        <family val="2"/>
      </rPr>
      <t>(40%)</t>
    </r>
  </si>
  <si>
    <r>
      <t xml:space="preserve">Gas Availability </t>
    </r>
    <r>
      <rPr>
        <b/>
        <sz val="11"/>
        <color rgb="FFFF0000"/>
        <rFont val="Verdana"/>
        <family val="2"/>
      </rPr>
      <t>(20%)</t>
    </r>
  </si>
  <si>
    <r>
      <t xml:space="preserve">Source of Surface Water </t>
    </r>
    <r>
      <rPr>
        <b/>
        <sz val="11"/>
        <color rgb="FFFF0000"/>
        <rFont val="Verdana"/>
        <family val="2"/>
      </rPr>
      <t>(40%)</t>
    </r>
  </si>
  <si>
    <t>Distance</t>
  </si>
  <si>
    <t>&lt;=20</t>
  </si>
  <si>
    <t>50 to 100</t>
  </si>
  <si>
    <t>20 to 50</t>
  </si>
  <si>
    <t>&gt;100</t>
  </si>
  <si>
    <t>https://gtcl.org.bd/site/download/f28f699d-8fed-472a-98fd-50916c1945c8/-</t>
  </si>
  <si>
    <t>https://gtcl.org.bd/site/download/088d0a9a-115f-42d3-a088-49b625b3aeff/SCADA-System-Map</t>
  </si>
  <si>
    <r>
      <t xml:space="preserve">3. Agglomeration effects </t>
    </r>
    <r>
      <rPr>
        <b/>
        <sz val="12"/>
        <color rgb="FFC00000"/>
        <rFont val="Verdana"/>
        <family val="2"/>
      </rPr>
      <t>(10% weightage)</t>
    </r>
    <r>
      <rPr>
        <b/>
        <sz val="12"/>
        <color rgb="FF000000"/>
        <rFont val="Verdana"/>
        <family val="2"/>
      </rPr>
      <t xml:space="preserve">: </t>
    </r>
    <r>
      <rPr>
        <sz val="12"/>
        <color rgb="FF000000"/>
        <rFont val="Verdana"/>
        <family val="2"/>
      </rPr>
      <t>Agglomeration within the district</t>
    </r>
  </si>
  <si>
    <r>
      <t xml:space="preserve">Other BEZA EZ </t>
    </r>
    <r>
      <rPr>
        <b/>
        <sz val="11"/>
        <color rgb="FFFF0000"/>
        <rFont val="Verdana"/>
        <family val="2"/>
      </rPr>
      <t>(20%)</t>
    </r>
  </si>
  <si>
    <r>
      <t xml:space="preserve">BEPZA/ BHPTA/ BSCIC </t>
    </r>
    <r>
      <rPr>
        <b/>
        <sz val="11"/>
        <color rgb="FFFF0000"/>
        <rFont val="Verdana"/>
        <family val="2"/>
      </rPr>
      <t>(20%)</t>
    </r>
  </si>
  <si>
    <r>
      <t xml:space="preserve">Clustered industries </t>
    </r>
    <r>
      <rPr>
        <b/>
        <sz val="11"/>
        <color rgb="FFFF0000"/>
        <rFont val="Verdana"/>
        <family val="2"/>
      </rPr>
      <t>(20%)</t>
    </r>
  </si>
  <si>
    <r>
      <t xml:space="preserve">Located on Economic corridor </t>
    </r>
    <r>
      <rPr>
        <b/>
        <sz val="11"/>
        <color rgb="FFFF0000"/>
        <rFont val="Verdana"/>
        <family val="2"/>
      </rPr>
      <t>(40%)</t>
    </r>
  </si>
  <si>
    <t>Status</t>
  </si>
  <si>
    <t xml:space="preserve">No. </t>
  </si>
  <si>
    <t>&lt;50</t>
  </si>
  <si>
    <t>50-100</t>
  </si>
  <si>
    <t>100+</t>
  </si>
  <si>
    <t>List of BEZA EZs</t>
  </si>
  <si>
    <t>https://www.bepza.gov.bd/</t>
  </si>
  <si>
    <t>https://www.adb.org/sites/default/files/publication/216366/sawp-049.pdf</t>
  </si>
  <si>
    <t>Sort/Filter by District</t>
  </si>
  <si>
    <t>https://ossbhtpa.gov.bd/park-info</t>
  </si>
  <si>
    <t>Page 31 onwards</t>
  </si>
  <si>
    <t>https://ossbscic.gov.bd/bscic-industrial-city-list</t>
  </si>
  <si>
    <t>Check if district is part of any corridor</t>
  </si>
  <si>
    <t>https://bhtpa.gov.bd/site/view/sitemap/At-a-glance</t>
  </si>
  <si>
    <t>https://businessinspection.com.bd/hi-tech-parks-in-bd-present-scenario-and-future-prospects/</t>
  </si>
  <si>
    <t>Consider all zones in above links</t>
  </si>
  <si>
    <t>Secondary research for due diligence</t>
  </si>
  <si>
    <r>
      <t xml:space="preserve">Economic/ Social priority (laggard area) </t>
    </r>
    <r>
      <rPr>
        <b/>
        <sz val="11"/>
        <color rgb="FFFF0000"/>
        <rFont val="Verdana"/>
        <family val="2"/>
      </rPr>
      <t>(100%)</t>
    </r>
  </si>
  <si>
    <t>https://oldweb.lged.gov.bd/UploadedDocument/UnitPublication/1/1166/8FYP.pdf</t>
  </si>
  <si>
    <r>
      <t xml:space="preserve">5. Social </t>
    </r>
    <r>
      <rPr>
        <b/>
        <sz val="12"/>
        <color rgb="FFC00000"/>
        <rFont val="Verdana"/>
        <family val="2"/>
      </rPr>
      <t>(8% weightage)</t>
    </r>
    <r>
      <rPr>
        <b/>
        <sz val="12"/>
        <color rgb="FF000000"/>
        <rFont val="Verdana"/>
        <family val="2"/>
      </rPr>
      <t xml:space="preserve">: </t>
    </r>
    <r>
      <rPr>
        <sz val="12"/>
        <color rgb="FF000000"/>
        <rFont val="Verdana"/>
        <family val="2"/>
      </rPr>
      <t>Social infrastructure at district level</t>
    </r>
  </si>
  <si>
    <r>
      <t xml:space="preserve">Employable population </t>
    </r>
    <r>
      <rPr>
        <b/>
        <sz val="11"/>
        <color rgb="FFFF0000"/>
        <rFont val="Verdana"/>
        <family val="2"/>
      </rPr>
      <t>(40%)</t>
    </r>
  </si>
  <si>
    <r>
      <t xml:space="preserve">Housing </t>
    </r>
    <r>
      <rPr>
        <b/>
        <sz val="11"/>
        <color rgb="FFFF0000"/>
        <rFont val="Verdana"/>
        <family val="2"/>
      </rPr>
      <t>(20%)</t>
    </r>
  </si>
  <si>
    <r>
      <t xml:space="preserve">Hotels </t>
    </r>
    <r>
      <rPr>
        <b/>
        <sz val="11"/>
        <color rgb="FFFF0000"/>
        <rFont val="Verdana"/>
        <family val="2"/>
      </rPr>
      <t>(10%)</t>
    </r>
  </si>
  <si>
    <r>
      <t xml:space="preserve">Health (Hospital) </t>
    </r>
    <r>
      <rPr>
        <b/>
        <sz val="11"/>
        <color rgb="FFFF0000"/>
        <rFont val="Verdana"/>
        <family val="2"/>
      </rPr>
      <t>(15%)</t>
    </r>
  </si>
  <si>
    <r>
      <t xml:space="preserve">University/ Technical &amp; Vocational Institutions </t>
    </r>
    <r>
      <rPr>
        <b/>
        <sz val="11"/>
        <color rgb="FFFF0000"/>
        <rFont val="Verdana"/>
        <family val="2"/>
      </rPr>
      <t>(15%)</t>
    </r>
  </si>
  <si>
    <t>No.</t>
  </si>
  <si>
    <t>Distance from town (in km)</t>
  </si>
  <si>
    <t>&lt;1,00,000</t>
  </si>
  <si>
    <t>&lt;25</t>
  </si>
  <si>
    <t>&lt;1</t>
  </si>
  <si>
    <t>1,00,000-2,00,000</t>
  </si>
  <si>
    <t>25-50</t>
  </si>
  <si>
    <t>5 to 25</t>
  </si>
  <si>
    <t>1 to 3</t>
  </si>
  <si>
    <t>&gt;2,00,000</t>
  </si>
  <si>
    <t>&gt;25</t>
  </si>
  <si>
    <t>&gt;3</t>
  </si>
  <si>
    <t>http://203.112.218.65:8008/WebTestApplication/userfiles/Image/EcoCen13/DistReport/Kushtia.pdf</t>
  </si>
  <si>
    <t>Nearest regional city</t>
  </si>
  <si>
    <t>Process of elimination with Secondary research</t>
  </si>
  <si>
    <t>TPE from Economic Census 2013</t>
  </si>
  <si>
    <t>Distance from District Sadar</t>
  </si>
  <si>
    <t>Government statistics</t>
  </si>
  <si>
    <t>District-wise growth rates equal. Rank order preserved.</t>
  </si>
  <si>
    <t>Public directory</t>
  </si>
  <si>
    <t>http://facilityregistry.dghs.gov.bd/org_list.php?level=upa&amp;id=276</t>
  </si>
  <si>
    <t>https://en.wikipedia.org/wiki/List_of_universities_in_Bangladesh</t>
  </si>
  <si>
    <r>
      <t xml:space="preserve">6. Environment </t>
    </r>
    <r>
      <rPr>
        <b/>
        <sz val="12"/>
        <color rgb="FFC00000"/>
        <rFont val="Verdana"/>
        <family val="2"/>
      </rPr>
      <t>(6% weightage)</t>
    </r>
    <r>
      <rPr>
        <b/>
        <sz val="12"/>
        <color rgb="FF000000"/>
        <rFont val="Verdana"/>
        <family val="2"/>
      </rPr>
      <t xml:space="preserve">: </t>
    </r>
    <r>
      <rPr>
        <sz val="12"/>
        <color rgb="FF000000"/>
        <rFont val="Verdana"/>
        <family val="2"/>
      </rPr>
      <t>Based on discussions, flood poses a risk</t>
    </r>
  </si>
  <si>
    <r>
      <t xml:space="preserve">Environment compliance </t>
    </r>
    <r>
      <rPr>
        <b/>
        <sz val="11"/>
        <color rgb="FFFF0000"/>
        <rFont val="Verdana"/>
        <family val="2"/>
      </rPr>
      <t>(30%)</t>
    </r>
  </si>
  <si>
    <r>
      <t xml:space="preserve">Flood Risk Index </t>
    </r>
    <r>
      <rPr>
        <b/>
        <sz val="11"/>
        <color rgb="FFFF0000"/>
        <rFont val="Verdana"/>
        <family val="2"/>
      </rPr>
      <t>(30%)</t>
    </r>
  </si>
  <si>
    <r>
      <t xml:space="preserve">Earthquake Risk Index </t>
    </r>
    <r>
      <rPr>
        <b/>
        <sz val="11"/>
        <color rgb="FFFF0000"/>
        <rFont val="Verdana"/>
        <family val="2"/>
      </rPr>
      <t>(10%)</t>
    </r>
  </si>
  <si>
    <r>
      <t xml:space="preserve">Sea Level Rise Risk Index </t>
    </r>
    <r>
      <rPr>
        <b/>
        <sz val="11"/>
        <color rgb="FFFF0000"/>
        <rFont val="Verdana"/>
        <family val="2"/>
      </rPr>
      <t>(10%)</t>
    </r>
  </si>
  <si>
    <r>
      <t xml:space="preserve">Cyclone Risk Index </t>
    </r>
    <r>
      <rPr>
        <b/>
        <sz val="11"/>
        <color rgb="FFFF0000"/>
        <rFont val="Verdana"/>
        <family val="2"/>
      </rPr>
      <t>(10%)</t>
    </r>
  </si>
  <si>
    <r>
      <t xml:space="preserve">Storm Surge Risk Index </t>
    </r>
    <r>
      <rPr>
        <b/>
        <sz val="11"/>
        <color rgb="FFFF0000"/>
        <rFont val="Verdana"/>
        <family val="2"/>
      </rPr>
      <t>(10%)</t>
    </r>
  </si>
  <si>
    <t>EIA report/ compliance</t>
  </si>
  <si>
    <t>Parameter</t>
  </si>
  <si>
    <t>BEZA Website EIA Search</t>
  </si>
  <si>
    <t>https://beza.gov.bd/document-and-publication/</t>
  </si>
  <si>
    <t>https://www.adb.org/sites/default/files/publication/760781/bangladesh-climate-disaster-risk-atlas-volume2-pgs59-76.pdf</t>
  </si>
  <si>
    <t>Use corresponding map</t>
  </si>
  <si>
    <t>R = H × (0.7E + 0.3V)</t>
  </si>
  <si>
    <t>*Disaster risk (R) is widely considered a function of H (hazard probability), E (exposed elements at risk), and V (associated vulnerabilities affecting the degree of loss and damage caused by a certain intensity of the hazard).</t>
  </si>
  <si>
    <t>SN​</t>
  </si>
  <si>
    <t>Scoring Level</t>
  </si>
  <si>
    <t>Parameters​</t>
  </si>
  <si>
    <t>Parameter Weightage​</t>
  </si>
  <si>
    <t>Parameter Rationale</t>
  </si>
  <si>
    <t>Sub-Parameters​</t>
  </si>
  <si>
    <t>Sub-Parameter Weightage</t>
  </si>
  <si>
    <t>Sub-Parameter Highest Score</t>
  </si>
  <si>
    <t>Contribution to Score</t>
  </si>
  <si>
    <t>Sub-Parameter Rationale</t>
  </si>
  <si>
    <t>Source Document Name</t>
  </si>
  <si>
    <t>Publisher</t>
  </si>
  <si>
    <t>Link</t>
  </si>
  <si>
    <t>Link 2</t>
  </si>
  <si>
    <t>Link 3</t>
  </si>
  <si>
    <t>BEZA Comments</t>
  </si>
  <si>
    <t>Level 1</t>
  </si>
  <si>
    <r>
      <t>Land Details</t>
    </r>
    <r>
      <rPr>
        <sz val="12"/>
        <color rgb="FF000000"/>
        <rFont val="Verdana"/>
        <family val="2"/>
      </rPr>
      <t>​</t>
    </r>
  </si>
  <si>
    <t>Favorable land characteristics are a primary driver of feasibility and viability of zones for prioritized development by BEZA as well as unit investors</t>
  </si>
  <si>
    <t>Land Availability (Grade)​</t>
  </si>
  <si>
    <t>Feedback from BEZA on the feasibility and viability of each EZ. Graded by BEZA from A (highest score) to D (lowest score)</t>
  </si>
  <si>
    <t>Meeting with BEZA Officials</t>
  </si>
  <si>
    <t>BEZA</t>
  </si>
  <si>
    <t>Land size​</t>
  </si>
  <si>
    <t>Larger EZs are more likely to be viable due to economies of scale, create more employment and can generate greater investment. Larger EZs scored higher.</t>
  </si>
  <si>
    <t>Updated List of Economic Zones</t>
  </si>
  <si>
    <t>Land charecteristics at site can negatively impact the viability of EZs. EZs with lower construction challenges as described in feasibility study scored higher.</t>
  </si>
  <si>
    <t>Pre-feasibility/Feasibility Studies</t>
  </si>
  <si>
    <t>Depth of hard layer. SPT&gt;50.</t>
  </si>
  <si>
    <t>Requirement for Disaster Risk Reduction &amp; Resilience Infrastructure</t>
  </si>
  <si>
    <t>Requirement for disaster risk reduction &amp; resilience infrastructure can negatively impact viability of EZs. EZs with lower DRR infrastructure requirements as described in EIA and feasibility study scored higher.</t>
  </si>
  <si>
    <t>Pre-feasibility/Feasibility Studies	BEZA/EIA</t>
  </si>
  <si>
    <t>Monetary investment required.</t>
  </si>
  <si>
    <r>
      <t>BEZA Existing Plans</t>
    </r>
    <r>
      <rPr>
        <sz val="12"/>
        <color rgb="FF000000"/>
        <rFont val="Verdana"/>
        <family val="2"/>
      </rPr>
      <t>​</t>
    </r>
  </si>
  <si>
    <t>BEZA's institutional knowledge and plans were consulted to develop a list of flagship EZs well integrated with the authority's development agenda</t>
  </si>
  <si>
    <t>Priority of EZ​</t>
  </si>
  <si>
    <t>Zones with higher priority assigned by BEZA planning wing scored higher.</t>
  </si>
  <si>
    <t>Planning Wing EZ Priority List</t>
  </si>
  <si>
    <t>Feasibility study​</t>
  </si>
  <si>
    <t>Zones with feasibility studies scored higher due to more information availability as it signifies adequate preparation for undertaking prioritized development.</t>
  </si>
  <si>
    <t>BEZA Site Visit/Pre-feasibility/Feasibility Studies</t>
  </si>
  <si>
    <r>
      <t>Sector Demand</t>
    </r>
    <r>
      <rPr>
        <sz val="12"/>
        <color rgb="FF000000"/>
        <rFont val="Verdana"/>
        <family val="2"/>
      </rPr>
      <t>​</t>
    </r>
  </si>
  <si>
    <t>Current and future investibility of EZs with respect to various key sectors is an important determinant of decentralized industrial growth, import substitution, and export diversification</t>
  </si>
  <si>
    <t>Existing​</t>
  </si>
  <si>
    <t>Zones located in districts with a higher number of existing industry clusters as evaluated in Module 2 scored higher.</t>
  </si>
  <si>
    <t>BEZA NMP Module-2 Final Report</t>
  </si>
  <si>
    <t>Deloitte</t>
  </si>
  <si>
    <t>60% - 40% in favor of existing?</t>
  </si>
  <si>
    <t>Future​</t>
  </si>
  <si>
    <t>Zones located in districts with a higher number of future industry clusters as evaluated in Module 2 scored higher.</t>
  </si>
  <si>
    <t>Level 2</t>
  </si>
  <si>
    <r>
      <t>Connectivity/Logistics</t>
    </r>
    <r>
      <rPr>
        <sz val="12"/>
        <color rgb="FF000000"/>
        <rFont val="Verdana"/>
        <family val="2"/>
      </rPr>
      <t>​</t>
    </r>
  </si>
  <si>
    <t>Favorable multi-modal logistical charecteristics boosts the feasibility and viability of EZs for both BEZA and unit investors</t>
  </si>
  <si>
    <t>National Highway Connectivity</t>
  </si>
  <si>
    <t>Zones with greater proximity to nearest national highway scored higher.</t>
  </si>
  <si>
    <t>Connecting Road to Highway</t>
  </si>
  <si>
    <t>Zones with connecting road to nearest national highway scored higher.</t>
  </si>
  <si>
    <t>Port Connectivity</t>
  </si>
  <si>
    <t>Zones with greater proximity to nearest seaport scored higher.</t>
  </si>
  <si>
    <t>Airport Connectivity</t>
  </si>
  <si>
    <t>Zones with greater proximity to nearest airport scored higher.</t>
  </si>
  <si>
    <t>Railway Station</t>
  </si>
  <si>
    <t>Zones with greater proximity to nearest railway station scored higher.</t>
  </si>
  <si>
    <t>Inland Waterway/Land Port</t>
  </si>
  <si>
    <t>Zones with greater proximity to nearest inland waterway or land port scored higher.</t>
  </si>
  <si>
    <r>
      <t>Utility </t>
    </r>
    <r>
      <rPr>
        <sz val="12"/>
        <color rgb="FF000000"/>
        <rFont val="Verdana"/>
        <family val="2"/>
      </rPr>
      <t>​</t>
    </r>
  </si>
  <si>
    <t>Access to utilities is a precursor to operational feasibility for unit investors. Ease of access to utilities is a major determinant of cost of development for BEZA and supporting government agencies.</t>
  </si>
  <si>
    <t>Power Availability</t>
  </si>
  <si>
    <t>Zones with greater proximity to nearest power station scored higher.</t>
  </si>
  <si>
    <t>Gas Availability</t>
  </si>
  <si>
    <t>Zones with greater proximity to nearest gas station scored higher.</t>
  </si>
  <si>
    <t>Source of Surface Water</t>
  </si>
  <si>
    <t>Zones with greater proximity to nearest surface water source scored higher.</t>
  </si>
  <si>
    <r>
      <t>Agglomeration effects </t>
    </r>
    <r>
      <rPr>
        <sz val="12"/>
        <color rgb="FF000000"/>
        <rFont val="Verdana"/>
        <family val="2"/>
      </rPr>
      <t>​</t>
    </r>
  </si>
  <si>
    <t>Aggromeration effects refer to the various network effects and productivity boosts associated with well connected and positioned industrial hubs and nodes</t>
  </si>
  <si>
    <t>Zones situated in districts with other BEZA EZs scored higher.</t>
  </si>
  <si>
    <t>Zones situated in districts with BEPZA/BHTPA/BSCIC EZs scored higher.</t>
  </si>
  <si>
    <t>BEPZA/BHTPA/BSCIC Website and OSS</t>
  </si>
  <si>
    <t>BEPZA/BHTPA/BSCIC</t>
  </si>
  <si>
    <t>Link-2</t>
  </si>
  <si>
    <t>Link-3</t>
  </si>
  <si>
    <t>Zones situated in districts with higher number of manufacturing industries as per SMI (BBS data) scored higher.</t>
  </si>
  <si>
    <t>Survey of Manufacturing Industries Micro Data</t>
  </si>
  <si>
    <t>BBS</t>
  </si>
  <si>
    <t>Zones situated on economic corridors scored higher.</t>
  </si>
  <si>
    <t>Connecting Bangladesh: Economic Corridor Network</t>
  </si>
  <si>
    <t>ADB</t>
  </si>
  <si>
    <r>
      <t>Regional Policy</t>
    </r>
    <r>
      <rPr>
        <sz val="12"/>
        <color rgb="FF000000"/>
        <rFont val="Verdana"/>
        <family val="2"/>
      </rPr>
      <t>​</t>
    </r>
  </si>
  <si>
    <t>EZ locations must be selected to support the development of laggard areas and to leverage regional tax incentives, which may attract investors.</t>
  </si>
  <si>
    <t>Zones situated in laggard districts scored higher.</t>
  </si>
  <si>
    <t>8th 5-Year Plan</t>
  </si>
  <si>
    <t>Planning Commission</t>
  </si>
  <si>
    <r>
      <t>Social</t>
    </r>
    <r>
      <rPr>
        <sz val="12"/>
        <color rgb="FF000000"/>
        <rFont val="Verdana"/>
        <family val="2"/>
      </rPr>
      <t>​</t>
    </r>
  </si>
  <si>
    <t>Social infrastructure and presence of sufficient employable workforce are key investor requirements to support the development and operations of EZs.</t>
  </si>
  <si>
    <t>Zones with higher employable population scored higher.</t>
  </si>
  <si>
    <t>Economic Census 2013</t>
  </si>
  <si>
    <t>Housing</t>
  </si>
  <si>
    <t>Zones with greater proximity to nearest town scored higher.</t>
  </si>
  <si>
    <t>Zones in districts with higher number of hotels scored higher.</t>
  </si>
  <si>
    <t>Public Directory (Google Maps)</t>
  </si>
  <si>
    <t>Health (Hospital)</t>
  </si>
  <si>
    <t>Zones in districts with higher number of hospitals scored higher.</t>
  </si>
  <si>
    <t>Facility Registry</t>
  </si>
  <si>
    <t>DGHS</t>
  </si>
  <si>
    <t>Zones in districts with higher number of University/Technical &amp; Vocational Institutions scored higher.</t>
  </si>
  <si>
    <t>List of Public and Private Universities, List of Vocational Institutions</t>
  </si>
  <si>
    <t>University Grant Commission (UGC), Technical Education Board</t>
  </si>
  <si>
    <r>
      <t>Environmental</t>
    </r>
    <r>
      <rPr>
        <sz val="12"/>
        <color rgb="FF000000"/>
        <rFont val="Verdana"/>
        <family val="2"/>
      </rPr>
      <t>​</t>
    </r>
  </si>
  <si>
    <t>Sustainability and disaster risk factors have been considered to ensure environmental compliance and disaster risk minimization.</t>
  </si>
  <si>
    <t>Environment Compliance</t>
  </si>
  <si>
    <t>Zones with EIA approval from DOE scored higher.</t>
  </si>
  <si>
    <t>EIA Report</t>
  </si>
  <si>
    <t>Zones with lower flood risk scored higher.</t>
  </si>
  <si>
    <t>Bangladesh Climate and Disaster Risk Atlas</t>
  </si>
  <si>
    <t>EIA Approval from DOE</t>
  </si>
  <si>
    <t>Zones with lower earthquake risk scored higher.</t>
  </si>
  <si>
    <t>Zones with lower sea level rise risk scored higher.</t>
  </si>
  <si>
    <t>BNBC Code; Earthquake</t>
  </si>
  <si>
    <t>Zones with lower cyclone risk scored higher.</t>
  </si>
  <si>
    <t>Zones with lower storm surge risk scored higher.</t>
  </si>
  <si>
    <t xml:space="preserve">* For all sub-parameters with existing BEZA Pre-feasibility/Feasibility reports as data source, in cases where reports were not available or the required data was not available in the reports, supplementary secondary research was conducted to gather information on the sub-parameters. In case of no available information even on secondary domain, the lowest score for the sub-parameter was allotted.							</t>
  </si>
  <si>
    <t>Source Page</t>
  </si>
  <si>
    <t>Area Available (Acres)</t>
  </si>
  <si>
    <t>Sectors (based on priority)</t>
  </si>
  <si>
    <t>Connectivity [Distance from nearest point]</t>
  </si>
  <si>
    <t>Utility</t>
  </si>
  <si>
    <t>License Status</t>
  </si>
  <si>
    <t>Website (Y/N)</t>
  </si>
  <si>
    <t>Website Link</t>
  </si>
  <si>
    <t>Site Visit</t>
  </si>
  <si>
    <t>Site Visit Year</t>
  </si>
  <si>
    <t>Site Assessment Report</t>
  </si>
  <si>
    <t>Site Assessment Report Year</t>
  </si>
  <si>
    <t>Pre-Feasibility</t>
  </si>
  <si>
    <t>Pre-Feasibility Year</t>
  </si>
  <si>
    <t>Pre-Feasibility 2</t>
  </si>
  <si>
    <t>Pre-Feasibility 2 Year</t>
  </si>
  <si>
    <t>Feasibility Year</t>
  </si>
  <si>
    <t>Feasibility 2</t>
  </si>
  <si>
    <t>Feasibility 2 Year</t>
  </si>
  <si>
    <t>Pre-Feasibility/Feasibility (Y/N)</t>
  </si>
  <si>
    <t>OSS PEZ Data (Y/N)</t>
  </si>
  <si>
    <t>PEZ Brochure 2018
(Y/N)</t>
  </si>
  <si>
    <t>Feasibility/Pre-Feasibility in Progress (Y/N)</t>
  </si>
  <si>
    <t>Data Status</t>
  </si>
  <si>
    <t>Website Area (Acres)</t>
  </si>
  <si>
    <t>Site Visit Area (Acres)</t>
  </si>
  <si>
    <t>Site Assessment Report (Acres)</t>
  </si>
  <si>
    <t>Pre-Feasibility Area (Acres)</t>
  </si>
  <si>
    <t>Feasibility Area (Acres)</t>
  </si>
  <si>
    <t>OSS PEZ Data (Acres)</t>
  </si>
  <si>
    <t>PEZ Brochure 2018 (Acre)</t>
  </si>
  <si>
    <t>PEZ Other Source (Acre)</t>
  </si>
  <si>
    <t>Standard Deviation/Mean (%)</t>
  </si>
  <si>
    <t>Area Discrepency (Y/N)</t>
  </si>
  <si>
    <t>Remarks</t>
  </si>
  <si>
    <t>Resolution</t>
  </si>
  <si>
    <t>Validated Area (Acres)</t>
  </si>
  <si>
    <t>Location on map</t>
  </si>
  <si>
    <t>Avg. Plot Size (Acres)</t>
  </si>
  <si>
    <t>Area Available (Acres)
Industry</t>
  </si>
  <si>
    <t>Area Available (Acres)
Govt.</t>
  </si>
  <si>
    <t>Area Available (Acres)
Road</t>
  </si>
  <si>
    <t>Area Available (Acres)
Utility</t>
  </si>
  <si>
    <t>Area Available (Acres)
Public Support</t>
  </si>
  <si>
    <t>Area Available (Acres)
Greenzone</t>
  </si>
  <si>
    <t>Area Available (Acres)
Others</t>
  </si>
  <si>
    <t>Total Area Available (Acres)
For Reference</t>
  </si>
  <si>
    <t>Sector 1</t>
  </si>
  <si>
    <t>Sector 2</t>
  </si>
  <si>
    <t>Sector 3</t>
  </si>
  <si>
    <t>Sector 4</t>
  </si>
  <si>
    <t>Sector 5</t>
  </si>
  <si>
    <t>Sector 6</t>
  </si>
  <si>
    <t>Sector 7</t>
  </si>
  <si>
    <t>Sector 8</t>
  </si>
  <si>
    <t>Sector 9</t>
  </si>
  <si>
    <t>Sector 10</t>
  </si>
  <si>
    <t>Others</t>
  </si>
  <si>
    <t>Airport</t>
  </si>
  <si>
    <t>Rail</t>
  </si>
  <si>
    <t>Port</t>
  </si>
  <si>
    <t>Land</t>
  </si>
  <si>
    <t>Power 
(MVA)/(MW)</t>
  </si>
  <si>
    <t>Water (m3/day)</t>
  </si>
  <si>
    <t>Gas (m3/day)</t>
  </si>
  <si>
    <t>Wastewater (m3/day)</t>
  </si>
  <si>
    <t>Others2</t>
  </si>
  <si>
    <t>No. of Tenants</t>
  </si>
  <si>
    <t>No. of Companies Operational</t>
  </si>
  <si>
    <t>Off-site Infrastructure/Utility/Upgrade Term</t>
  </si>
  <si>
    <t>Estimated Cost for Improvement/
Upgrade (+-15%)</t>
  </si>
  <si>
    <t>Expected Date of Completion</t>
  </si>
  <si>
    <t>Feasibility or Pre feasibility</t>
  </si>
  <si>
    <t>329.43 acres</t>
  </si>
  <si>
    <t>Textiles and RMG</t>
  </si>
  <si>
    <t>Wood products and furniture</t>
  </si>
  <si>
    <t>Food and beverages</t>
  </si>
  <si>
    <t>Agro based</t>
  </si>
  <si>
    <t>Paper and packaging</t>
  </si>
  <si>
    <t>Light engineering</t>
  </si>
  <si>
    <t>45km from Barishal domestic airport</t>
  </si>
  <si>
    <t>No prevailing rail network, nearest railway station is Khulna railway station 94 km away</t>
  </si>
  <si>
    <t>110km from Mongla port</t>
  </si>
  <si>
    <t>145 km from Bhomra land port</t>
  </si>
  <si>
    <t>Short-Term</t>
  </si>
  <si>
    <t>Area Not Found</t>
  </si>
  <si>
    <t>Ignore for now. CHT reservations.</t>
  </si>
  <si>
    <t>Pharmaceuticals</t>
  </si>
  <si>
    <t>Leather Goods</t>
  </si>
  <si>
    <t>Electrical and Electronics</t>
  </si>
  <si>
    <t>30km from Shah Amanat International Airport</t>
  </si>
  <si>
    <t>17km from Chittagong railway station</t>
  </si>
  <si>
    <t>18km from Chittagong port
12km from Chittagong port by sea route</t>
  </si>
  <si>
    <t>Araihazar Economic Zone – 2</t>
  </si>
  <si>
    <t>Feasibility or Pre feasibility + Site Visit Report</t>
  </si>
  <si>
    <t>Food and Beverage</t>
  </si>
  <si>
    <t>Chemicals</t>
  </si>
  <si>
    <t>Non-Metallic mineral products</t>
  </si>
  <si>
    <t>53km from Barisal Airport</t>
  </si>
  <si>
    <t>206km from Mongla Port
215km from Chittagong Port</t>
  </si>
  <si>
    <t>Light Engineering</t>
  </si>
  <si>
    <t>Textiles and Jute</t>
  </si>
  <si>
    <t>Plastics</t>
  </si>
  <si>
    <t>160 km from Rajshahi airport
180 lm from Hazrat Shahjalal Int'l Airport</t>
  </si>
  <si>
    <t>Plastic and Rubber</t>
  </si>
  <si>
    <t>Heavy Machinery, Iron &amp; Steel and metals</t>
  </si>
  <si>
    <t>Petroleum and petroleum products</t>
  </si>
  <si>
    <t>Light Machinery, Equipment and Furniture</t>
  </si>
  <si>
    <t>85km from Hazrat Shahjalal International Airport</t>
  </si>
  <si>
    <t>42km from Chandpur Railway Station</t>
  </si>
  <si>
    <t>235km from Chittagong Port
40lm from Chandpur River Port</t>
  </si>
  <si>
    <t>108km from Bibirbazar Land Port</t>
  </si>
  <si>
    <t>Site Visit Report</t>
  </si>
  <si>
    <t>RMG</t>
  </si>
  <si>
    <t>Integrated Textiles</t>
  </si>
  <si>
    <t>30km from Shajalal International Airport</t>
  </si>
  <si>
    <t>20km from Dhaka railway station</t>
  </si>
  <si>
    <t>344.16 acres (Sadar). No feasibility.</t>
  </si>
  <si>
    <t>888.28. No feasiblity.</t>
  </si>
  <si>
    <t>Feasibility or Pre feasibility + Site Visit Report for BSMSN</t>
  </si>
  <si>
    <t>7000 acres</t>
  </si>
  <si>
    <t>Shipbuilding</t>
  </si>
  <si>
    <t>Automobile Parts and Assembly</t>
  </si>
  <si>
    <t>75km from Chittagong Airport</t>
  </si>
  <si>
    <t>15 km from Boraiyarhat Railway Station</t>
  </si>
  <si>
    <t>75km from Chittagong Port
85km from Chittagong Port by Sea Route</t>
  </si>
  <si>
    <t>60km from Belonia Land port</t>
  </si>
  <si>
    <t>180km from Hazrat Shahjalal International Airport</t>
  </si>
  <si>
    <t>50km from Khulna Railway Station</t>
  </si>
  <si>
    <t>65km from Mongla Port</t>
  </si>
  <si>
    <t>Rename Jamalpur 2 to Sherpur-Jamalpur EZ. 403.63 acres</t>
  </si>
  <si>
    <t>167km from Hazrat Shahjalal International Airport</t>
  </si>
  <si>
    <t>60km from Mymensingh railway station</t>
  </si>
  <si>
    <t>377km from Mongla Port</t>
  </si>
  <si>
    <t>Long-Term</t>
  </si>
  <si>
    <t>Does this have a feasibility study?</t>
  </si>
  <si>
    <t>208.63. No feasibility</t>
  </si>
  <si>
    <t>506. No feasibility.</t>
  </si>
  <si>
    <t>211.6 acres. No feasibility.</t>
  </si>
  <si>
    <t>1125 acres</t>
  </si>
  <si>
    <t>Manikganj Economic Zone (Unused land beside old Aricha ferighat BIWTA)</t>
  </si>
  <si>
    <t>320.37 acres</t>
  </si>
  <si>
    <t>79km from Hazrat Shahjalal International Airport</t>
  </si>
  <si>
    <t>77km from Kamalapur Railway Station</t>
  </si>
  <si>
    <t>207km from Mongla Port
91km from Naraynganj River Port</t>
  </si>
  <si>
    <t>171km from Benapole Land Port</t>
  </si>
  <si>
    <t>11005 acres</t>
  </si>
  <si>
    <t>Paint and Chemical</t>
  </si>
  <si>
    <t>Other parts and machinery</t>
  </si>
  <si>
    <t>79km from Chittagong Airport</t>
  </si>
  <si>
    <t>11.5km from Borotakia Railway Station</t>
  </si>
  <si>
    <t>67km from Chittagong Port
85km from Chittagong Port by Sea Route</t>
  </si>
  <si>
    <t>.</t>
  </si>
  <si>
    <t>100km from Shah Amanat International Airport</t>
  </si>
  <si>
    <t>100km from Chittagong Railway Station</t>
  </si>
  <si>
    <t>98km from Chittagong Port</t>
  </si>
  <si>
    <t>Oil Refinery and Petrochemicals</t>
  </si>
  <si>
    <t>Marine Fish Processing</t>
  </si>
  <si>
    <t>Steel Manufacturing</t>
  </si>
  <si>
    <t>Steel Rerolling</t>
  </si>
  <si>
    <t>Logistics Hub/Gas Bottling</t>
  </si>
  <si>
    <t>Automobile and Heavy Engg.</t>
  </si>
  <si>
    <t>25.8 km from Cox's Bazar Airport</t>
  </si>
  <si>
    <t>70.7 km from Chittagong Railway station</t>
  </si>
  <si>
    <t>70.3 km from Chittagong sea port
167.3 km from Payra sea port</t>
  </si>
  <si>
    <t>20315.8. Tourism focused.</t>
  </si>
  <si>
    <t>Name changed to Sonadia Eco Tourism Park</t>
  </si>
  <si>
    <t>1000 acre</t>
  </si>
  <si>
    <t>Tourism</t>
  </si>
  <si>
    <t>110 km from Cox’s Bazar domestic airport</t>
  </si>
  <si>
    <t>120 km from Chittagong Railway Station</t>
  </si>
  <si>
    <t>124 km from Chittagong Port</t>
  </si>
  <si>
    <t>Food processing</t>
  </si>
  <si>
    <t>105km from Jessore airport</t>
  </si>
  <si>
    <t>Adjacent to Mongla Port</t>
  </si>
  <si>
    <t>80km from Cox's Bazar Airport</t>
  </si>
  <si>
    <t>160km from Dohazari railway station</t>
  </si>
  <si>
    <t>No information about Narayanganj on the pre feasibility report. Get feasibility report from Qader Sir</t>
  </si>
  <si>
    <t>276.12 acres</t>
  </si>
  <si>
    <t>300 acres</t>
  </si>
  <si>
    <t>Not Found in Planning Wing Priority List. Is this project active? What is the priority?</t>
  </si>
  <si>
    <t>300 acre. Priority 3.</t>
  </si>
  <si>
    <t>880.04 acres</t>
  </si>
  <si>
    <t>39km from Hazrat Shahjalal International Airport</t>
  </si>
  <si>
    <t>39km from Kamalapur Railway Station</t>
  </si>
  <si>
    <t>256km from Chittagong Port
38km from Narayanganj river port
91km from Naraynganj River Port</t>
  </si>
  <si>
    <t>122km from Bibirbazar land port</t>
  </si>
  <si>
    <t>500 acres</t>
  </si>
  <si>
    <t>Ceramic</t>
  </si>
  <si>
    <t>SMEs</t>
  </si>
  <si>
    <t>150km from Hazrat Shahjalal International Airport</t>
  </si>
  <si>
    <t>Adjacent to Netrokona railway line</t>
  </si>
  <si>
    <t>10km from Saidpur Airport</t>
  </si>
  <si>
    <t>16km from Nilfamari railway station</t>
  </si>
  <si>
    <t>484km from Mongla Port</t>
  </si>
  <si>
    <t>72km from Hilli land port</t>
  </si>
  <si>
    <t>45km from Saidpur Airport</t>
  </si>
  <si>
    <t>7km from Domar railway station
20km from Nilfamari railway station</t>
  </si>
  <si>
    <t>520km from Mongla Port
280 km from Baghabari river port</t>
  </si>
  <si>
    <t>79km from Burimari land port</t>
  </si>
  <si>
    <t>There is a feasibility report but it has no quantitative data</t>
  </si>
  <si>
    <t>965.36 acres</t>
  </si>
  <si>
    <t>13000.42. Tourism + residential</t>
  </si>
  <si>
    <t>254.14 acres</t>
  </si>
  <si>
    <t>686 acres</t>
  </si>
  <si>
    <t>80km from Hazrat Shahjalal International Airport</t>
  </si>
  <si>
    <t>65km from Kamlapur Railway Station</t>
  </si>
  <si>
    <t>185km from Mongla Port</t>
  </si>
  <si>
    <t>Check againsts Jamalpur</t>
  </si>
  <si>
    <t>Ceramics</t>
  </si>
  <si>
    <t>Machinery</t>
  </si>
  <si>
    <t>ICT BPO</t>
  </si>
  <si>
    <t>55 km from Osmani Airport</t>
  </si>
  <si>
    <t>35 km from sylhet railway station
43 km from Sreemangal railway station</t>
  </si>
  <si>
    <t>435 km from Chittagong port</t>
  </si>
  <si>
    <t>Is feasibility report available?</t>
  </si>
  <si>
    <t>Feasibility available</t>
  </si>
  <si>
    <t xml:space="preserve">51 km from Shah Amanat International Airport </t>
  </si>
  <si>
    <t>19 km from rail head at Sitakundo</t>
  </si>
  <si>
    <t>51km from Chittagong sea port</t>
  </si>
  <si>
    <t xml:space="preserve"> 113 km from Bibirbazar land port</t>
  </si>
  <si>
    <t>2925.2 acres</t>
  </si>
  <si>
    <t>52 km from the Osmani International Airport</t>
  </si>
  <si>
    <t>~52 km from the Sylhet railway station</t>
  </si>
  <si>
    <t>427km from Chittagong Seaport</t>
  </si>
  <si>
    <t>approx. 2km from Tamabil land port</t>
  </si>
  <si>
    <t>1764.89 acres</t>
  </si>
  <si>
    <t>109 km from Hazrat ShahJalal Intl Airport</t>
  </si>
  <si>
    <t>3km from Bangabandhu Setu East railway station</t>
  </si>
  <si>
    <t>339 km from Mongla Sea Port/65km from Baghabari river port</t>
  </si>
  <si>
    <t>approx 211km from Akhaura Land port</t>
  </si>
  <si>
    <t>Report is from 2014
Utility demands are projected data for 2022</t>
  </si>
  <si>
    <t>634.90. Not G2G. Heavy industry.</t>
  </si>
  <si>
    <t>Shipbuilding components</t>
  </si>
  <si>
    <t>Steel Mills/Steel Products</t>
  </si>
  <si>
    <t>46km from Chittagong airport</t>
  </si>
  <si>
    <t>32km from Chittagong railway station</t>
  </si>
  <si>
    <t>39km from Chittagong port
12km from Chittagong port by sea route</t>
  </si>
  <si>
    <t>Medium-Term</t>
  </si>
  <si>
    <t>64km from Hazrat Shahjalal International Airport</t>
  </si>
  <si>
    <t>51km from Dhaka Railway Station</t>
  </si>
  <si>
    <t>258km from Chittagong Port</t>
  </si>
  <si>
    <t>116km from Akhaura Land Port</t>
  </si>
  <si>
    <t>382.07 acres. Feasibility available. Take feasibility study.</t>
  </si>
  <si>
    <t>No feasibility</t>
  </si>
  <si>
    <t>In-Principal Approval</t>
  </si>
  <si>
    <t>Is this project still active?</t>
  </si>
  <si>
    <t>Ignore for now</t>
  </si>
  <si>
    <t>Textile &amp; RMG</t>
  </si>
  <si>
    <t>Narshingdi</t>
  </si>
  <si>
    <t>Pre-Qualification License</t>
  </si>
  <si>
    <t>Electronics</t>
  </si>
  <si>
    <t>Agro-processing</t>
  </si>
  <si>
    <t>Plastic</t>
  </si>
  <si>
    <t>IT</t>
  </si>
  <si>
    <t>License Awarded</t>
  </si>
  <si>
    <t>197.01 acres</t>
  </si>
  <si>
    <t>Automobiles</t>
  </si>
  <si>
    <t>170.49 acres</t>
  </si>
  <si>
    <t>100 acres</t>
  </si>
  <si>
    <t>150 acres</t>
  </si>
  <si>
    <t>Construction Materials</t>
  </si>
  <si>
    <t>Packaging</t>
  </si>
  <si>
    <t>Power</t>
  </si>
  <si>
    <t>Petro Chemicals</t>
  </si>
  <si>
    <t>Textiles</t>
  </si>
  <si>
    <t>Ship Building</t>
  </si>
  <si>
    <t>110 acres</t>
  </si>
  <si>
    <t>Light Engineering &amp; Auto Parts</t>
  </si>
  <si>
    <t>Finished Leather Goods</t>
  </si>
  <si>
    <t>Aeronautical Component Industry</t>
  </si>
  <si>
    <t xml:space="preserve">Electronics </t>
  </si>
  <si>
    <t>56 acres</t>
  </si>
  <si>
    <t>OSS data needs to be checked</t>
  </si>
  <si>
    <t>65 acres</t>
  </si>
  <si>
    <t>Leather Products &amp; Footwear</t>
  </si>
  <si>
    <t>Agro-Processing</t>
  </si>
  <si>
    <t>Medical Equipment</t>
  </si>
  <si>
    <t>138.6 acres</t>
  </si>
  <si>
    <t>Discrepancy between website PEZ status list and 2018 brochure</t>
  </si>
  <si>
    <t>Licences received.</t>
  </si>
  <si>
    <t>FMCG</t>
  </si>
  <si>
    <t>115.6 acres</t>
  </si>
  <si>
    <t>272 acres</t>
  </si>
  <si>
    <t>Garments Accessories</t>
  </si>
  <si>
    <t>Footwear &amp; Leather</t>
  </si>
  <si>
    <t>Electornics</t>
  </si>
  <si>
    <t>Petrochemicals</t>
  </si>
  <si>
    <t>53.8 acres</t>
  </si>
  <si>
    <t>LPG Bottling</t>
  </si>
  <si>
    <t>Paint</t>
  </si>
  <si>
    <t>Concrete Block</t>
  </si>
  <si>
    <t>Bitumen Manufacturing</t>
  </si>
  <si>
    <t>80.65 acres</t>
  </si>
  <si>
    <t>Furniture</t>
  </si>
  <si>
    <t>Cosmetics</t>
  </si>
  <si>
    <t>Leather Footwear</t>
  </si>
  <si>
    <t>75.47 acres</t>
  </si>
  <si>
    <t>Pre-fabricated building materials</t>
  </si>
  <si>
    <t>Cement</t>
  </si>
  <si>
    <t>Shipping</t>
  </si>
  <si>
    <t>Paper Mills</t>
  </si>
  <si>
    <t>65.24 acres</t>
  </si>
  <si>
    <t>130.6 acres</t>
  </si>
  <si>
    <t>Fiber Bag</t>
  </si>
  <si>
    <t>Steel</t>
  </si>
  <si>
    <t>Paper &amp; Paper Products</t>
  </si>
  <si>
    <t>Oil Refinery</t>
  </si>
  <si>
    <t>1035.93. Licence received.</t>
  </si>
  <si>
    <t>Leather</t>
  </si>
  <si>
    <t>Automobile Engineering</t>
  </si>
  <si>
    <t>Active. Legal issue.</t>
  </si>
  <si>
    <t>Is this a duplicate of 6?
EZ in Planning Wing Priority List but not in Website List. Does this have a feasibility study?</t>
  </si>
  <si>
    <t>Qader Sir will inform</t>
  </si>
  <si>
    <t>Qader Sir will inform. Feasibility ongoing.</t>
  </si>
  <si>
    <t>Count in list. To be started.</t>
  </si>
  <si>
    <t>Rationale for Land Suitability for Construction</t>
  </si>
  <si>
    <t>Rationale for Requirement for Distaster Risk Reduction &amp; Resilience Infrastructure</t>
  </si>
  <si>
    <t>No adverse conditions mentioned in feasibility report</t>
  </si>
  <si>
    <t>Prioritization Level</t>
  </si>
  <si>
    <t>Component</t>
  </si>
  <si>
    <t>Sub-Component</t>
  </si>
  <si>
    <t>Note</t>
  </si>
  <si>
    <t>Land Availability (Grade)</t>
  </si>
  <si>
    <t>Land Size</t>
  </si>
  <si>
    <t>BEZA Existing Plans</t>
  </si>
  <si>
    <t>BEZA Priority</t>
  </si>
  <si>
    <t>Sector Demand</t>
  </si>
  <si>
    <t>Connectivity/Logistics</t>
  </si>
  <si>
    <t>Power Station</t>
  </si>
  <si>
    <t>Gas Station</t>
  </si>
  <si>
    <t>Telecom</t>
  </si>
  <si>
    <t>Agglomeration Effects</t>
  </si>
  <si>
    <t>Unorganized (From SMI)</t>
  </si>
  <si>
    <t>Policy</t>
  </si>
  <si>
    <t>Economic/Social Priority</t>
  </si>
  <si>
    <t>BIDA Website</t>
  </si>
  <si>
    <t>BIDA</t>
  </si>
  <si>
    <t>Social</t>
  </si>
  <si>
    <t>Hotels</t>
  </si>
  <si>
    <t>University/Technical &amp; Vocational Institutes</t>
  </si>
  <si>
    <t>Environment</t>
  </si>
  <si>
    <t>Flood Prone Zone</t>
  </si>
  <si>
    <t>Natural Calamity Zone</t>
  </si>
  <si>
    <t>* For all sub-parameters with existing BEZA Pre-feasibility/Feasibility reports as data source, in cases where reports were not available or the required data was not available in the reports, supplementary secondary research was conducted to gather information on the sub-parameters. In case of no available information even on secondary domain, the lowest score for the sub-parameter was allotted.</t>
  </si>
  <si>
    <t>Status (In-principle/Pre-planning/Planning/In Development)</t>
  </si>
  <si>
    <t>Column1</t>
  </si>
  <si>
    <t>Total Area Available (Acres)</t>
  </si>
  <si>
    <t>Feasibility report shows data for Anwara EZ,  total area suggests combined data of both EZ</t>
  </si>
  <si>
    <t>Chittagong</t>
  </si>
  <si>
    <t>BSMSN</t>
  </si>
  <si>
    <t>Moheshkhali Special Economic Zone, Ghativanga-Sonadia</t>
  </si>
  <si>
    <t>Feasibility report shows larger area, possibly representing the other Moheshkhali EZs too</t>
  </si>
  <si>
    <t>Confusion amongst 18, 33, 47</t>
  </si>
  <si>
    <t>This is exact match with Jaliardip Economic Zone file</t>
  </si>
  <si>
    <t>Anowara Economic Zone – 2</t>
  </si>
  <si>
    <t>This is exact match. However the other Anowara Economic Zone area doesn't match with Anowara EZ1 area , the other report possibly represents both</t>
  </si>
  <si>
    <t>No information about Narayanganj on the pre feasibility report</t>
  </si>
  <si>
    <t>Not Found in Priority List</t>
  </si>
  <si>
    <t>Norshingdi Economic Zone</t>
  </si>
  <si>
    <t>Norshingdi</t>
  </si>
  <si>
    <t>Norshingdi Sadar</t>
  </si>
  <si>
    <t>Chottogram</t>
  </si>
  <si>
    <t>Mirershorai 2 Economic Zone</t>
  </si>
  <si>
    <t>Mirshorai</t>
  </si>
  <si>
    <t>Possible Duplicate. Mirsarai 1 and 2 considered same zone or seperate?</t>
  </si>
  <si>
    <t>Bhola (Bagmara) Economic Zone</t>
  </si>
  <si>
    <t>Bagmara</t>
  </si>
  <si>
    <t>EZ in Planning Wing Priority List but not in Website List.</t>
  </si>
  <si>
    <t>E</t>
  </si>
  <si>
    <t xml:space="preserve">Level 1 </t>
  </si>
  <si>
    <t>Name of Economic Zone</t>
  </si>
  <si>
    <t>Updated Land Area</t>
  </si>
  <si>
    <t>No Report</t>
  </si>
  <si>
    <t>Weighted Avg.</t>
  </si>
  <si>
    <t>Rank</t>
  </si>
  <si>
    <t>Land Size (100%)</t>
  </si>
  <si>
    <t>BEZA Priority (40%)</t>
  </si>
  <si>
    <t>Grade (viability) (35%)</t>
  </si>
  <si>
    <t>Existing BEZA report (25%)</t>
  </si>
  <si>
    <t>Pre-feasibility/ Feasibility report</t>
  </si>
  <si>
    <t>Site visit/ assessment report</t>
  </si>
  <si>
    <t>In-principle approval</t>
  </si>
  <si>
    <t>D Grade</t>
  </si>
  <si>
    <t>No report</t>
  </si>
  <si>
    <t>Existing Sectors (50%)</t>
  </si>
  <si>
    <t>Potential New Sectors (50%)</t>
  </si>
  <si>
    <t>Source: BEZA Website</t>
  </si>
  <si>
    <t>Sl No</t>
  </si>
  <si>
    <t>Name of The EZ</t>
  </si>
  <si>
    <t>Bangabandhu Sheikh Mujib Shilpa Nagar (Mirsarai, Feni &amp; Sitakundo)</t>
  </si>
  <si>
    <t>Araihajar Economic Zone</t>
  </si>
  <si>
    <t>Araihajazar</t>
  </si>
  <si>
    <t>Poba</t>
  </si>
  <si>
    <t>Sherpur Jamalpur Economic Zone</t>
  </si>
  <si>
    <t>Sherpur Jamalpur</t>
  </si>
  <si>
    <t> Sadar</t>
  </si>
  <si>
    <t>Goainghat</t>
  </si>
  <si>
    <t>Nator Economic Zone – 2</t>
  </si>
  <si>
    <t>Nator</t>
  </si>
  <si>
    <t>Nawabganj Economic Zone, Dhaka</t>
  </si>
  <si>
    <t>Barisal</t>
  </si>
  <si>
    <t>Abuk Khair Economic Zone</t>
  </si>
  <si>
    <t>Chhatak Economic Zone</t>
  </si>
  <si>
    <t>Source: Planning Wing</t>
  </si>
  <si>
    <t>Sl No.</t>
  </si>
  <si>
    <t>Bangabandhu Sheikh Mujib Shilpa Nagar (Mirsarai, Feni &amp; Sitakundo)  </t>
  </si>
  <si>
    <t>Narayanganj (Araihajar) Economic Zone </t>
  </si>
  <si>
    <t>Shreehatta Economic Zone </t>
  </si>
  <si>
    <t>Jamalpur (Sadar) Economic Zone </t>
  </si>
  <si>
    <t>Sabrang Tourism Park </t>
  </si>
  <si>
    <t>Cox's Bazar</t>
  </si>
  <si>
    <t>Moheshkhali (Dhalghata) Economic Zone </t>
  </si>
  <si>
    <t>Nawabganj (Daulatpur) Economic Zone, Dhaka</t>
  </si>
  <si>
    <t>Gopalganj (Kotalipara) Economic Zone </t>
  </si>
  <si>
    <t>Mongla (PPP) Economic Zone </t>
  </si>
  <si>
    <t>Mongla (Indian) Economic Zone</t>
  </si>
  <si>
    <t>Anowara (Chinese) Economic Zone </t>
  </si>
  <si>
    <t>Bogura (Shajahanpur) Economic Zone </t>
  </si>
  <si>
    <t>Shahjahanpur</t>
  </si>
  <si>
    <t>Naf Tourism Park </t>
  </si>
  <si>
    <t>Sonadia Eco-Tourism Park, Moheshkhali (Ghativanga, Sonadia) </t>
  </si>
  <si>
    <t>Kushtia (Bheramara) Economic Zone </t>
  </si>
  <si>
    <t>Tangail (Bhuapur) Economic Zone </t>
  </si>
  <si>
    <t>Sylhet (Gowainghat) Economic Zone </t>
  </si>
  <si>
    <t>Nilphamari Economic Zone </t>
  </si>
  <si>
    <t>Panchagarh (Debiganj) Economic Zone </t>
  </si>
  <si>
    <t>Khulna (Batiaghata) Economic Zone </t>
  </si>
  <si>
    <t>Netrakona (Sadar) Economic Zone </t>
  </si>
  <si>
    <t>Kurigram (Sadar) Economic Zone </t>
  </si>
  <si>
    <t>Bhola (Bagmara) Economic Zone </t>
  </si>
  <si>
    <t>Lakshmipur Economic Zone </t>
  </si>
  <si>
    <t>Sathkira Economic Zone </t>
  </si>
  <si>
    <t>Magura Economic Zone </t>
  </si>
  <si>
    <t>Shariatpur (Gosairhat) Economic Zone </t>
  </si>
  <si>
    <t>Araihazar (Kalapaharia) Economic Zone, Narayanganj </t>
  </si>
  <si>
    <t>Noakhali (Companiganj) Economic Zone </t>
  </si>
  <si>
    <t>Sandwip Economic Zone </t>
  </si>
  <si>
    <t>Chandpur (Haimchar) Economic Zone </t>
  </si>
  <si>
    <t>Chandpur (Matlab Uttar) Economic Zone </t>
  </si>
  <si>
    <t>Chor Megha Economic Zone, Hijla, Barishal </t>
  </si>
  <si>
    <t>Hijla</t>
  </si>
  <si>
    <t>Pabna (Bera) Economic Zone </t>
  </si>
  <si>
    <t>Sapahar Economic Zone, Naogaon </t>
  </si>
  <si>
    <t>Faridpur Economic Zone </t>
  </si>
  <si>
    <t>Rajshahi (Paba) Economic Zone </t>
  </si>
  <si>
    <t>Manikganj (Aricha) Economic Zone </t>
  </si>
  <si>
    <t>Habiganj (Chunarughat) Economic Zone </t>
  </si>
  <si>
    <t>Bhola (Sadar) Economic Zone </t>
  </si>
  <si>
    <t>Mymensingh Economic Zone, Ishwarganj </t>
  </si>
  <si>
    <t>Barishal (Agoiljhara) Economic Zone </t>
  </si>
  <si>
    <t>Dhaka SEZ, Keraniganj, Dhaka </t>
  </si>
  <si>
    <t>Dhaka (Dohar) Economic Zone </t>
  </si>
  <si>
    <t>Sherpur (Sadar) Economic Zone </t>
  </si>
  <si>
    <t>Madaripur Economic Zone </t>
  </si>
  <si>
    <t>Anowara (Gohira) Economic Zone </t>
  </si>
  <si>
    <t>Shreepur Economic Zone </t>
  </si>
  <si>
    <t>Narayanganj (Bandar) Economic Zone </t>
  </si>
  <si>
    <t>Bandar</t>
  </si>
  <si>
    <t>Ashuganj Economic Zone </t>
  </si>
  <si>
    <t>Narsingdi Economic Zone </t>
  </si>
  <si>
    <t>Shariatpur (Jajira) Economic Zone </t>
  </si>
  <si>
    <t>Cox's Bazar (Moheshkhali) Special Economic Zone </t>
  </si>
  <si>
    <t>Moheshkhali (Gorokghata) Economic Zone </t>
  </si>
  <si>
    <t>Moheshkhali (Kalarmarchara) Economic Zone - 1 </t>
  </si>
  <si>
    <t>Narayanganj (Sonargaon) Economic Zone </t>
  </si>
  <si>
    <t>Natore (Lalpur) Economic Zone </t>
  </si>
  <si>
    <t xml:space="preserve">Natore </t>
  </si>
  <si>
    <t>Gopalganj (Gobra) Economic Zone </t>
  </si>
  <si>
    <t>Patiya Economic Zone, Chittagong </t>
  </si>
  <si>
    <t>Patiya</t>
  </si>
  <si>
    <t>Sundarban Tourism Park, Bagerhat </t>
  </si>
  <si>
    <t>Khulna (Terokhada) Economic Zone </t>
  </si>
  <si>
    <t>Moheshkhali (Kalarmarchara) Economic Zone – 2 </t>
  </si>
  <si>
    <t>Mymensingh (Sadar) Economic Zone </t>
  </si>
  <si>
    <t>Khagrachari (Alutila) Special Tourism Zone </t>
  </si>
  <si>
    <t>Khagrachari</t>
  </si>
  <si>
    <t>Rampal Economic Zone, Bagerhat </t>
  </si>
  <si>
    <t>Gajaria Economic Zone, Munshiganj </t>
  </si>
  <si>
    <t>Sunamganj (Chhatak) Economic Zone </t>
  </si>
  <si>
    <t>Chhatak</t>
  </si>
  <si>
    <t>Dinajpur Economic Zone </t>
  </si>
  <si>
    <t>Source: OSS Wing</t>
  </si>
  <si>
    <t>Sl. No.</t>
  </si>
  <si>
    <t>Land Area (Acres)</t>
  </si>
  <si>
    <t>Requires Sanity Check (Applicable to All)</t>
  </si>
  <si>
    <t>Kaliakoir</t>
  </si>
  <si>
    <t>Belkuchi and Sirajganj</t>
  </si>
  <si>
    <t>Karnaphuly Dry Dock Special Economic Zone</t>
  </si>
  <si>
    <t>Kishoreganj Economic Zone</t>
  </si>
  <si>
    <t>Other Source Link</t>
  </si>
  <si>
    <t>Sector Source</t>
  </si>
  <si>
    <t>https://www.daily-sun.com/printversion/details/296851/BGMEA-gets-500-acres-in-Mirsharai-EZ-for-RMG-park-</t>
  </si>
  <si>
    <t>https://www.beza.gov.bd/economic-zones-site/private-sector-owned-sites/ak-khan-and-company-ltd/</t>
  </si>
  <si>
    <t>https://www.beza.gov.bd/abdul-monem-economic-zone/</t>
  </si>
  <si>
    <t>Not found</t>
  </si>
  <si>
    <t>https://www.thedailystar.net/business/akij-invest-tk-1500cr-three-plants-its-economic-zone-1288102</t>
  </si>
  <si>
    <t>https://www.beza.gov.bd/aman-economic-zone/</t>
  </si>
  <si>
    <t>https://www.beza.gov.bd/news/arisha-private-economic-zone-received-prequalification-license/</t>
  </si>
  <si>
    <t>https://www.beza.gov.bd/bay-economic-zone/</t>
  </si>
  <si>
    <t>https://www.beza.gov.bd/city-economic-zone/</t>
  </si>
  <si>
    <t>https://www.mgi.org/businessverticals/cez</t>
  </si>
  <si>
    <t>https://archive.dhakatribune.com/business/2019/02/25/bashundhara-group-gets-economic-zone-licence</t>
  </si>
  <si>
    <t>https://today.thefinancialexpress.com.bd/trade-market/hamid-group-to-set-up-economic-zone-in-mymensingh-1545845343</t>
  </si>
  <si>
    <t>https://www.beza.gov.bd/news/hoshendi-economic-zone-gets-final-license-as-11th-private-economic-zone/</t>
  </si>
  <si>
    <t>https://www.tbsnews.net/bangladesh/karnafuly-dry-dock-signs-land-lease-agreement-beza-336532</t>
  </si>
  <si>
    <t>https://thefinancialexpress.com.bd/economy/bangladesh/kishoreganj-ez-obtains-final-licence-1550500540</t>
  </si>
  <si>
    <t>https://www.mgi.org/businessverticals/mez</t>
  </si>
  <si>
    <t>https://www.beza.gov.bd/economic-zones-site/private-sector-owned-sites/meghna-economic-zone-miez/</t>
  </si>
  <si>
    <t>https://www.mgi.org/businessverticals/miez</t>
  </si>
  <si>
    <t>https://www.beza.gov.bd/meghna-industrial-ez/</t>
  </si>
  <si>
    <t>https://www.beza.gov.bd/private-ez/adjacent-to-bangabandhu-bridge-sirajganj/</t>
  </si>
  <si>
    <t>https://www.sez.com.bd/about.html</t>
  </si>
  <si>
    <t>https://archive.dhakatribune.com/business/2019/01/27/standard-global-economic-zone-gets-pre-qualification-certificate</t>
  </si>
  <si>
    <t>https://www.thedailystar.net/business/united-group-set-economic-zone-it-industry-1255228</t>
  </si>
  <si>
    <t>Source: BEZA Brochure 2018</t>
  </si>
  <si>
    <t>Source: BEZA OSS</t>
  </si>
  <si>
    <t>SL</t>
  </si>
  <si>
    <t> Name of EZ</t>
  </si>
  <si>
    <t>Status 1</t>
  </si>
  <si>
    <t>Status 2</t>
  </si>
  <si>
    <t>Status 3</t>
  </si>
  <si>
    <t>A K Khan Economic Zone</t>
  </si>
  <si>
    <t>Narshindi</t>
  </si>
  <si>
    <t>Polash</t>
  </si>
  <si>
    <t>Munsigonj</t>
  </si>
  <si>
    <t>Gazaria</t>
  </si>
  <si>
    <t>Narayangonj</t>
  </si>
  <si>
    <t>Karanigonj</t>
  </si>
  <si>
    <t>Keranigonj</t>
  </si>
  <si>
    <t>Status Mismatch</t>
  </si>
  <si>
    <t>Comilla Economic Zone</t>
  </si>
  <si>
    <t>Comilla</t>
  </si>
  <si>
    <t>East-West Special  Economic Zone</t>
  </si>
  <si>
    <t>Karnophuly Dry Dock SEZ</t>
  </si>
  <si>
    <t>Anwara</t>
  </si>
  <si>
    <t>Sirajganj Sadar &amp; Belkuchi</t>
  </si>
  <si>
    <t>United IT Park Ltd. Dhaka</t>
  </si>
  <si>
    <t>Vatara, Badda</t>
  </si>
  <si>
    <t>Sitakindo Economic Zone</t>
  </si>
  <si>
    <t>Araihajazar Economic Zone</t>
  </si>
  <si>
    <t>#</t>
  </si>
  <si>
    <t>Uppazila</t>
  </si>
  <si>
    <r>
      <t>1.</t>
    </r>
    <r>
      <rPr>
        <sz val="7"/>
        <color rgb="FF000000"/>
        <rFont val="Times New Roman"/>
        <family val="1"/>
      </rPr>
      <t xml:space="preserve">    </t>
    </r>
    <r>
      <rPr>
        <sz val="9"/>
        <color rgb="FF000000"/>
        <rFont val="Verdana"/>
        <family val="2"/>
      </rPr>
      <t> </t>
    </r>
  </si>
  <si>
    <t>Planning</t>
  </si>
  <si>
    <r>
      <t>2.</t>
    </r>
    <r>
      <rPr>
        <sz val="7"/>
        <color rgb="FF000000"/>
        <rFont val="Times New Roman"/>
        <family val="1"/>
      </rPr>
      <t xml:space="preserve">    </t>
    </r>
    <r>
      <rPr>
        <sz val="9"/>
        <color rgb="FF000000"/>
        <rFont val="Verdana"/>
        <family val="2"/>
      </rPr>
      <t> </t>
    </r>
  </si>
  <si>
    <r>
      <t>3.</t>
    </r>
    <r>
      <rPr>
        <sz val="7"/>
        <color rgb="FF000000"/>
        <rFont val="Times New Roman"/>
        <family val="1"/>
      </rPr>
      <t xml:space="preserve">    </t>
    </r>
    <r>
      <rPr>
        <sz val="9"/>
        <color rgb="FF000000"/>
        <rFont val="Verdana"/>
        <family val="2"/>
      </rPr>
      <t> </t>
    </r>
  </si>
  <si>
    <r>
      <t>4.</t>
    </r>
    <r>
      <rPr>
        <sz val="7"/>
        <color rgb="FF000000"/>
        <rFont val="Times New Roman"/>
        <family val="1"/>
      </rPr>
      <t xml:space="preserve">    </t>
    </r>
    <r>
      <rPr>
        <sz val="9"/>
        <color rgb="FF000000"/>
        <rFont val="Verdana"/>
        <family val="2"/>
      </rPr>
      <t> </t>
    </r>
  </si>
  <si>
    <t>- </t>
  </si>
  <si>
    <r>
      <t>5.</t>
    </r>
    <r>
      <rPr>
        <sz val="7"/>
        <color rgb="FF000000"/>
        <rFont val="Times New Roman"/>
        <family val="1"/>
      </rPr>
      <t xml:space="preserve">    </t>
    </r>
    <r>
      <rPr>
        <sz val="9"/>
        <color rgb="FF000000"/>
        <rFont val="Verdana"/>
        <family val="2"/>
      </rPr>
      <t> </t>
    </r>
  </si>
  <si>
    <r>
      <t>6.</t>
    </r>
    <r>
      <rPr>
        <sz val="7"/>
        <color rgb="FF000000"/>
        <rFont val="Times New Roman"/>
        <family val="1"/>
      </rPr>
      <t xml:space="preserve">    </t>
    </r>
    <r>
      <rPr>
        <sz val="9"/>
        <color rgb="FF000000"/>
        <rFont val="Verdana"/>
        <family val="2"/>
      </rPr>
      <t> </t>
    </r>
  </si>
  <si>
    <r>
      <t>7.</t>
    </r>
    <r>
      <rPr>
        <sz val="7"/>
        <color rgb="FF000000"/>
        <rFont val="Times New Roman"/>
        <family val="1"/>
      </rPr>
      <t xml:space="preserve">    </t>
    </r>
    <r>
      <rPr>
        <sz val="9"/>
        <color rgb="FF000000"/>
        <rFont val="Verdana"/>
        <family val="2"/>
      </rPr>
      <t> </t>
    </r>
  </si>
  <si>
    <r>
      <t>8.</t>
    </r>
    <r>
      <rPr>
        <sz val="7"/>
        <color rgb="FF000000"/>
        <rFont val="Times New Roman"/>
        <family val="1"/>
      </rPr>
      <t xml:space="preserve">    </t>
    </r>
    <r>
      <rPr>
        <sz val="9"/>
        <color rgb="FF000000"/>
        <rFont val="Verdana"/>
        <family val="2"/>
      </rPr>
      <t> </t>
    </r>
  </si>
  <si>
    <r>
      <t>9.</t>
    </r>
    <r>
      <rPr>
        <sz val="7"/>
        <color rgb="FF000000"/>
        <rFont val="Times New Roman"/>
        <family val="1"/>
      </rPr>
      <t xml:space="preserve">    </t>
    </r>
    <r>
      <rPr>
        <sz val="9"/>
        <color rgb="FF000000"/>
        <rFont val="Verdana"/>
        <family val="2"/>
      </rPr>
      <t> </t>
    </r>
  </si>
  <si>
    <r>
      <t>10.</t>
    </r>
    <r>
      <rPr>
        <sz val="7"/>
        <color rgb="FF000000"/>
        <rFont val="Times New Roman"/>
        <family val="1"/>
      </rPr>
      <t xml:space="preserve">  </t>
    </r>
    <r>
      <rPr>
        <sz val="9"/>
        <color rgb="FF000000"/>
        <rFont val="Verdana"/>
        <family val="2"/>
      </rPr>
      <t> </t>
    </r>
  </si>
  <si>
    <r>
      <t>11.</t>
    </r>
    <r>
      <rPr>
        <sz val="7"/>
        <color rgb="FF000000"/>
        <rFont val="Times New Roman"/>
        <family val="1"/>
      </rPr>
      <t xml:space="preserve">  </t>
    </r>
    <r>
      <rPr>
        <sz val="9"/>
        <color rgb="FF000000"/>
        <rFont val="Verdana"/>
        <family val="2"/>
      </rPr>
      <t> </t>
    </r>
  </si>
  <si>
    <r>
      <t>12.</t>
    </r>
    <r>
      <rPr>
        <sz val="7"/>
        <color rgb="FF000000"/>
        <rFont val="Times New Roman"/>
        <family val="1"/>
      </rPr>
      <t xml:space="preserve">  </t>
    </r>
    <r>
      <rPr>
        <sz val="9"/>
        <color rgb="FF000000"/>
        <rFont val="Verdana"/>
        <family val="2"/>
      </rPr>
      <t> </t>
    </r>
  </si>
  <si>
    <r>
      <t>13.</t>
    </r>
    <r>
      <rPr>
        <sz val="7"/>
        <color rgb="FF000000"/>
        <rFont val="Times New Roman"/>
        <family val="1"/>
      </rPr>
      <t xml:space="preserve">  </t>
    </r>
    <r>
      <rPr>
        <sz val="9"/>
        <color rgb="FF000000"/>
        <rFont val="Verdana"/>
        <family val="2"/>
      </rPr>
      <t> </t>
    </r>
  </si>
  <si>
    <r>
      <t>14.</t>
    </r>
    <r>
      <rPr>
        <sz val="7"/>
        <color rgb="FF000000"/>
        <rFont val="Times New Roman"/>
        <family val="1"/>
      </rPr>
      <t xml:space="preserve">  </t>
    </r>
    <r>
      <rPr>
        <sz val="9"/>
        <color rgb="FF000000"/>
        <rFont val="Verdana"/>
        <family val="2"/>
      </rPr>
      <t> </t>
    </r>
  </si>
  <si>
    <r>
      <t>15.</t>
    </r>
    <r>
      <rPr>
        <sz val="7"/>
        <color rgb="FF000000"/>
        <rFont val="Times New Roman"/>
        <family val="1"/>
      </rPr>
      <t xml:space="preserve">  </t>
    </r>
    <r>
      <rPr>
        <sz val="9"/>
        <color rgb="FF000000"/>
        <rFont val="Verdana"/>
        <family val="2"/>
      </rPr>
      <t> </t>
    </r>
  </si>
  <si>
    <r>
      <t>16.</t>
    </r>
    <r>
      <rPr>
        <sz val="7"/>
        <color rgb="FF000000"/>
        <rFont val="Times New Roman"/>
        <family val="1"/>
      </rPr>
      <t xml:space="preserve">  </t>
    </r>
    <r>
      <rPr>
        <sz val="9"/>
        <color rgb="FF000000"/>
        <rFont val="Verdana"/>
        <family val="2"/>
      </rPr>
      <t> </t>
    </r>
  </si>
  <si>
    <r>
      <t>17.</t>
    </r>
    <r>
      <rPr>
        <sz val="7"/>
        <color rgb="FF000000"/>
        <rFont val="Times New Roman"/>
        <family val="1"/>
      </rPr>
      <t xml:space="preserve">  </t>
    </r>
    <r>
      <rPr>
        <sz val="9"/>
        <color rgb="FF000000"/>
        <rFont val="Verdana"/>
        <family val="2"/>
      </rPr>
      <t> </t>
    </r>
  </si>
  <si>
    <t>In-principle approval </t>
  </si>
  <si>
    <r>
      <t>18.</t>
    </r>
    <r>
      <rPr>
        <sz val="7"/>
        <color rgb="FF000000"/>
        <rFont val="Times New Roman"/>
        <family val="1"/>
      </rPr>
      <t xml:space="preserve">  </t>
    </r>
    <r>
      <rPr>
        <sz val="9"/>
        <color rgb="FF000000"/>
        <rFont val="Verdana"/>
        <family val="2"/>
      </rPr>
      <t> </t>
    </r>
  </si>
  <si>
    <r>
      <t>19.</t>
    </r>
    <r>
      <rPr>
        <sz val="7"/>
        <color rgb="FF000000"/>
        <rFont val="Times New Roman"/>
        <family val="1"/>
      </rPr>
      <t xml:space="preserve">  </t>
    </r>
    <r>
      <rPr>
        <sz val="9"/>
        <color rgb="FF000000"/>
        <rFont val="Verdana"/>
        <family val="2"/>
      </rPr>
      <t> </t>
    </r>
  </si>
  <si>
    <r>
      <t>20.</t>
    </r>
    <r>
      <rPr>
        <sz val="7"/>
        <color rgb="FF000000"/>
        <rFont val="Times New Roman"/>
        <family val="1"/>
      </rPr>
      <t xml:space="preserve">  </t>
    </r>
    <r>
      <rPr>
        <sz val="9"/>
        <color rgb="FF000000"/>
        <rFont val="Verdana"/>
        <family val="2"/>
      </rPr>
      <t> </t>
    </r>
  </si>
  <si>
    <t> -</t>
  </si>
  <si>
    <r>
      <t>21.</t>
    </r>
    <r>
      <rPr>
        <sz val="7"/>
        <color rgb="FF000000"/>
        <rFont val="Times New Roman"/>
        <family val="1"/>
      </rPr>
      <t xml:space="preserve">  </t>
    </r>
    <r>
      <rPr>
        <sz val="9"/>
        <color rgb="FF000000"/>
        <rFont val="Verdana"/>
        <family val="2"/>
      </rPr>
      <t> </t>
    </r>
  </si>
  <si>
    <r>
      <t>22.</t>
    </r>
    <r>
      <rPr>
        <sz val="7"/>
        <color rgb="FF000000"/>
        <rFont val="Times New Roman"/>
        <family val="1"/>
      </rPr>
      <t xml:space="preserve">  </t>
    </r>
    <r>
      <rPr>
        <sz val="9"/>
        <color rgb="FF000000"/>
        <rFont val="Verdana"/>
        <family val="2"/>
      </rPr>
      <t> </t>
    </r>
  </si>
  <si>
    <r>
      <t>23.</t>
    </r>
    <r>
      <rPr>
        <sz val="7"/>
        <color rgb="FF000000"/>
        <rFont val="Times New Roman"/>
        <family val="1"/>
      </rPr>
      <t xml:space="preserve">  </t>
    </r>
    <r>
      <rPr>
        <sz val="9"/>
        <color rgb="FF000000"/>
        <rFont val="Verdana"/>
        <family val="2"/>
      </rPr>
      <t> </t>
    </r>
  </si>
  <si>
    <r>
      <t>24.</t>
    </r>
    <r>
      <rPr>
        <sz val="7"/>
        <color rgb="FF000000"/>
        <rFont val="Times New Roman"/>
        <family val="1"/>
      </rPr>
      <t xml:space="preserve">  </t>
    </r>
    <r>
      <rPr>
        <sz val="9"/>
        <color rgb="FF000000"/>
        <rFont val="Verdana"/>
        <family val="2"/>
      </rPr>
      <t> </t>
    </r>
  </si>
  <si>
    <r>
      <t>25.</t>
    </r>
    <r>
      <rPr>
        <sz val="7"/>
        <color rgb="FF000000"/>
        <rFont val="Times New Roman"/>
        <family val="1"/>
      </rPr>
      <t xml:space="preserve">  </t>
    </r>
    <r>
      <rPr>
        <sz val="9"/>
        <color rgb="FF000000"/>
        <rFont val="Verdana"/>
        <family val="2"/>
      </rPr>
      <t> </t>
    </r>
  </si>
  <si>
    <r>
      <t>26.</t>
    </r>
    <r>
      <rPr>
        <sz val="7"/>
        <color rgb="FF000000"/>
        <rFont val="Times New Roman"/>
        <family val="1"/>
      </rPr>
      <t xml:space="preserve">  </t>
    </r>
    <r>
      <rPr>
        <sz val="9"/>
        <color rgb="FF000000"/>
        <rFont val="Verdana"/>
        <family val="2"/>
      </rPr>
      <t> </t>
    </r>
  </si>
  <si>
    <r>
      <t>27.</t>
    </r>
    <r>
      <rPr>
        <sz val="7"/>
        <color rgb="FF000000"/>
        <rFont val="Times New Roman"/>
        <family val="1"/>
      </rPr>
      <t xml:space="preserve">  </t>
    </r>
    <r>
      <rPr>
        <sz val="9"/>
        <color rgb="FF000000"/>
        <rFont val="Verdana"/>
        <family val="2"/>
      </rPr>
      <t> </t>
    </r>
  </si>
  <si>
    <r>
      <t>28.</t>
    </r>
    <r>
      <rPr>
        <sz val="7"/>
        <color rgb="FF000000"/>
        <rFont val="Times New Roman"/>
        <family val="1"/>
      </rPr>
      <t xml:space="preserve">  </t>
    </r>
    <r>
      <rPr>
        <sz val="9"/>
        <color rgb="FF000000"/>
        <rFont val="Verdana"/>
        <family val="2"/>
      </rPr>
      <t> </t>
    </r>
  </si>
  <si>
    <r>
      <t>29.</t>
    </r>
    <r>
      <rPr>
        <sz val="7"/>
        <color rgb="FF000000"/>
        <rFont val="Times New Roman"/>
        <family val="1"/>
      </rPr>
      <t xml:space="preserve">  </t>
    </r>
    <r>
      <rPr>
        <sz val="9"/>
        <color rgb="FF000000"/>
        <rFont val="Verdana"/>
        <family val="2"/>
      </rPr>
      <t> </t>
    </r>
  </si>
  <si>
    <r>
      <t>30.</t>
    </r>
    <r>
      <rPr>
        <sz val="7"/>
        <color rgb="FF000000"/>
        <rFont val="Times New Roman"/>
        <family val="1"/>
      </rPr>
      <t xml:space="preserve">  </t>
    </r>
    <r>
      <rPr>
        <sz val="9"/>
        <color rgb="FF000000"/>
        <rFont val="Verdana"/>
        <family val="2"/>
      </rPr>
      <t> </t>
    </r>
  </si>
  <si>
    <r>
      <t>31.</t>
    </r>
    <r>
      <rPr>
        <sz val="7"/>
        <color rgb="FF000000"/>
        <rFont val="Times New Roman"/>
        <family val="1"/>
      </rPr>
      <t xml:space="preserve">  </t>
    </r>
    <r>
      <rPr>
        <sz val="9"/>
        <color rgb="FF000000"/>
        <rFont val="Verdana"/>
        <family val="2"/>
      </rPr>
      <t> </t>
    </r>
  </si>
  <si>
    <t>Pre-planning</t>
  </si>
  <si>
    <r>
      <t>32.</t>
    </r>
    <r>
      <rPr>
        <sz val="7"/>
        <color rgb="FF000000"/>
        <rFont val="Times New Roman"/>
        <family val="1"/>
      </rPr>
      <t xml:space="preserve">  </t>
    </r>
    <r>
      <rPr>
        <sz val="9"/>
        <color rgb="FF000000"/>
        <rFont val="Verdana"/>
        <family val="2"/>
      </rPr>
      <t> </t>
    </r>
  </si>
  <si>
    <r>
      <t>33.</t>
    </r>
    <r>
      <rPr>
        <sz val="7"/>
        <color rgb="FF000000"/>
        <rFont val="Times New Roman"/>
        <family val="1"/>
      </rPr>
      <t xml:space="preserve">  </t>
    </r>
    <r>
      <rPr>
        <sz val="9"/>
        <color rgb="FF000000"/>
        <rFont val="Verdana"/>
        <family val="2"/>
      </rPr>
      <t> </t>
    </r>
  </si>
  <si>
    <r>
      <t>34.</t>
    </r>
    <r>
      <rPr>
        <sz val="7"/>
        <color rgb="FF000000"/>
        <rFont val="Times New Roman"/>
        <family val="1"/>
      </rPr>
      <t xml:space="preserve">  </t>
    </r>
    <r>
      <rPr>
        <sz val="9"/>
        <color rgb="FF000000"/>
        <rFont val="Verdana"/>
        <family val="2"/>
      </rPr>
      <t> </t>
    </r>
  </si>
  <si>
    <r>
      <t>35.</t>
    </r>
    <r>
      <rPr>
        <sz val="7"/>
        <color rgb="FF000000"/>
        <rFont val="Times New Roman"/>
        <family val="1"/>
      </rPr>
      <t xml:space="preserve">  </t>
    </r>
    <r>
      <rPr>
        <sz val="9"/>
        <color rgb="FF000000"/>
        <rFont val="Verdana"/>
        <family val="2"/>
      </rPr>
      <t> </t>
    </r>
  </si>
  <si>
    <r>
      <t>36.</t>
    </r>
    <r>
      <rPr>
        <sz val="7"/>
        <color rgb="FF000000"/>
        <rFont val="Times New Roman"/>
        <family val="1"/>
      </rPr>
      <t xml:space="preserve">  </t>
    </r>
    <r>
      <rPr>
        <sz val="9"/>
        <color rgb="FF000000"/>
        <rFont val="Verdana"/>
        <family val="2"/>
      </rPr>
      <t> </t>
    </r>
  </si>
  <si>
    <r>
      <t>37.</t>
    </r>
    <r>
      <rPr>
        <sz val="7"/>
        <color rgb="FF000000"/>
        <rFont val="Times New Roman"/>
        <family val="1"/>
      </rPr>
      <t xml:space="preserve">  </t>
    </r>
    <r>
      <rPr>
        <sz val="9"/>
        <color rgb="FF000000"/>
        <rFont val="Verdana"/>
        <family val="2"/>
      </rPr>
      <t> </t>
    </r>
  </si>
  <si>
    <r>
      <t>38.</t>
    </r>
    <r>
      <rPr>
        <sz val="7"/>
        <color rgb="FF000000"/>
        <rFont val="Times New Roman"/>
        <family val="1"/>
      </rPr>
      <t xml:space="preserve">  </t>
    </r>
    <r>
      <rPr>
        <sz val="9"/>
        <color rgb="FF000000"/>
        <rFont val="Verdana"/>
        <family val="2"/>
      </rPr>
      <t> </t>
    </r>
  </si>
  <si>
    <r>
      <t>39.</t>
    </r>
    <r>
      <rPr>
        <sz val="7"/>
        <color rgb="FF000000"/>
        <rFont val="Times New Roman"/>
        <family val="1"/>
      </rPr>
      <t xml:space="preserve">  </t>
    </r>
    <r>
      <rPr>
        <sz val="9"/>
        <color rgb="FF000000"/>
        <rFont val="Verdana"/>
        <family val="2"/>
      </rPr>
      <t> </t>
    </r>
  </si>
  <si>
    <r>
      <t>40.</t>
    </r>
    <r>
      <rPr>
        <sz val="7"/>
        <color rgb="FF000000"/>
        <rFont val="Times New Roman"/>
        <family val="1"/>
      </rPr>
      <t xml:space="preserve">  </t>
    </r>
    <r>
      <rPr>
        <sz val="9"/>
        <color rgb="FF000000"/>
        <rFont val="Verdana"/>
        <family val="2"/>
      </rPr>
      <t> </t>
    </r>
  </si>
  <si>
    <r>
      <t>41.</t>
    </r>
    <r>
      <rPr>
        <sz val="7"/>
        <color rgb="FF000000"/>
        <rFont val="Times New Roman"/>
        <family val="1"/>
      </rPr>
      <t xml:space="preserve">  </t>
    </r>
    <r>
      <rPr>
        <sz val="9"/>
        <color rgb="FF000000"/>
        <rFont val="Verdana"/>
        <family val="2"/>
      </rPr>
      <t> </t>
    </r>
  </si>
  <si>
    <r>
      <t>42.</t>
    </r>
    <r>
      <rPr>
        <sz val="7"/>
        <color rgb="FF000000"/>
        <rFont val="Times New Roman"/>
        <family val="1"/>
      </rPr>
      <t xml:space="preserve">  </t>
    </r>
    <r>
      <rPr>
        <sz val="9"/>
        <color rgb="FF000000"/>
        <rFont val="Verdana"/>
        <family val="2"/>
      </rPr>
      <t> </t>
    </r>
  </si>
  <si>
    <r>
      <t>43.</t>
    </r>
    <r>
      <rPr>
        <sz val="7"/>
        <color rgb="FF000000"/>
        <rFont val="Times New Roman"/>
        <family val="1"/>
      </rPr>
      <t xml:space="preserve">  </t>
    </r>
    <r>
      <rPr>
        <sz val="9"/>
        <color rgb="FF000000"/>
        <rFont val="Verdana"/>
        <family val="2"/>
      </rPr>
      <t> </t>
    </r>
  </si>
  <si>
    <r>
      <t>44.</t>
    </r>
    <r>
      <rPr>
        <sz val="7"/>
        <color rgb="FF000000"/>
        <rFont val="Times New Roman"/>
        <family val="1"/>
      </rPr>
      <t xml:space="preserve">  </t>
    </r>
    <r>
      <rPr>
        <sz val="9"/>
        <color rgb="FF000000"/>
        <rFont val="Verdana"/>
        <family val="2"/>
      </rPr>
      <t> </t>
    </r>
  </si>
  <si>
    <r>
      <t>45.</t>
    </r>
    <r>
      <rPr>
        <sz val="7"/>
        <color rgb="FF000000"/>
        <rFont val="Times New Roman"/>
        <family val="1"/>
      </rPr>
      <t xml:space="preserve">  </t>
    </r>
    <r>
      <rPr>
        <sz val="9"/>
        <color rgb="FF000000"/>
        <rFont val="Verdana"/>
        <family val="2"/>
      </rPr>
      <t> </t>
    </r>
  </si>
  <si>
    <r>
      <t>46.</t>
    </r>
    <r>
      <rPr>
        <sz val="7"/>
        <color rgb="FF000000"/>
        <rFont val="Times New Roman"/>
        <family val="1"/>
      </rPr>
      <t xml:space="preserve">  </t>
    </r>
    <r>
      <rPr>
        <sz val="9"/>
        <color rgb="FF000000"/>
        <rFont val="Verdana"/>
        <family val="2"/>
      </rPr>
      <t> </t>
    </r>
  </si>
  <si>
    <r>
      <t>47.</t>
    </r>
    <r>
      <rPr>
        <sz val="7"/>
        <color rgb="FF000000"/>
        <rFont val="Times New Roman"/>
        <family val="1"/>
      </rPr>
      <t xml:space="preserve">  </t>
    </r>
    <r>
      <rPr>
        <sz val="9"/>
        <color rgb="FF000000"/>
        <rFont val="Verdana"/>
        <family val="2"/>
      </rPr>
      <t> </t>
    </r>
  </si>
  <si>
    <r>
      <t>48.</t>
    </r>
    <r>
      <rPr>
        <sz val="7"/>
        <color rgb="FF000000"/>
        <rFont val="Times New Roman"/>
        <family val="1"/>
      </rPr>
      <t xml:space="preserve">  </t>
    </r>
    <r>
      <rPr>
        <sz val="9"/>
        <color rgb="FF000000"/>
        <rFont val="Verdana"/>
        <family val="2"/>
      </rPr>
      <t> </t>
    </r>
  </si>
  <si>
    <r>
      <t>49.</t>
    </r>
    <r>
      <rPr>
        <sz val="7"/>
        <color rgb="FF000000"/>
        <rFont val="Times New Roman"/>
        <family val="1"/>
      </rPr>
      <t xml:space="preserve">  </t>
    </r>
    <r>
      <rPr>
        <sz val="9"/>
        <color rgb="FF000000"/>
        <rFont val="Verdana"/>
        <family val="2"/>
      </rPr>
      <t> </t>
    </r>
  </si>
  <si>
    <r>
      <t>50.</t>
    </r>
    <r>
      <rPr>
        <sz val="7"/>
        <color rgb="FF000000"/>
        <rFont val="Times New Roman"/>
        <family val="1"/>
      </rPr>
      <t xml:space="preserve">  </t>
    </r>
    <r>
      <rPr>
        <sz val="9"/>
        <color rgb="FF000000"/>
        <rFont val="Verdana"/>
        <family val="2"/>
      </rPr>
      <t> </t>
    </r>
  </si>
  <si>
    <r>
      <t>51.</t>
    </r>
    <r>
      <rPr>
        <sz val="7"/>
        <color rgb="FF000000"/>
        <rFont val="Times New Roman"/>
        <family val="1"/>
      </rPr>
      <t xml:space="preserve">  </t>
    </r>
    <r>
      <rPr>
        <sz val="9"/>
        <color rgb="FF000000"/>
        <rFont val="Verdana"/>
        <family val="2"/>
      </rPr>
      <t> </t>
    </r>
  </si>
  <si>
    <r>
      <t>52.</t>
    </r>
    <r>
      <rPr>
        <sz val="7"/>
        <color rgb="FF000000"/>
        <rFont val="Times New Roman"/>
        <family val="1"/>
      </rPr>
      <t xml:space="preserve">  </t>
    </r>
    <r>
      <rPr>
        <sz val="9"/>
        <color rgb="FF000000"/>
        <rFont val="Verdana"/>
        <family val="2"/>
      </rPr>
      <t> </t>
    </r>
  </si>
  <si>
    <r>
      <t>53.</t>
    </r>
    <r>
      <rPr>
        <sz val="7"/>
        <color rgb="FF000000"/>
        <rFont val="Times New Roman"/>
        <family val="1"/>
      </rPr>
      <t xml:space="preserve">  </t>
    </r>
    <r>
      <rPr>
        <sz val="9"/>
        <color rgb="FF000000"/>
        <rFont val="Verdana"/>
        <family val="2"/>
      </rPr>
      <t> </t>
    </r>
  </si>
  <si>
    <r>
      <t>54.</t>
    </r>
    <r>
      <rPr>
        <sz val="7"/>
        <color rgb="FF000000"/>
        <rFont val="Times New Roman"/>
        <family val="1"/>
      </rPr>
      <t xml:space="preserve">  </t>
    </r>
    <r>
      <rPr>
        <sz val="9"/>
        <color rgb="FF000000"/>
        <rFont val="Verdana"/>
        <family val="2"/>
      </rPr>
      <t> </t>
    </r>
  </si>
  <si>
    <r>
      <t>55.</t>
    </r>
    <r>
      <rPr>
        <sz val="7"/>
        <color rgb="FF000000"/>
        <rFont val="Times New Roman"/>
        <family val="1"/>
      </rPr>
      <t xml:space="preserve">  </t>
    </r>
    <r>
      <rPr>
        <sz val="9"/>
        <color rgb="FF000000"/>
        <rFont val="Verdana"/>
        <family val="2"/>
      </rPr>
      <t> </t>
    </r>
  </si>
  <si>
    <r>
      <t>56.</t>
    </r>
    <r>
      <rPr>
        <sz val="7"/>
        <color rgb="FF000000"/>
        <rFont val="Times New Roman"/>
        <family val="1"/>
      </rPr>
      <t xml:space="preserve">  </t>
    </r>
    <r>
      <rPr>
        <sz val="9"/>
        <color rgb="FF000000"/>
        <rFont val="Verdana"/>
        <family val="2"/>
      </rPr>
      <t> </t>
    </r>
  </si>
  <si>
    <r>
      <t>57.</t>
    </r>
    <r>
      <rPr>
        <sz val="7"/>
        <color rgb="FF000000"/>
        <rFont val="Times New Roman"/>
        <family val="1"/>
      </rPr>
      <t xml:space="preserve">  </t>
    </r>
    <r>
      <rPr>
        <sz val="9"/>
        <color rgb="FF000000"/>
        <rFont val="Verdana"/>
        <family val="2"/>
      </rPr>
      <t> </t>
    </r>
  </si>
  <si>
    <r>
      <t>58.</t>
    </r>
    <r>
      <rPr>
        <sz val="7"/>
        <color rgb="FF000000"/>
        <rFont val="Times New Roman"/>
        <family val="1"/>
      </rPr>
      <t xml:space="preserve">  </t>
    </r>
    <r>
      <rPr>
        <sz val="9"/>
        <color rgb="FF000000"/>
        <rFont val="Verdana"/>
        <family val="2"/>
      </rPr>
      <t> </t>
    </r>
  </si>
  <si>
    <r>
      <t>59.</t>
    </r>
    <r>
      <rPr>
        <sz val="7"/>
        <color rgb="FF000000"/>
        <rFont val="Times New Roman"/>
        <family val="1"/>
      </rPr>
      <t xml:space="preserve">  </t>
    </r>
    <r>
      <rPr>
        <sz val="9"/>
        <color rgb="FF000000"/>
        <rFont val="Verdana"/>
        <family val="2"/>
      </rPr>
      <t> </t>
    </r>
  </si>
  <si>
    <r>
      <t>60.</t>
    </r>
    <r>
      <rPr>
        <sz val="7"/>
        <color rgb="FF000000"/>
        <rFont val="Times New Roman"/>
        <family val="1"/>
      </rPr>
      <t xml:space="preserve">  </t>
    </r>
    <r>
      <rPr>
        <sz val="9"/>
        <color rgb="FF000000"/>
        <rFont val="Verdana"/>
        <family val="2"/>
      </rPr>
      <t> </t>
    </r>
  </si>
  <si>
    <r>
      <t>61.</t>
    </r>
    <r>
      <rPr>
        <sz val="7"/>
        <color rgb="FF000000"/>
        <rFont val="Times New Roman"/>
        <family val="1"/>
      </rPr>
      <t xml:space="preserve">  </t>
    </r>
    <r>
      <rPr>
        <sz val="9"/>
        <color rgb="FF000000"/>
        <rFont val="Verdana"/>
        <family val="2"/>
      </rPr>
      <t> </t>
    </r>
  </si>
  <si>
    <r>
      <t>62.</t>
    </r>
    <r>
      <rPr>
        <sz val="7"/>
        <color rgb="FF000000"/>
        <rFont val="Times New Roman"/>
        <family val="1"/>
      </rPr>
      <t xml:space="preserve">  </t>
    </r>
    <r>
      <rPr>
        <sz val="9"/>
        <color rgb="FF000000"/>
        <rFont val="Verdana"/>
        <family val="2"/>
      </rPr>
      <t> </t>
    </r>
  </si>
  <si>
    <r>
      <t>63.</t>
    </r>
    <r>
      <rPr>
        <sz val="7"/>
        <color rgb="FF000000"/>
        <rFont val="Times New Roman"/>
        <family val="1"/>
      </rPr>
      <t xml:space="preserve">  </t>
    </r>
    <r>
      <rPr>
        <sz val="9"/>
        <color rgb="FF000000"/>
        <rFont val="Verdana"/>
        <family val="2"/>
      </rPr>
      <t> </t>
    </r>
  </si>
  <si>
    <r>
      <t>64.</t>
    </r>
    <r>
      <rPr>
        <sz val="7"/>
        <color rgb="FF000000"/>
        <rFont val="Times New Roman"/>
        <family val="1"/>
      </rPr>
      <t xml:space="preserve">  </t>
    </r>
    <r>
      <rPr>
        <sz val="9"/>
        <color rgb="FF000000"/>
        <rFont val="Verdana"/>
        <family val="2"/>
      </rPr>
      <t> </t>
    </r>
  </si>
  <si>
    <r>
      <t>65.</t>
    </r>
    <r>
      <rPr>
        <sz val="7"/>
        <color rgb="FF000000"/>
        <rFont val="Times New Roman"/>
        <family val="1"/>
      </rPr>
      <t xml:space="preserve">  </t>
    </r>
    <r>
      <rPr>
        <sz val="9"/>
        <color rgb="FF000000"/>
        <rFont val="Verdana"/>
        <family val="2"/>
      </rPr>
      <t> </t>
    </r>
  </si>
  <si>
    <r>
      <t>66.</t>
    </r>
    <r>
      <rPr>
        <sz val="7"/>
        <color rgb="FF000000"/>
        <rFont val="Times New Roman"/>
        <family val="1"/>
      </rPr>
      <t xml:space="preserve">  </t>
    </r>
    <r>
      <rPr>
        <sz val="9"/>
        <color rgb="FF000000"/>
        <rFont val="Verdana"/>
        <family val="2"/>
      </rPr>
      <t> </t>
    </r>
  </si>
  <si>
    <r>
      <t>67.</t>
    </r>
    <r>
      <rPr>
        <sz val="7"/>
        <color rgb="FF000000"/>
        <rFont val="Times New Roman"/>
        <family val="1"/>
      </rPr>
      <t xml:space="preserve">  </t>
    </r>
    <r>
      <rPr>
        <sz val="9"/>
        <color rgb="FF000000"/>
        <rFont val="Verdana"/>
        <family val="2"/>
      </rPr>
      <t> </t>
    </r>
  </si>
  <si>
    <r>
      <t>68.</t>
    </r>
    <r>
      <rPr>
        <sz val="7"/>
        <color rgb="FF000000"/>
        <rFont val="Times New Roman"/>
        <family val="1"/>
      </rPr>
      <t xml:space="preserve">  </t>
    </r>
    <r>
      <rPr>
        <sz val="9"/>
        <color rgb="FF000000"/>
        <rFont val="Verdana"/>
        <family val="2"/>
      </rPr>
      <t> </t>
    </r>
  </si>
  <si>
    <t>Sector</t>
  </si>
  <si>
    <t>Approach</t>
  </si>
  <si>
    <t>Land demand (Acre)</t>
  </si>
  <si>
    <t>Employment generation</t>
  </si>
  <si>
    <t>Investment (BDT Millions)</t>
  </si>
  <si>
    <t>Production data - [to be added if available]</t>
  </si>
  <si>
    <t>Comments</t>
  </si>
  <si>
    <t>Conservative</t>
  </si>
  <si>
    <t>2025 stands for 2026 forecast</t>
  </si>
  <si>
    <t>Base</t>
  </si>
  <si>
    <t>Aggressive</t>
  </si>
  <si>
    <t>2015-2020 Area of projected investments in Hectare</t>
  </si>
  <si>
    <t>2030 stands for 2029, 2035 stands for 2034</t>
  </si>
  <si>
    <t>Land allocated</t>
  </si>
  <si>
    <t>Employment per acre</t>
  </si>
  <si>
    <t>Report from 2014, estimates upto 2030 given</t>
  </si>
  <si>
    <t>Optimistic and pessimistic scenarios calculated based on total land area scenarios given</t>
  </si>
  <si>
    <t>Additional Land Demand in hectares 2020, 2025,2030</t>
  </si>
  <si>
    <t>Forecast of Economic Benefits through Employement Generation in BDT Millions</t>
  </si>
  <si>
    <t>Land requirement estimate in acres</t>
  </si>
  <si>
    <t>2025 means 2026</t>
  </si>
  <si>
    <t>2025 means 2028</t>
  </si>
  <si>
    <t>2025 stands for 2029 forecast</t>
  </si>
  <si>
    <t>Land uptake</t>
  </si>
  <si>
    <t>Land use in Hectares</t>
  </si>
  <si>
    <t>2030 means 2027</t>
  </si>
  <si>
    <t>Report is from 2016, 2025 is assumed to be the 10 year data, 2030 15 year and so on</t>
  </si>
  <si>
    <t>Land use by sector</t>
  </si>
  <si>
    <t>report is from 2016 and year 10 of the report is assumed to be 2025</t>
  </si>
  <si>
    <t>Land uptake in m^2</t>
  </si>
  <si>
    <t>Total area dedicated for industry in acres</t>
  </si>
  <si>
    <t>employment per hectare</t>
  </si>
  <si>
    <t>employment per acre</t>
  </si>
  <si>
    <t>investment</t>
  </si>
  <si>
    <t>emp</t>
  </si>
  <si>
    <t>years 2026,31,36</t>
  </si>
  <si>
    <t>rates</t>
  </si>
  <si>
    <t>(All)</t>
  </si>
  <si>
    <t>Count of Zone Priority</t>
  </si>
  <si>
    <t>Column Labels</t>
  </si>
  <si>
    <t>Count of Zone</t>
  </si>
  <si>
    <t>Pre-Feasibility/Feasibility Study</t>
  </si>
  <si>
    <t>Priority Level</t>
  </si>
  <si>
    <t>Row Labels</t>
  </si>
  <si>
    <t>Count of Development Status</t>
  </si>
  <si>
    <t>Count of Area Discrepency (Y/N)</t>
  </si>
  <si>
    <t>Count of License Status</t>
  </si>
  <si>
    <t>Grand Total</t>
  </si>
  <si>
    <t>Area Discrepancy?</t>
  </si>
  <si>
    <t>Remarks/Concerns</t>
  </si>
  <si>
    <t>BEZA Response</t>
  </si>
  <si>
    <t>Ignore for now, CHT reservations</t>
  </si>
  <si>
    <t>Is Jamalpur EZ-2 an approved EZ? Discrepency in BEZA website.</t>
  </si>
  <si>
    <t>Same zone</t>
  </si>
  <si>
    <t>RADAR TABLE</t>
  </si>
  <si>
    <t>2.4. Policy (6% weightage)</t>
  </si>
  <si>
    <t>2.5. Social Infrastructure (8% weightage)</t>
  </si>
  <si>
    <t>2.6. Environment Risk (6% weightage)</t>
  </si>
  <si>
    <r>
      <t xml:space="preserve">4. Policy </t>
    </r>
    <r>
      <rPr>
        <b/>
        <sz val="12"/>
        <color rgb="FFC00000"/>
        <rFont val="Verdana"/>
        <family val="2"/>
      </rPr>
      <t>(4% weightage)</t>
    </r>
    <r>
      <rPr>
        <b/>
        <sz val="12"/>
        <color rgb="FF000000"/>
        <rFont val="Verdana"/>
        <family val="2"/>
      </rPr>
      <t xml:space="preserve">: </t>
    </r>
    <r>
      <rPr>
        <sz val="12"/>
        <color rgb="FF000000"/>
        <rFont val="Verdana"/>
        <family val="2"/>
      </rPr>
      <t>Parameter based on national policies and other tax incentives</t>
    </r>
  </si>
  <si>
    <t>BEZA Existing plans</t>
  </si>
  <si>
    <t>Connectivity/ Logistics</t>
  </si>
  <si>
    <t>Agglomeration effects</t>
  </si>
  <si>
    <t>Social Infrastructure</t>
  </si>
  <si>
    <t>Environmental Risk</t>
  </si>
  <si>
    <t>Site Filling Cost (Mn BDT)</t>
  </si>
  <si>
    <t>Embankment/Dyke Cost (Mn BDT)</t>
  </si>
  <si>
    <t>516.26 acres (Quader Sir)
405.84 (Updated from Feasibility)</t>
  </si>
  <si>
    <t>Flagship Zones</t>
  </si>
  <si>
    <t>Maximum Score</t>
  </si>
  <si>
    <t>50% of Score</t>
  </si>
  <si>
    <t>Moheshkhali Economic Zone – 3, Dhalghata</t>
  </si>
  <si>
    <t>Total Score 
(Out of 4)</t>
  </si>
  <si>
    <t>Under Consideration</t>
  </si>
  <si>
    <t>Original Flagship</t>
  </si>
  <si>
    <t>BEZA Proposed Revised Flagship</t>
  </si>
  <si>
    <t>Enviro-legal issue</t>
  </si>
  <si>
    <t>Land partially available or Unavailable/ Legal or environmental complexities- in Top 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</si>
</sst>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_);_(* \(#,##0.00\);_(* &quot;-&quot;??_);_(@_)"/>
    <numFmt numFmtId="164" formatCode="_(* #,##0_);_(* \(#,##0\);_(* &quot;-&quot;??_);_(@_)"/>
    <numFmt numFmtId="165" formatCode="0.0"/>
    <numFmt numFmtId="166" formatCode="0.0%"/>
  </numFmts>
  <fonts count="77" x14ac:knownFonts="1">
    <font>
      <sz val="11"/>
      <color theme="1"/>
      <name val="Calibri"/>
      <family val="2"/>
      <scheme val="minor"/>
    </font>
    <font>
      <sz val="11"/>
      <color theme="1"/>
      <name val="Calibri"/>
      <family val="2"/>
      <scheme val="minor"/>
    </font>
    <font>
      <b/>
      <sz val="11"/>
      <color theme="1"/>
      <name val="Calibri"/>
      <family val="2"/>
      <scheme val="minor"/>
    </font>
    <font>
      <sz val="7"/>
      <color rgb="FF333333"/>
      <name val="Open Sans"/>
      <family val="2"/>
    </font>
    <font>
      <b/>
      <sz val="7"/>
      <color rgb="FF333333"/>
      <name val="Open Sans"/>
      <family val="2"/>
    </font>
    <font>
      <sz val="11"/>
      <name val="Calibri"/>
      <family val="2"/>
      <scheme val="minor"/>
    </font>
    <font>
      <b/>
      <sz val="9"/>
      <color rgb="FF000000"/>
      <name val="Verdana"/>
      <family val="2"/>
    </font>
    <font>
      <sz val="9"/>
      <color rgb="FF000000"/>
      <name val="Verdana"/>
      <family val="2"/>
    </font>
    <font>
      <sz val="7"/>
      <color rgb="FF000000"/>
      <name val="Times New Roman"/>
      <family val="1"/>
    </font>
    <font>
      <sz val="9"/>
      <color rgb="FF333333"/>
      <name val="Verdana"/>
      <family val="2"/>
    </font>
    <font>
      <b/>
      <sz val="11"/>
      <color theme="0"/>
      <name val="Calibri"/>
      <family val="2"/>
      <scheme val="minor"/>
    </font>
    <font>
      <sz val="10"/>
      <color theme="1"/>
      <name val="Verdana"/>
      <family val="2"/>
    </font>
    <font>
      <b/>
      <sz val="10"/>
      <color theme="0"/>
      <name val="Verdana"/>
      <family val="2"/>
    </font>
    <font>
      <sz val="10"/>
      <name val="Verdana"/>
      <family val="2"/>
    </font>
    <font>
      <sz val="10"/>
      <color theme="1"/>
      <name val="Verdana"/>
      <family val="2"/>
    </font>
    <font>
      <u/>
      <sz val="11"/>
      <color theme="10"/>
      <name val="Calibri"/>
      <family val="2"/>
      <scheme val="minor"/>
    </font>
    <font>
      <sz val="10"/>
      <color rgb="FF000000"/>
      <name val="Verdana"/>
      <family val="2"/>
    </font>
    <font>
      <u/>
      <sz val="11"/>
      <color rgb="FF000000"/>
      <name val="Calibri"/>
      <family val="2"/>
      <scheme val="minor"/>
    </font>
    <font>
      <sz val="8"/>
      <name val="Calibri"/>
      <family val="2"/>
      <scheme val="minor"/>
    </font>
    <font>
      <u/>
      <sz val="10"/>
      <color theme="10"/>
      <name val="Verdana"/>
      <family val="2"/>
    </font>
    <font>
      <sz val="10"/>
      <color rgb="FF333333"/>
      <name val="Verdana"/>
      <family val="2"/>
    </font>
    <font>
      <b/>
      <u/>
      <sz val="10"/>
      <color theme="0"/>
      <name val="Verdana"/>
      <family val="2"/>
    </font>
    <font>
      <b/>
      <sz val="10"/>
      <color rgb="FFFFFFFF"/>
      <name val="Verdana"/>
      <family val="2"/>
    </font>
    <font>
      <b/>
      <sz val="8"/>
      <color theme="0"/>
      <name val="Verdana"/>
      <family val="2"/>
    </font>
    <font>
      <sz val="10"/>
      <name val="Calibri"/>
      <family val="2"/>
      <scheme val="minor"/>
    </font>
    <font>
      <sz val="10"/>
      <color theme="0"/>
      <name val="Verdana"/>
      <family val="2"/>
    </font>
    <font>
      <sz val="11"/>
      <color rgb="FFFF0000"/>
      <name val="Calibri"/>
      <family val="2"/>
      <scheme val="minor"/>
    </font>
    <font>
      <sz val="11"/>
      <color theme="1"/>
      <name val="Verdana"/>
      <family val="2"/>
    </font>
    <font>
      <sz val="11"/>
      <color theme="0"/>
      <name val="Verdana"/>
      <family val="2"/>
    </font>
    <font>
      <sz val="9"/>
      <color indexed="81"/>
      <name val="Tahoma"/>
      <family val="2"/>
    </font>
    <font>
      <b/>
      <sz val="9"/>
      <color indexed="81"/>
      <name val="Tahoma"/>
      <family val="2"/>
    </font>
    <font>
      <sz val="9"/>
      <color theme="1"/>
      <name val="Verdana"/>
      <family val="2"/>
    </font>
    <font>
      <sz val="9"/>
      <name val="Verdana"/>
      <family val="2"/>
    </font>
    <font>
      <b/>
      <sz val="11"/>
      <color theme="1"/>
      <name val="Verdana"/>
      <family val="2"/>
    </font>
    <font>
      <sz val="8"/>
      <color theme="1"/>
      <name val="Verdana"/>
      <family val="2"/>
    </font>
    <font>
      <b/>
      <sz val="8"/>
      <color theme="1"/>
      <name val="Verdana"/>
      <family val="2"/>
    </font>
    <font>
      <b/>
      <sz val="8"/>
      <color rgb="FF000000"/>
      <name val="Verdana"/>
      <family val="2"/>
    </font>
    <font>
      <sz val="8"/>
      <color rgb="FF000000"/>
      <name val="Verdana"/>
      <family val="2"/>
    </font>
    <font>
      <b/>
      <sz val="12"/>
      <color rgb="FF000000"/>
      <name val="Verdana"/>
      <family val="2"/>
    </font>
    <font>
      <b/>
      <sz val="12"/>
      <color rgb="FFC00000"/>
      <name val="Verdana"/>
      <family val="2"/>
    </font>
    <font>
      <sz val="12"/>
      <color rgb="FF000000"/>
      <name val="Verdana"/>
      <family val="2"/>
    </font>
    <font>
      <b/>
      <sz val="20"/>
      <color rgb="FF000000"/>
      <name val="Verdana"/>
      <family val="2"/>
    </font>
    <font>
      <b/>
      <sz val="11"/>
      <color rgb="FFC00000"/>
      <name val="Verdana"/>
      <family val="2"/>
    </font>
    <font>
      <b/>
      <sz val="11"/>
      <color rgb="FFFF0000"/>
      <name val="Verdana"/>
      <family val="2"/>
    </font>
    <font>
      <b/>
      <sz val="11"/>
      <color rgb="FF9C0006"/>
      <name val="Verdana"/>
      <family val="2"/>
    </font>
    <font>
      <b/>
      <sz val="11"/>
      <color rgb="FFFFFFFF"/>
      <name val="Verdana"/>
      <family val="2"/>
    </font>
    <font>
      <sz val="11"/>
      <color rgb="FF000000"/>
      <name val="Verdana"/>
      <family val="2"/>
    </font>
    <font>
      <b/>
      <sz val="11"/>
      <color rgb="FF000000"/>
      <name val="Verdana"/>
      <family val="2"/>
    </font>
    <font>
      <b/>
      <sz val="14"/>
      <color rgb="FF000000"/>
      <name val="Verdana"/>
      <family val="2"/>
    </font>
    <font>
      <sz val="11"/>
      <name val="Verdana"/>
      <family val="2"/>
    </font>
    <font>
      <sz val="11"/>
      <color theme="1" tint="0.499984740745262"/>
      <name val="Verdana"/>
      <family val="2"/>
    </font>
    <font>
      <b/>
      <sz val="11"/>
      <name val="Verdana"/>
      <family val="2"/>
    </font>
    <font>
      <b/>
      <sz val="11"/>
      <color theme="1" tint="0.499984740745262"/>
      <name val="Verdana"/>
      <family val="2"/>
    </font>
    <font>
      <b/>
      <sz val="9"/>
      <color theme="1"/>
      <name val="Verdana"/>
      <family val="2"/>
    </font>
    <font>
      <u/>
      <sz val="9"/>
      <color theme="10"/>
      <name val="Verdana"/>
      <family val="2"/>
    </font>
    <font>
      <b/>
      <sz val="11"/>
      <color theme="0"/>
      <name val="Verdana"/>
      <family val="2"/>
    </font>
    <font>
      <b/>
      <sz val="12"/>
      <color theme="0"/>
      <name val="Verdana"/>
      <family val="2"/>
    </font>
    <font>
      <b/>
      <i/>
      <sz val="8"/>
      <color theme="1"/>
      <name val="Verdana"/>
      <family val="2"/>
    </font>
    <font>
      <sz val="12"/>
      <color theme="1"/>
      <name val="Verdana"/>
      <family val="2"/>
    </font>
    <font>
      <b/>
      <sz val="12"/>
      <color rgb="FFFFFFFF"/>
      <name val="Verdana"/>
      <family val="2"/>
    </font>
    <font>
      <b/>
      <sz val="12"/>
      <color theme="1"/>
      <name val="Verdana"/>
      <family val="2"/>
    </font>
    <font>
      <i/>
      <sz val="11"/>
      <color theme="1"/>
      <name val="Calibri"/>
      <family val="2"/>
      <scheme val="minor"/>
    </font>
    <font>
      <sz val="12"/>
      <name val="Verdana"/>
      <family val="2"/>
    </font>
    <font>
      <u/>
      <sz val="12"/>
      <color theme="10"/>
      <name val="Verdana"/>
      <family val="2"/>
    </font>
    <font>
      <b/>
      <i/>
      <sz val="12"/>
      <color theme="1"/>
      <name val="Verdana"/>
      <family val="2"/>
    </font>
    <font>
      <sz val="12"/>
      <color theme="0"/>
      <name val="Verdana"/>
      <family val="2"/>
    </font>
    <font>
      <b/>
      <sz val="12"/>
      <name val="Verdana"/>
      <family val="2"/>
    </font>
    <font>
      <sz val="11"/>
      <color theme="1"/>
      <name val="Verdana"/>
      <family val="2"/>
    </font>
    <font>
      <sz val="11"/>
      <color theme="1"/>
      <name val="Verdana"/>
    </font>
    <font>
      <b/>
      <sz val="11"/>
      <color theme="1"/>
      <name val="Verdana"/>
    </font>
    <font>
      <sz val="11"/>
      <color theme="0"/>
      <name val="Verdana"/>
    </font>
    <font>
      <sz val="11"/>
      <name val="Verdana"/>
    </font>
    <font>
      <sz val="9"/>
      <color indexed="81"/>
      <name val="Tahoma"/>
      <charset val="1"/>
    </font>
    <font>
      <b/>
      <sz val="9"/>
      <color indexed="81"/>
      <name val="Tahoma"/>
      <charset val="1"/>
    </font>
    <font>
      <b/>
      <sz val="11"/>
      <color rgb="FF000000"/>
      <name val="Verdana"/>
    </font>
    <font>
      <sz val="11"/>
      <color rgb="FFFF0000"/>
      <name val="Verdana"/>
      <family val="2"/>
    </font>
    <font>
      <sz val="11"/>
      <color rgb="FFFFFFFF"/>
      <name val="Verdana"/>
      <family val="2"/>
    </font>
  </fonts>
  <fills count="38">
    <fill>
      <patternFill patternType="none"/>
    </fill>
    <fill>
      <patternFill patternType="gray125"/>
    </fill>
    <fill>
      <patternFill patternType="solid">
        <fgColor rgb="FFFFFFFF"/>
        <bgColor indexed="64"/>
      </patternFill>
    </fill>
    <fill>
      <patternFill patternType="solid">
        <fgColor theme="9"/>
        <bgColor indexed="64"/>
      </patternFill>
    </fill>
    <fill>
      <patternFill patternType="solid">
        <fgColor rgb="FF92D050"/>
        <bgColor indexed="64"/>
      </patternFill>
    </fill>
    <fill>
      <patternFill patternType="solid">
        <fgColor rgb="FFFFFF00"/>
        <bgColor indexed="64"/>
      </patternFill>
    </fill>
    <fill>
      <patternFill patternType="solid">
        <fgColor rgb="FF70AD47"/>
        <bgColor indexed="64"/>
      </patternFill>
    </fill>
    <fill>
      <patternFill patternType="solid">
        <fgColor theme="3"/>
        <bgColor indexed="64"/>
      </patternFill>
    </fill>
    <fill>
      <patternFill patternType="solid">
        <fgColor theme="0"/>
        <bgColor indexed="64"/>
      </patternFill>
    </fill>
    <fill>
      <patternFill patternType="solid">
        <fgColor rgb="FFFFF2CC"/>
        <bgColor indexed="64"/>
      </patternFill>
    </fill>
    <fill>
      <patternFill patternType="solid">
        <fgColor rgb="FFFCE4D6"/>
        <bgColor indexed="64"/>
      </patternFill>
    </fill>
    <fill>
      <patternFill patternType="solid">
        <fgColor rgb="FFFFD966"/>
        <bgColor indexed="64"/>
      </patternFill>
    </fill>
    <fill>
      <patternFill patternType="solid">
        <fgColor theme="5" tint="0.79998168889431442"/>
        <bgColor indexed="64"/>
      </patternFill>
    </fill>
    <fill>
      <patternFill patternType="solid">
        <fgColor rgb="FF00B050"/>
        <bgColor indexed="64"/>
      </patternFill>
    </fill>
    <fill>
      <patternFill patternType="solid">
        <fgColor rgb="FF44546A"/>
        <bgColor indexed="64"/>
      </patternFill>
    </fill>
    <fill>
      <patternFill patternType="solid">
        <fgColor theme="9" tint="0.79998168889431442"/>
        <bgColor theme="9" tint="0.79998168889431442"/>
      </patternFill>
    </fill>
    <fill>
      <patternFill patternType="solid">
        <fgColor rgb="FF002060"/>
        <bgColor indexed="64"/>
      </patternFill>
    </fill>
    <fill>
      <patternFill patternType="solid">
        <fgColor theme="9" tint="0.79998168889431442"/>
        <bgColor indexed="64"/>
      </patternFill>
    </fill>
    <fill>
      <patternFill patternType="solid">
        <fgColor rgb="FF0097A9"/>
        <bgColor indexed="64"/>
      </patternFill>
    </fill>
    <fill>
      <patternFill patternType="solid">
        <fgColor rgb="FFCBDDE2"/>
        <bgColor indexed="64"/>
      </patternFill>
    </fill>
    <fill>
      <patternFill patternType="solid">
        <fgColor rgb="FFE7EFF1"/>
        <bgColor indexed="64"/>
      </patternFill>
    </fill>
    <fill>
      <patternFill patternType="solid">
        <fgColor rgb="FF7030A0"/>
        <bgColor indexed="64"/>
      </patternFill>
    </fill>
    <fill>
      <patternFill patternType="solid">
        <fgColor theme="7" tint="0.79998168889431442"/>
        <bgColor indexed="64"/>
      </patternFill>
    </fill>
    <fill>
      <patternFill patternType="solid">
        <fgColor theme="7"/>
        <bgColor indexed="64"/>
      </patternFill>
    </fill>
    <fill>
      <patternFill patternType="solid">
        <fgColor theme="1" tint="0.499984740745262"/>
        <bgColor indexed="64"/>
      </patternFill>
    </fill>
    <fill>
      <patternFill patternType="solid">
        <fgColor theme="7" tint="0.79998168889431442"/>
        <bgColor theme="9" tint="0.79998168889431442"/>
      </patternFill>
    </fill>
    <fill>
      <patternFill patternType="solid">
        <fgColor rgb="FF0070C0"/>
        <bgColor indexed="64"/>
      </patternFill>
    </fill>
    <fill>
      <patternFill patternType="solid">
        <fgColor theme="7"/>
        <bgColor theme="9" tint="0.79998168889431442"/>
      </patternFill>
    </fill>
    <fill>
      <patternFill patternType="solid">
        <fgColor theme="3" tint="-0.249977111117893"/>
        <bgColor indexed="64"/>
      </patternFill>
    </fill>
    <fill>
      <patternFill patternType="solid">
        <fgColor rgb="FF00B0F0"/>
        <bgColor indexed="64"/>
      </patternFill>
    </fill>
    <fill>
      <patternFill patternType="solid">
        <fgColor rgb="FF44546A"/>
        <bgColor rgb="FF000000"/>
      </patternFill>
    </fill>
    <fill>
      <patternFill patternType="solid">
        <fgColor rgb="FFE2EFDA"/>
        <bgColor rgb="FFE2EFDA"/>
      </patternFill>
    </fill>
    <fill>
      <patternFill patternType="solid">
        <fgColor rgb="FFFCE4D6"/>
        <bgColor rgb="FF000000"/>
      </patternFill>
    </fill>
    <fill>
      <patternFill patternType="solid">
        <fgColor theme="5" tint="0.79998168889431442"/>
        <bgColor theme="9" tint="0.79998168889431442"/>
      </patternFill>
    </fill>
    <fill>
      <patternFill patternType="solid">
        <fgColor rgb="FFFFEB9C"/>
        <bgColor indexed="64"/>
      </patternFill>
    </fill>
    <fill>
      <patternFill patternType="solid">
        <fgColor rgb="FF00B050"/>
        <bgColor theme="9" tint="0.79998168889431442"/>
      </patternFill>
    </fill>
    <fill>
      <patternFill patternType="solid">
        <fgColor theme="0"/>
        <bgColor theme="9" tint="0.79998168889431442"/>
      </patternFill>
    </fill>
    <fill>
      <patternFill patternType="solid">
        <fgColor theme="5" tint="0.39997558519241921"/>
        <bgColor indexed="64"/>
      </patternFill>
    </fill>
  </fills>
  <borders count="128">
    <border>
      <left/>
      <right/>
      <top/>
      <bottom/>
      <diagonal/>
    </border>
    <border>
      <left style="medium">
        <color rgb="FFDDDDDD"/>
      </left>
      <right/>
      <top style="medium">
        <color rgb="FFDDDDDD"/>
      </top>
      <bottom/>
      <diagonal/>
    </border>
    <border>
      <left style="medium">
        <color rgb="FFDDDDDD"/>
      </left>
      <right/>
      <top/>
      <bottom/>
      <diagonal/>
    </border>
    <border>
      <left style="medium">
        <color rgb="FFDDDDDD"/>
      </left>
      <right style="medium">
        <color rgb="FFDDDDDD"/>
      </right>
      <top style="medium">
        <color rgb="FFDDDDDD"/>
      </top>
      <bottom/>
      <diagonal/>
    </border>
    <border>
      <left style="medium">
        <color rgb="FFDDDDDD"/>
      </left>
      <right/>
      <top style="medium">
        <color rgb="FFDDDDDD"/>
      </top>
      <bottom style="medium">
        <color rgb="FFDDDDDD"/>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rgb="FFDDDDDD"/>
      </left>
      <right/>
      <top style="thin">
        <color rgb="FFDDDDDD"/>
      </top>
      <bottom/>
      <diagonal/>
    </border>
    <border>
      <left style="thin">
        <color rgb="FFDDDDDD"/>
      </left>
      <right/>
      <top/>
      <bottom/>
      <diagonal/>
    </border>
    <border>
      <left style="thin">
        <color rgb="FFDDDDDD"/>
      </left>
      <right style="thin">
        <color rgb="FFDDDDDD"/>
      </right>
      <top style="thin">
        <color rgb="FFDDDDDD"/>
      </top>
      <bottom/>
      <diagonal/>
    </border>
    <border>
      <left style="thin">
        <color rgb="FFDDDDDD"/>
      </left>
      <right/>
      <top style="thin">
        <color rgb="FFDDDDDD"/>
      </top>
      <bottom style="thin">
        <color rgb="FFDDDDDD"/>
      </bottom>
      <diagonal/>
    </border>
    <border>
      <left/>
      <right style="thin">
        <color rgb="FFDDDDDD"/>
      </right>
      <top/>
      <bottom style="thin">
        <color rgb="FFDDDDDD"/>
      </bottom>
      <diagonal/>
    </border>
    <border>
      <left/>
      <right/>
      <top style="thin">
        <color rgb="FFDDDDDD"/>
      </top>
      <bottom/>
      <diagonal/>
    </border>
    <border>
      <left/>
      <right/>
      <top style="thin">
        <color rgb="FFDDDDDD"/>
      </top>
      <bottom style="thin">
        <color rgb="FFDDDDDD"/>
      </bottom>
      <diagonal/>
    </border>
    <border>
      <left style="thin">
        <color theme="9"/>
      </left>
      <right style="thin">
        <color theme="9"/>
      </right>
      <top style="thin">
        <color theme="9"/>
      </top>
      <bottom style="medium">
        <color theme="9"/>
      </bottom>
      <diagonal/>
    </border>
    <border>
      <left style="thin">
        <color theme="9"/>
      </left>
      <right style="thin">
        <color theme="9"/>
      </right>
      <top style="thin">
        <color theme="9"/>
      </top>
      <bottom style="thin">
        <color theme="9"/>
      </bottom>
      <diagonal/>
    </border>
    <border>
      <left style="thin">
        <color rgb="FFDDDDDD"/>
      </left>
      <right/>
      <top style="thin">
        <color rgb="FFDDDDDD"/>
      </top>
      <bottom style="thin">
        <color theme="9"/>
      </bottom>
      <diagonal/>
    </border>
    <border>
      <left/>
      <right/>
      <top style="thin">
        <color rgb="FFDDDDDD"/>
      </top>
      <bottom style="thin">
        <color theme="9"/>
      </bottom>
      <diagonal/>
    </border>
    <border>
      <left style="thin">
        <color indexed="64"/>
      </left>
      <right style="thin">
        <color indexed="64"/>
      </right>
      <top style="thin">
        <color indexed="64"/>
      </top>
      <bottom style="medium">
        <color theme="9"/>
      </bottom>
      <diagonal/>
    </border>
    <border>
      <left style="thin">
        <color rgb="FFDDDDDD"/>
      </left>
      <right style="medium">
        <color theme="1" tint="0.499984740745262"/>
      </right>
      <top style="thin">
        <color rgb="FFDDDDDD"/>
      </top>
      <bottom style="medium">
        <color theme="1" tint="0.499984740745262"/>
      </bottom>
      <diagonal/>
    </border>
    <border>
      <left style="thin">
        <color indexed="64"/>
      </left>
      <right style="thin">
        <color indexed="64"/>
      </right>
      <top style="thin">
        <color indexed="64"/>
      </top>
      <bottom style="medium">
        <color theme="1" tint="0.499984740745262"/>
      </bottom>
      <diagonal/>
    </border>
    <border>
      <left style="thin">
        <color rgb="FFDDDDDD"/>
      </left>
      <right/>
      <top style="thin">
        <color rgb="FFDDDDDD"/>
      </top>
      <bottom style="medium">
        <color theme="1" tint="0.499984740745262"/>
      </bottom>
      <diagonal/>
    </border>
    <border>
      <left/>
      <right style="medium">
        <color theme="1" tint="0.499984740745262"/>
      </right>
      <top style="thin">
        <color rgb="FFDDDDDD"/>
      </top>
      <bottom style="medium">
        <color theme="1" tint="0.499984740745262"/>
      </bottom>
      <diagonal/>
    </border>
    <border>
      <left style="thick">
        <color rgb="FF002060"/>
      </left>
      <right style="thick">
        <color rgb="FF002060"/>
      </right>
      <top style="thick">
        <color rgb="FF002060"/>
      </top>
      <bottom/>
      <diagonal/>
    </border>
    <border>
      <left style="thick">
        <color rgb="FF002060"/>
      </left>
      <right style="thick">
        <color rgb="FF002060"/>
      </right>
      <top/>
      <bottom/>
      <diagonal/>
    </border>
    <border>
      <left style="thick">
        <color rgb="FF002060"/>
      </left>
      <right style="thick">
        <color rgb="FF002060"/>
      </right>
      <top/>
      <bottom style="thick">
        <color rgb="FF00206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rgb="FF00B050"/>
      </left>
      <right style="thick">
        <color rgb="FF002060"/>
      </right>
      <top style="thick">
        <color rgb="FF002060"/>
      </top>
      <bottom style="medium">
        <color rgb="FF00B050"/>
      </bottom>
      <diagonal/>
    </border>
    <border>
      <left style="medium">
        <color rgb="FF00B050"/>
      </left>
      <right style="thick">
        <color rgb="FF002060"/>
      </right>
      <top style="medium">
        <color rgb="FF00B050"/>
      </top>
      <bottom style="medium">
        <color rgb="FF00B050"/>
      </bottom>
      <diagonal/>
    </border>
    <border>
      <left style="medium">
        <color rgb="FF00B050"/>
      </left>
      <right style="thick">
        <color rgb="FF002060"/>
      </right>
      <top style="medium">
        <color rgb="FF00B050"/>
      </top>
      <bottom style="thick">
        <color rgb="FF002060"/>
      </bottom>
      <diagonal/>
    </border>
    <border>
      <left style="thick">
        <color rgb="FF002060"/>
      </left>
      <right style="thick">
        <color rgb="FF002060"/>
      </right>
      <top style="thick">
        <color rgb="FF002060"/>
      </top>
      <bottom style="medium">
        <color rgb="FF00B050"/>
      </bottom>
      <diagonal/>
    </border>
    <border>
      <left style="thick">
        <color rgb="FF002060"/>
      </left>
      <right style="thick">
        <color rgb="FF002060"/>
      </right>
      <top style="medium">
        <color rgb="FF00B050"/>
      </top>
      <bottom style="thick">
        <color rgb="FF002060"/>
      </bottom>
      <diagonal/>
    </border>
    <border>
      <left style="thick">
        <color rgb="FF002060"/>
      </left>
      <right style="medium">
        <color rgb="FF00B050"/>
      </right>
      <top style="thick">
        <color rgb="FF002060"/>
      </top>
      <bottom style="thick">
        <color rgb="FF002060"/>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FFFFFF"/>
      </left>
      <right/>
      <top style="medium">
        <color rgb="FFFFFFFF"/>
      </top>
      <bottom style="thick">
        <color rgb="FFFFFFFF"/>
      </bottom>
      <diagonal/>
    </border>
    <border>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right/>
      <top style="medium">
        <color rgb="FF000000"/>
      </top>
      <bottom style="medium">
        <color theme="1" tint="0.499984740745262"/>
      </bottom>
      <diagonal/>
    </border>
    <border>
      <left style="medium">
        <color rgb="FF000000"/>
      </left>
      <right style="thin">
        <color theme="1" tint="0.499984740745262"/>
      </right>
      <top style="thin">
        <color theme="1" tint="0.499984740745262"/>
      </top>
      <bottom style="thin">
        <color theme="1" tint="0.499984740745262"/>
      </bottom>
      <diagonal/>
    </border>
    <border>
      <left style="medium">
        <color rgb="FF000000"/>
      </left>
      <right style="thin">
        <color theme="1" tint="0.499984740745262"/>
      </right>
      <top style="thin">
        <color theme="1" tint="0.499984740745262"/>
      </top>
      <bottom style="medium">
        <color rgb="FF000000"/>
      </bottom>
      <diagonal/>
    </border>
    <border>
      <left style="thin">
        <color theme="1" tint="0.499984740745262"/>
      </left>
      <right style="thin">
        <color theme="1" tint="0.499984740745262"/>
      </right>
      <top style="thin">
        <color theme="1" tint="0.499984740745262"/>
      </top>
      <bottom style="medium">
        <color rgb="FF000000"/>
      </bottom>
      <diagonal/>
    </border>
    <border>
      <left style="thin">
        <color indexed="64"/>
      </left>
      <right/>
      <top style="thin">
        <color indexed="64"/>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style="thin">
        <color theme="1" tint="0.499984740745262"/>
      </left>
      <right/>
      <top style="thin">
        <color theme="1" tint="0.499984740745262"/>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style="medium">
        <color rgb="FFFFFFFF"/>
      </top>
      <bottom style="thick">
        <color rgb="FFFFFFFF"/>
      </bottom>
      <diagonal/>
    </border>
    <border>
      <left style="thin">
        <color rgb="FF000000"/>
      </left>
      <right style="thin">
        <color rgb="FF000000"/>
      </right>
      <top style="thin">
        <color rgb="FF000000"/>
      </top>
      <bottom style="thin">
        <color rgb="FF000000"/>
      </bottom>
      <diagonal/>
    </border>
    <border>
      <left style="medium">
        <color theme="1" tint="0.499984740745262"/>
      </left>
      <right/>
      <top style="medium">
        <color theme="1" tint="0.499984740745262"/>
      </top>
      <bottom/>
      <diagonal/>
    </border>
    <border>
      <left style="thin">
        <color theme="1" tint="0.499984740745262"/>
      </left>
      <right/>
      <top style="medium">
        <color theme="1" tint="0.499984740745262"/>
      </top>
      <bottom/>
      <diagonal/>
    </border>
    <border>
      <left style="thin">
        <color theme="1" tint="0.499984740745262"/>
      </left>
      <right style="thin">
        <color theme="1" tint="0.499984740745262"/>
      </right>
      <top style="medium">
        <color theme="1" tint="0.499984740745262"/>
      </top>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1" tint="0.499984740745262"/>
      </left>
      <right style="double">
        <color theme="1" tint="0.499984740745262"/>
      </right>
      <top style="thin">
        <color theme="1" tint="0.499984740745262"/>
      </top>
      <bottom style="thin">
        <color theme="1" tint="0.499984740745262"/>
      </bottom>
      <diagonal/>
    </border>
    <border>
      <left/>
      <right style="double">
        <color theme="1" tint="0.499984740745262"/>
      </right>
      <top style="thin">
        <color theme="1" tint="0.499984740745262"/>
      </top>
      <bottom style="thin">
        <color theme="1" tint="0.499984740745262"/>
      </bottom>
      <diagonal/>
    </border>
    <border>
      <left style="double">
        <color theme="1" tint="0.499984740745262"/>
      </left>
      <right/>
      <top style="thin">
        <color theme="1" tint="0.499984740745262"/>
      </top>
      <bottom style="thin">
        <color theme="1" tint="0.499984740745262"/>
      </bottom>
      <diagonal/>
    </border>
    <border>
      <left style="medium">
        <color theme="1" tint="0.499984740745262"/>
      </left>
      <right style="medium">
        <color theme="1" tint="0.499984740745262"/>
      </right>
      <top style="medium">
        <color rgb="FF000000"/>
      </top>
      <bottom style="medium">
        <color theme="1" tint="0.499984740745262"/>
      </bottom>
      <diagonal/>
    </border>
    <border>
      <left style="thin">
        <color indexed="64"/>
      </left>
      <right style="medium">
        <color theme="1" tint="0.499984740745262"/>
      </right>
      <top style="thin">
        <color indexed="64"/>
      </top>
      <bottom style="medium">
        <color theme="1" tint="0.499984740745262"/>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style="thin">
        <color theme="0" tint="-0.14999847407452621"/>
      </right>
      <top style="thin">
        <color theme="0" tint="-0.14999847407452621"/>
      </top>
      <bottom/>
      <diagonal/>
    </border>
    <border>
      <left style="thin">
        <color theme="0" tint="-0.14999847407452621"/>
      </left>
      <right/>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style="thin">
        <color theme="0" tint="-0.34998626667073579"/>
      </left>
      <right/>
      <top style="thin">
        <color theme="0" tint="-0.34998626667073579"/>
      </top>
      <bottom style="thin">
        <color theme="0" tint="-0.34998626667073579"/>
      </bottom>
      <diagonal/>
    </border>
    <border>
      <left/>
      <right/>
      <top style="thin">
        <color theme="1" tint="0.499984740745262"/>
      </top>
      <bottom style="thin">
        <color theme="1" tint="0.499984740745262"/>
      </bottom>
      <diagonal/>
    </border>
    <border>
      <left style="thin">
        <color theme="0" tint="-0.34998626667073579"/>
      </left>
      <right style="thin">
        <color theme="0" tint="-0.34998626667073579"/>
      </right>
      <top style="thin">
        <color rgb="FF000000"/>
      </top>
      <bottom style="thin">
        <color theme="0" tint="-0.34998626667073579"/>
      </bottom>
      <diagonal/>
    </border>
    <border>
      <left style="thin">
        <color theme="0" tint="-0.34998626667073579"/>
      </left>
      <right style="thin">
        <color rgb="FF000000"/>
      </right>
      <top style="thin">
        <color rgb="FF000000"/>
      </top>
      <bottom style="thin">
        <color theme="0" tint="-0.34998626667073579"/>
      </bottom>
      <diagonal/>
    </border>
    <border>
      <left style="thin">
        <color theme="0" tint="-0.34998626667073579"/>
      </left>
      <right style="thin">
        <color rgb="FF000000"/>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rgb="FF000000"/>
      </bottom>
      <diagonal/>
    </border>
    <border>
      <left style="thin">
        <color theme="0" tint="-0.34998626667073579"/>
      </left>
      <right style="thin">
        <color rgb="FF000000"/>
      </right>
      <top style="thin">
        <color theme="0" tint="-0.34998626667073579"/>
      </top>
      <bottom style="thin">
        <color rgb="FF000000"/>
      </bottom>
      <diagonal/>
    </border>
    <border>
      <left style="thin">
        <color theme="0" tint="-0.34998626667073579"/>
      </left>
      <right style="thin">
        <color rgb="FF000000"/>
      </right>
      <top style="thin">
        <color theme="0" tint="-0.34998626667073579"/>
      </top>
      <bottom/>
      <diagonal/>
    </border>
    <border>
      <left style="thin">
        <color theme="0" tint="-0.34998626667073579"/>
      </left>
      <right style="thin">
        <color rgb="FF000000"/>
      </right>
      <top/>
      <bottom/>
      <diagonal/>
    </border>
    <border>
      <left style="thin">
        <color theme="0" tint="-0.34998626667073579"/>
      </left>
      <right style="thin">
        <color rgb="FF000000"/>
      </right>
      <top/>
      <bottom style="thin">
        <color theme="0" tint="-0.34998626667073579"/>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theme="1" tint="0.499984740745262"/>
      </left>
      <right style="medium">
        <color theme="1" tint="0.499984740745262"/>
      </right>
      <top style="medium">
        <color rgb="FF000000"/>
      </top>
      <bottom/>
      <diagonal/>
    </border>
    <border>
      <left style="medium">
        <color theme="1" tint="0.499984740745262"/>
      </left>
      <right style="medium">
        <color theme="1" tint="0.499984740745262"/>
      </right>
      <top style="medium">
        <color rgb="FFFFFFFF"/>
      </top>
      <bottom/>
      <diagonal/>
    </border>
    <border>
      <left style="medium">
        <color rgb="FFFFFFFF"/>
      </left>
      <right style="medium">
        <color theme="1" tint="0.499984740745262"/>
      </right>
      <top style="medium">
        <color rgb="FFFFFFFF"/>
      </top>
      <bottom/>
      <diagonal/>
    </border>
    <border>
      <left style="medium">
        <color theme="1" tint="0.499984740745262"/>
      </left>
      <right style="medium">
        <color theme="1" tint="0.499984740745262"/>
      </right>
      <top style="medium">
        <color theme="1" tint="0.499984740745262"/>
      </top>
      <bottom/>
      <diagonal/>
    </border>
    <border>
      <left/>
      <right/>
      <top style="medium">
        <color theme="1" tint="0.499984740745262"/>
      </top>
      <bottom/>
      <diagonal/>
    </border>
    <border>
      <left/>
      <right/>
      <top/>
      <bottom style="thin">
        <color theme="1" tint="0.499984740745262"/>
      </bottom>
      <diagonal/>
    </border>
    <border>
      <left style="thin">
        <color theme="0" tint="-0.34998626667073579"/>
      </left>
      <right style="thin">
        <color theme="0" tint="-0.34998626667073579"/>
      </right>
      <top/>
      <bottom style="thin">
        <color rgb="FF000000"/>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diagonal/>
    </border>
    <border>
      <left/>
      <right/>
      <top style="thin">
        <color rgb="FF000000"/>
      </top>
      <bottom style="thin">
        <color theme="0" tint="-0.34998626667073579"/>
      </bottom>
      <diagonal/>
    </border>
  </borders>
  <cellStyleXfs count="4">
    <xf numFmtId="0" fontId="0" fillId="0" borderId="0"/>
    <xf numFmtId="43" fontId="1" fillId="0" borderId="0" applyFont="0" applyFill="0" applyBorder="0" applyAlignment="0" applyProtection="0"/>
    <xf numFmtId="0" fontId="15" fillId="0" borderId="0" applyNumberFormat="0" applyFill="0" applyBorder="0" applyAlignment="0" applyProtection="0"/>
    <xf numFmtId="9" fontId="1" fillId="0" borderId="0" applyFont="0" applyFill="0" applyBorder="0" applyAlignment="0" applyProtection="0"/>
  </cellStyleXfs>
  <cellXfs count="851">
    <xf numFmtId="0" fontId="0" fillId="0" borderId="0" xfId="0"/>
    <xf numFmtId="0" fontId="0" fillId="0" borderId="0" xfId="0" applyAlignment="1">
      <alignment horizontal="left" vertical="center" wrapText="1"/>
    </xf>
    <xf numFmtId="0" fontId="4" fillId="2" borderId="3"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4" xfId="0" applyFont="1" applyFill="1" applyBorder="1" applyAlignment="1">
      <alignment horizontal="left" vertical="center" wrapText="1"/>
    </xf>
    <xf numFmtId="0" fontId="2" fillId="4" borderId="5" xfId="0" applyFont="1" applyFill="1" applyBorder="1" applyAlignment="1">
      <alignment horizontal="center"/>
    </xf>
    <xf numFmtId="3" fontId="0" fillId="0" borderId="0" xfId="0" applyNumberFormat="1"/>
    <xf numFmtId="0" fontId="2" fillId="4" borderId="7" xfId="0" applyFont="1" applyFill="1" applyBorder="1" applyAlignment="1">
      <alignment horizontal="center"/>
    </xf>
    <xf numFmtId="0" fontId="0" fillId="0" borderId="8" xfId="0" applyBorder="1"/>
    <xf numFmtId="0" fontId="0" fillId="0" borderId="9" xfId="0" applyBorder="1"/>
    <xf numFmtId="43" fontId="0" fillId="0" borderId="8" xfId="1" applyFont="1" applyBorder="1"/>
    <xf numFmtId="43" fontId="0" fillId="0" borderId="9" xfId="1" applyFont="1" applyBorder="1"/>
    <xf numFmtId="43" fontId="0" fillId="0" borderId="10" xfId="1" applyFont="1" applyBorder="1"/>
    <xf numFmtId="164" fontId="0" fillId="0" borderId="8" xfId="1" applyNumberFormat="1" applyFont="1" applyBorder="1"/>
    <xf numFmtId="164" fontId="0" fillId="0" borderId="9" xfId="1" applyNumberFormat="1" applyFont="1" applyBorder="1"/>
    <xf numFmtId="164" fontId="0" fillId="0" borderId="10" xfId="1" applyNumberFormat="1" applyFont="1" applyBorder="1"/>
    <xf numFmtId="0" fontId="0" fillId="0" borderId="10" xfId="0" applyBorder="1"/>
    <xf numFmtId="0" fontId="0" fillId="0" borderId="11" xfId="0" applyBorder="1"/>
    <xf numFmtId="43" fontId="0" fillId="0" borderId="11" xfId="1" applyFont="1" applyBorder="1"/>
    <xf numFmtId="43" fontId="0" fillId="0" borderId="0" xfId="1" applyFont="1" applyBorder="1"/>
    <xf numFmtId="43" fontId="0" fillId="0" borderId="12" xfId="1" applyFont="1" applyBorder="1"/>
    <xf numFmtId="164" fontId="0" fillId="0" borderId="11" xfId="1" applyNumberFormat="1" applyFont="1" applyBorder="1"/>
    <xf numFmtId="164" fontId="0" fillId="0" borderId="0" xfId="1" applyNumberFormat="1" applyFont="1" applyBorder="1"/>
    <xf numFmtId="164" fontId="0" fillId="0" borderId="12" xfId="1" applyNumberFormat="1" applyFont="1" applyBorder="1"/>
    <xf numFmtId="0" fontId="0" fillId="0" borderId="12" xfId="0" applyBorder="1"/>
    <xf numFmtId="0" fontId="0" fillId="0" borderId="13" xfId="0" applyBorder="1"/>
    <xf numFmtId="0" fontId="0" fillId="0" borderId="14" xfId="0" applyBorder="1"/>
    <xf numFmtId="43" fontId="0" fillId="0" borderId="13" xfId="1" applyFont="1" applyBorder="1"/>
    <xf numFmtId="43" fontId="0" fillId="0" borderId="14" xfId="1" applyFont="1" applyBorder="1"/>
    <xf numFmtId="43" fontId="0" fillId="0" borderId="15" xfId="1" applyFont="1" applyBorder="1"/>
    <xf numFmtId="164" fontId="0" fillId="0" borderId="13" xfId="1" applyNumberFormat="1" applyFont="1" applyBorder="1"/>
    <xf numFmtId="164" fontId="0" fillId="0" borderId="14" xfId="1" applyNumberFormat="1" applyFont="1" applyBorder="1"/>
    <xf numFmtId="164" fontId="0" fillId="0" borderId="15" xfId="1" applyNumberFormat="1" applyFont="1" applyBorder="1"/>
    <xf numFmtId="0" fontId="0" fillId="0" borderId="15" xfId="0" applyBorder="1"/>
    <xf numFmtId="43" fontId="0" fillId="0" borderId="8" xfId="1" applyFont="1" applyFill="1" applyBorder="1"/>
    <xf numFmtId="43" fontId="0" fillId="0" borderId="9" xfId="1" applyFont="1" applyFill="1" applyBorder="1"/>
    <xf numFmtId="43" fontId="0" fillId="0" borderId="10" xfId="1" applyFont="1" applyFill="1" applyBorder="1"/>
    <xf numFmtId="43" fontId="0" fillId="0" borderId="11" xfId="1" applyFont="1" applyFill="1" applyBorder="1"/>
    <xf numFmtId="43" fontId="0" fillId="0" borderId="0" xfId="1" applyFont="1" applyFill="1" applyBorder="1"/>
    <xf numFmtId="43" fontId="0" fillId="0" borderId="12" xfId="1" applyFont="1" applyFill="1" applyBorder="1"/>
    <xf numFmtId="43" fontId="0" fillId="0" borderId="13" xfId="1" applyFont="1" applyFill="1" applyBorder="1"/>
    <xf numFmtId="43" fontId="0" fillId="0" borderId="14" xfId="1" applyFont="1" applyFill="1" applyBorder="1"/>
    <xf numFmtId="43" fontId="0" fillId="0" borderId="15" xfId="1" applyFont="1" applyFill="1" applyBorder="1"/>
    <xf numFmtId="0" fontId="0" fillId="0" borderId="16" xfId="0" applyBorder="1"/>
    <xf numFmtId="0" fontId="3" fillId="5" borderId="1" xfId="0" applyFont="1" applyFill="1" applyBorder="1" applyAlignment="1">
      <alignment horizontal="left" vertical="center" wrapText="1"/>
    </xf>
    <xf numFmtId="0" fontId="3" fillId="0" borderId="1" xfId="0" applyFont="1" applyBorder="1" applyAlignment="1">
      <alignment horizontal="left" vertical="center" wrapText="1"/>
    </xf>
    <xf numFmtId="0" fontId="3" fillId="2" borderId="0" xfId="0" applyFont="1" applyFill="1" applyAlignment="1">
      <alignment horizontal="left" vertical="center" wrapText="1"/>
    </xf>
    <xf numFmtId="0" fontId="3" fillId="2" borderId="2" xfId="0" applyFont="1" applyFill="1" applyBorder="1" applyAlignment="1">
      <alignment horizontal="left" vertical="center" wrapText="1"/>
    </xf>
    <xf numFmtId="0" fontId="0" fillId="2" borderId="0" xfId="0" applyFill="1" applyAlignment="1">
      <alignment horizontal="left" vertical="center" wrapText="1"/>
    </xf>
    <xf numFmtId="0" fontId="6" fillId="6" borderId="17" xfId="0" applyFont="1" applyFill="1" applyBorder="1" applyAlignment="1">
      <alignment vertical="center"/>
    </xf>
    <xf numFmtId="0" fontId="6" fillId="6" borderId="18" xfId="0" applyFont="1" applyFill="1" applyBorder="1" applyAlignment="1">
      <alignment vertical="center"/>
    </xf>
    <xf numFmtId="0" fontId="6" fillId="6" borderId="18" xfId="0" applyFont="1" applyFill="1" applyBorder="1" applyAlignment="1">
      <alignment vertical="center" wrapText="1"/>
    </xf>
    <xf numFmtId="0" fontId="7" fillId="0" borderId="19" xfId="0" applyFont="1" applyBorder="1" applyAlignment="1">
      <alignment horizontal="left" vertical="center" indent="2"/>
    </xf>
    <xf numFmtId="0" fontId="9" fillId="0" borderId="20" xfId="0" applyFont="1" applyBorder="1" applyAlignment="1">
      <alignment vertical="center"/>
    </xf>
    <xf numFmtId="0" fontId="7" fillId="0" borderId="20" xfId="0" applyFont="1" applyBorder="1" applyAlignment="1">
      <alignment vertical="center"/>
    </xf>
    <xf numFmtId="0" fontId="7" fillId="0" borderId="20" xfId="0" applyFont="1" applyBorder="1" applyAlignment="1">
      <alignment vertical="center" wrapText="1"/>
    </xf>
    <xf numFmtId="3" fontId="9" fillId="0" borderId="20" xfId="0" applyNumberFormat="1" applyFont="1" applyBorder="1" applyAlignment="1">
      <alignment vertical="center"/>
    </xf>
    <xf numFmtId="0" fontId="2" fillId="8" borderId="21" xfId="0" applyFont="1" applyFill="1" applyBorder="1" applyAlignment="1">
      <alignment vertical="center"/>
    </xf>
    <xf numFmtId="0" fontId="2" fillId="8" borderId="21" xfId="0" applyFont="1" applyFill="1" applyBorder="1" applyAlignment="1">
      <alignment vertical="center" wrapText="1"/>
    </xf>
    <xf numFmtId="0" fontId="2" fillId="8" borderId="5" xfId="0" applyFont="1" applyFill="1" applyBorder="1" applyAlignment="1">
      <alignment horizontal="center" vertical="center"/>
    </xf>
    <xf numFmtId="0" fontId="2" fillId="8" borderId="7" xfId="0" applyFont="1" applyFill="1" applyBorder="1" applyAlignment="1">
      <alignment horizontal="center"/>
    </xf>
    <xf numFmtId="0" fontId="2" fillId="8" borderId="11" xfId="0" applyFont="1" applyFill="1" applyBorder="1" applyAlignment="1">
      <alignment vertical="center" wrapText="1"/>
    </xf>
    <xf numFmtId="0" fontId="2" fillId="8" borderId="0" xfId="0" applyFont="1" applyFill="1" applyAlignment="1">
      <alignment vertical="center" wrapText="1"/>
    </xf>
    <xf numFmtId="0" fontId="0" fillId="0" borderId="0" xfId="0" applyAlignment="1">
      <alignment horizontal="center" vertical="center"/>
    </xf>
    <xf numFmtId="0" fontId="2" fillId="8" borderId="21" xfId="0" applyFont="1" applyFill="1" applyBorder="1" applyAlignment="1">
      <alignment horizontal="center" vertical="center"/>
    </xf>
    <xf numFmtId="0" fontId="0" fillId="0" borderId="0" xfId="0" applyAlignment="1">
      <alignment horizontal="center"/>
    </xf>
    <xf numFmtId="0" fontId="12" fillId="7" borderId="21" xfId="0" applyFont="1" applyFill="1" applyBorder="1" applyAlignment="1">
      <alignment horizontal="center" vertical="center" wrapText="1"/>
    </xf>
    <xf numFmtId="0" fontId="12" fillId="7" borderId="5" xfId="0" applyFont="1" applyFill="1" applyBorder="1" applyAlignment="1">
      <alignment horizontal="center" vertical="center" wrapText="1"/>
    </xf>
    <xf numFmtId="0" fontId="12" fillId="7" borderId="11" xfId="0" applyFont="1" applyFill="1" applyBorder="1" applyAlignment="1">
      <alignment horizontal="center" vertical="center" wrapText="1"/>
    </xf>
    <xf numFmtId="0" fontId="12" fillId="7" borderId="0" xfId="0" applyFont="1" applyFill="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vertical="center" wrapText="1"/>
    </xf>
    <xf numFmtId="0" fontId="13" fillId="0" borderId="0" xfId="0" applyFont="1" applyAlignment="1">
      <alignment vertical="center" wrapText="1"/>
    </xf>
    <xf numFmtId="0" fontId="11" fillId="5" borderId="0" xfId="0" applyFont="1" applyFill="1" applyAlignment="1">
      <alignment horizontal="center" vertical="center" wrapText="1"/>
    </xf>
    <xf numFmtId="4" fontId="13" fillId="9" borderId="0" xfId="0" applyNumberFormat="1" applyFont="1" applyFill="1" applyAlignment="1">
      <alignment horizontal="center" vertical="center" wrapText="1"/>
    </xf>
    <xf numFmtId="0" fontId="13" fillId="9" borderId="0" xfId="0" applyFont="1" applyFill="1" applyAlignment="1">
      <alignment horizontal="center" vertical="center" wrapText="1"/>
    </xf>
    <xf numFmtId="0" fontId="11" fillId="10" borderId="0" xfId="0" applyFont="1" applyFill="1" applyAlignment="1">
      <alignment horizontal="center" vertical="center" wrapText="1"/>
    </xf>
    <xf numFmtId="0" fontId="11" fillId="10" borderId="0" xfId="0" applyFont="1" applyFill="1" applyAlignment="1">
      <alignment vertical="center" wrapText="1"/>
    </xf>
    <xf numFmtId="0" fontId="13" fillId="10" borderId="0" xfId="0" applyFont="1" applyFill="1" applyAlignment="1">
      <alignment horizontal="center" vertical="center" wrapText="1"/>
    </xf>
    <xf numFmtId="0" fontId="15" fillId="0" borderId="0" xfId="2" applyAlignment="1">
      <alignment horizontal="center" vertical="center" wrapText="1"/>
    </xf>
    <xf numFmtId="0" fontId="15" fillId="5" borderId="0" xfId="2" applyFill="1" applyAlignment="1">
      <alignment horizontal="center" vertical="center" wrapText="1"/>
    </xf>
    <xf numFmtId="0" fontId="16" fillId="11" borderId="0" xfId="0" applyFont="1" applyFill="1" applyAlignment="1">
      <alignment horizontal="center" vertical="center" wrapText="1"/>
    </xf>
    <xf numFmtId="0" fontId="16" fillId="11" borderId="0" xfId="0" applyFont="1" applyFill="1" applyAlignment="1">
      <alignment vertical="center" wrapText="1"/>
    </xf>
    <xf numFmtId="0" fontId="17" fillId="11" borderId="0" xfId="2" applyFont="1" applyFill="1" applyAlignment="1">
      <alignment horizontal="center" vertical="center" wrapText="1"/>
    </xf>
    <xf numFmtId="0" fontId="12" fillId="4" borderId="21" xfId="0" applyFont="1" applyFill="1" applyBorder="1" applyAlignment="1">
      <alignment horizontal="center" vertical="center" wrapText="1"/>
    </xf>
    <xf numFmtId="0" fontId="5" fillId="0" borderId="0" xfId="0" applyFont="1" applyAlignment="1">
      <alignment horizontal="center"/>
    </xf>
    <xf numFmtId="0" fontId="0" fillId="0" borderId="0" xfId="0" applyAlignment="1">
      <alignment horizontal="center" vertical="center" wrapText="1"/>
    </xf>
    <xf numFmtId="2" fontId="11" fillId="0" borderId="0" xfId="0" applyNumberFormat="1" applyFont="1" applyAlignment="1">
      <alignment vertical="center" wrapText="1"/>
    </xf>
    <xf numFmtId="43" fontId="11" fillId="0" borderId="0" xfId="1" applyFont="1" applyAlignment="1">
      <alignment vertical="center" wrapText="1"/>
    </xf>
    <xf numFmtId="4" fontId="11" fillId="0" borderId="0" xfId="0" applyNumberFormat="1" applyFont="1" applyAlignment="1">
      <alignment horizontal="center" vertical="center" wrapText="1"/>
    </xf>
    <xf numFmtId="4" fontId="11" fillId="0" borderId="0" xfId="0" applyNumberFormat="1" applyFont="1" applyAlignment="1">
      <alignment vertical="center" wrapText="1"/>
    </xf>
    <xf numFmtId="3" fontId="11" fillId="0" borderId="0" xfId="0" applyNumberFormat="1" applyFont="1" applyAlignment="1">
      <alignment vertical="center" wrapText="1"/>
    </xf>
    <xf numFmtId="0" fontId="15" fillId="0" borderId="0" xfId="2" applyFill="1" applyAlignment="1">
      <alignment horizontal="center" wrapText="1"/>
    </xf>
    <xf numFmtId="3" fontId="16" fillId="11" borderId="0" xfId="0" applyNumberFormat="1" applyFont="1" applyFill="1" applyAlignment="1">
      <alignment vertical="center" wrapText="1"/>
    </xf>
    <xf numFmtId="0" fontId="11" fillId="5" borderId="0" xfId="0" applyFont="1" applyFill="1" applyAlignment="1">
      <alignment vertical="center" wrapText="1"/>
    </xf>
    <xf numFmtId="0" fontId="15" fillId="0" borderId="0" xfId="2" applyAlignment="1">
      <alignment horizontal="center" wrapText="1"/>
    </xf>
    <xf numFmtId="0" fontId="11" fillId="0" borderId="0" xfId="0" applyFont="1" applyAlignment="1">
      <alignment horizontal="center" vertical="center"/>
    </xf>
    <xf numFmtId="0" fontId="11" fillId="0" borderId="0" xfId="0" applyFont="1"/>
    <xf numFmtId="0" fontId="20" fillId="2" borderId="24" xfId="0" applyFont="1" applyFill="1" applyBorder="1" applyAlignment="1">
      <alignment wrapText="1"/>
    </xf>
    <xf numFmtId="0" fontId="20" fillId="0" borderId="27" xfId="0" applyFont="1" applyBorder="1" applyAlignment="1">
      <alignment horizontal="center" vertical="center" wrapText="1"/>
    </xf>
    <xf numFmtId="0" fontId="20" fillId="0" borderId="22" xfId="0" applyFont="1" applyBorder="1" applyAlignment="1">
      <alignment vertical="center" wrapText="1"/>
    </xf>
    <xf numFmtId="0" fontId="20" fillId="0" borderId="22" xfId="0" applyFont="1" applyBorder="1" applyAlignment="1">
      <alignment horizontal="center" vertical="center" wrapText="1"/>
    </xf>
    <xf numFmtId="0" fontId="20" fillId="0" borderId="0" xfId="0" applyFont="1" applyAlignment="1">
      <alignment vertical="center" wrapText="1"/>
    </xf>
    <xf numFmtId="0" fontId="20" fillId="0" borderId="28" xfId="0" applyFont="1" applyBorder="1" applyAlignment="1">
      <alignment horizontal="center" vertical="center" wrapText="1"/>
    </xf>
    <xf numFmtId="0" fontId="20" fillId="0" borderId="25" xfId="0" applyFont="1" applyBorder="1" applyAlignment="1">
      <alignment vertical="center" wrapText="1"/>
    </xf>
    <xf numFmtId="0" fontId="20" fillId="0" borderId="25" xfId="0" applyFont="1" applyBorder="1" applyAlignment="1">
      <alignment horizontal="center" vertical="center" wrapText="1"/>
    </xf>
    <xf numFmtId="0" fontId="11" fillId="2" borderId="26" xfId="0" applyFont="1" applyFill="1" applyBorder="1"/>
    <xf numFmtId="0" fontId="20" fillId="0" borderId="24" xfId="0" applyFont="1" applyBorder="1" applyAlignment="1">
      <alignment horizontal="center" vertical="center" wrapText="1"/>
    </xf>
    <xf numFmtId="0" fontId="12" fillId="7" borderId="23" xfId="0" applyFont="1" applyFill="1" applyBorder="1" applyAlignment="1">
      <alignment horizontal="center" vertical="center" wrapText="1"/>
    </xf>
    <xf numFmtId="0" fontId="19" fillId="0" borderId="0" xfId="2" applyFont="1" applyAlignment="1">
      <alignment horizontal="center" vertical="center" wrapText="1"/>
    </xf>
    <xf numFmtId="0" fontId="20" fillId="0" borderId="0" xfId="0" applyFont="1" applyAlignment="1">
      <alignment horizontal="center" vertical="center" wrapText="1"/>
    </xf>
    <xf numFmtId="0" fontId="20" fillId="4" borderId="0" xfId="0" applyFont="1" applyFill="1" applyAlignment="1">
      <alignment horizontal="center" vertical="center" wrapText="1"/>
    </xf>
    <xf numFmtId="0" fontId="20" fillId="4" borderId="0" xfId="0" applyFont="1" applyFill="1" applyAlignment="1">
      <alignment vertical="center" wrapText="1"/>
    </xf>
    <xf numFmtId="0" fontId="19" fillId="0" borderId="0" xfId="2" applyFont="1" applyAlignment="1">
      <alignment horizontal="center" vertical="center"/>
    </xf>
    <xf numFmtId="0" fontId="15" fillId="0" borderId="0" xfId="2" applyFill="1" applyAlignment="1">
      <alignment horizontal="center" vertical="center" wrapText="1"/>
    </xf>
    <xf numFmtId="0" fontId="12" fillId="7" borderId="27" xfId="0" applyFont="1" applyFill="1" applyBorder="1" applyAlignment="1">
      <alignment horizontal="center" vertical="center" wrapText="1"/>
    </xf>
    <xf numFmtId="0" fontId="12" fillId="7" borderId="22" xfId="0" applyFont="1" applyFill="1" applyBorder="1" applyAlignment="1">
      <alignment horizontal="center" vertical="center" wrapText="1"/>
    </xf>
    <xf numFmtId="0" fontId="16" fillId="4" borderId="0" xfId="0" applyFont="1" applyFill="1" applyAlignment="1">
      <alignment vertical="center" wrapText="1"/>
    </xf>
    <xf numFmtId="0" fontId="16" fillId="0" borderId="0" xfId="0" applyFont="1" applyAlignment="1">
      <alignment vertical="center" wrapText="1"/>
    </xf>
    <xf numFmtId="0" fontId="16" fillId="10" borderId="0" xfId="0" applyFont="1" applyFill="1" applyAlignment="1">
      <alignment vertical="center" wrapText="1"/>
    </xf>
    <xf numFmtId="0" fontId="11" fillId="0" borderId="0" xfId="0" applyFont="1" applyAlignment="1">
      <alignment vertical="center"/>
    </xf>
    <xf numFmtId="0" fontId="11" fillId="4" borderId="0" xfId="0" applyFont="1" applyFill="1" applyAlignment="1">
      <alignment vertical="center"/>
    </xf>
    <xf numFmtId="0" fontId="11" fillId="4" borderId="0" xfId="0" applyFont="1" applyFill="1" applyAlignment="1">
      <alignment horizontal="center" vertical="center"/>
    </xf>
    <xf numFmtId="0" fontId="20" fillId="10" borderId="0" xfId="0" applyFont="1" applyFill="1" applyAlignment="1">
      <alignment horizontal="center" vertical="center" wrapText="1"/>
    </xf>
    <xf numFmtId="0" fontId="11" fillId="10" borderId="0" xfId="0" applyFont="1" applyFill="1" applyAlignment="1">
      <alignment horizontal="center" vertical="center"/>
    </xf>
    <xf numFmtId="0" fontId="15" fillId="0" borderId="0" xfId="2" applyFill="1" applyAlignment="1">
      <alignment vertical="center" wrapText="1"/>
    </xf>
    <xf numFmtId="0" fontId="15" fillId="0" borderId="0" xfId="2" applyFill="1" applyBorder="1" applyAlignment="1">
      <alignment vertical="center" wrapText="1"/>
    </xf>
    <xf numFmtId="0" fontId="12" fillId="7" borderId="23" xfId="0" applyFont="1" applyFill="1" applyBorder="1" applyAlignment="1">
      <alignment horizontal="left" vertical="center" wrapText="1"/>
    </xf>
    <xf numFmtId="0" fontId="0" fillId="0" borderId="0" xfId="0" applyAlignment="1">
      <alignment horizontal="left"/>
    </xf>
    <xf numFmtId="0" fontId="12" fillId="7" borderId="0" xfId="0" applyFont="1" applyFill="1"/>
    <xf numFmtId="0" fontId="20" fillId="0" borderId="0" xfId="0" applyFont="1" applyAlignment="1">
      <alignment horizontal="left" vertical="center" wrapText="1"/>
    </xf>
    <xf numFmtId="0" fontId="12" fillId="7" borderId="0" xfId="0" applyFont="1" applyFill="1" applyAlignment="1">
      <alignment horizontal="center"/>
    </xf>
    <xf numFmtId="0" fontId="22" fillId="7" borderId="0" xfId="0" applyFont="1" applyFill="1" applyAlignment="1">
      <alignment horizontal="center" vertical="center" wrapText="1"/>
    </xf>
    <xf numFmtId="0" fontId="12" fillId="7" borderId="0" xfId="0" applyFont="1" applyFill="1" applyAlignment="1">
      <alignment horizontal="right"/>
    </xf>
    <xf numFmtId="0" fontId="11" fillId="0" borderId="0" xfId="0" applyFont="1" applyAlignment="1">
      <alignment horizontal="right" vertical="center"/>
    </xf>
    <xf numFmtId="0" fontId="15" fillId="0" borderId="0" xfId="2" applyAlignment="1">
      <alignment horizontal="center" vertical="center"/>
    </xf>
    <xf numFmtId="0" fontId="12" fillId="7" borderId="35" xfId="0" applyFont="1" applyFill="1" applyBorder="1" applyAlignment="1">
      <alignment horizontal="center" vertical="center" wrapText="1"/>
    </xf>
    <xf numFmtId="0" fontId="13" fillId="0" borderId="0" xfId="0" applyFont="1" applyAlignment="1">
      <alignment horizontal="center" vertical="center" wrapText="1"/>
    </xf>
    <xf numFmtId="0" fontId="24" fillId="0" borderId="0" xfId="0" applyFont="1" applyAlignment="1">
      <alignment wrapText="1"/>
    </xf>
    <xf numFmtId="0" fontId="15" fillId="0" borderId="0" xfId="2" applyFill="1" applyAlignment="1">
      <alignment horizontal="center" vertical="center"/>
    </xf>
    <xf numFmtId="0" fontId="15" fillId="15" borderId="41" xfId="2" applyFill="1" applyBorder="1" applyAlignment="1">
      <alignment horizontal="center" vertical="center" wrapText="1"/>
    </xf>
    <xf numFmtId="0" fontId="25" fillId="16" borderId="17" xfId="0" applyFont="1" applyFill="1" applyBorder="1" applyAlignment="1">
      <alignment horizontal="center" vertical="center" wrapText="1"/>
    </xf>
    <xf numFmtId="0" fontId="25" fillId="16" borderId="0" xfId="0" applyFont="1" applyFill="1" applyAlignment="1">
      <alignment horizontal="center" vertical="center" wrapText="1"/>
    </xf>
    <xf numFmtId="0" fontId="25" fillId="14" borderId="0" xfId="0" applyFont="1" applyFill="1" applyAlignment="1">
      <alignment horizontal="left" vertical="center" wrapText="1"/>
    </xf>
    <xf numFmtId="0" fontId="25" fillId="14" borderId="0" xfId="0" applyFont="1" applyFill="1" applyAlignment="1">
      <alignment horizontal="center" vertical="center" wrapText="1"/>
    </xf>
    <xf numFmtId="0" fontId="25" fillId="14" borderId="0" xfId="0" applyFont="1" applyFill="1" applyAlignment="1">
      <alignment vertical="center" wrapText="1"/>
    </xf>
    <xf numFmtId="0" fontId="14" fillId="0" borderId="0" xfId="0" applyFont="1" applyAlignment="1">
      <alignment vertical="center"/>
    </xf>
    <xf numFmtId="0" fontId="12" fillId="7" borderId="8" xfId="0" applyFont="1" applyFill="1" applyBorder="1" applyAlignment="1">
      <alignment horizontal="center" vertical="center" wrapText="1"/>
    </xf>
    <xf numFmtId="165" fontId="11" fillId="0" borderId="0" xfId="0" applyNumberFormat="1" applyFont="1" applyAlignment="1">
      <alignment horizontal="center" vertical="center" wrapText="1"/>
    </xf>
    <xf numFmtId="0" fontId="26" fillId="0" borderId="0" xfId="0" applyFont="1" applyAlignment="1">
      <alignment horizontal="center" vertical="center"/>
    </xf>
    <xf numFmtId="0" fontId="25" fillId="16" borderId="0" xfId="0" applyFont="1" applyFill="1" applyAlignment="1">
      <alignment horizontal="left" vertical="center" wrapText="1"/>
    </xf>
    <xf numFmtId="0" fontId="11" fillId="0" borderId="0" xfId="0" applyFont="1" applyAlignment="1">
      <alignment horizontal="left" vertical="center"/>
    </xf>
    <xf numFmtId="0" fontId="27" fillId="0" borderId="0" xfId="0" applyFont="1" applyAlignment="1">
      <alignment vertical="center"/>
    </xf>
    <xf numFmtId="0" fontId="28" fillId="16" borderId="0" xfId="0" applyFont="1" applyFill="1" applyAlignment="1">
      <alignment horizontal="center" vertical="center"/>
    </xf>
    <xf numFmtId="0" fontId="27" fillId="0" borderId="0" xfId="0" pivotButton="1" applyFont="1" applyAlignment="1">
      <alignment vertical="center" wrapText="1"/>
    </xf>
    <xf numFmtId="0" fontId="11" fillId="5" borderId="17" xfId="0" applyFont="1" applyFill="1" applyBorder="1" applyAlignment="1">
      <alignment horizontal="center" vertical="center"/>
    </xf>
    <xf numFmtId="0" fontId="33" fillId="0" borderId="0" xfId="0" applyFont="1" applyAlignment="1">
      <alignment horizontal="center" vertical="center" wrapText="1"/>
    </xf>
    <xf numFmtId="0" fontId="35" fillId="0" borderId="0" xfId="0" applyFont="1" applyAlignment="1">
      <alignment horizontal="center" vertical="center" wrapText="1"/>
    </xf>
    <xf numFmtId="9" fontId="23" fillId="7" borderId="5" xfId="0" applyNumberFormat="1" applyFont="1" applyFill="1" applyBorder="1" applyAlignment="1">
      <alignment horizontal="center" vertical="center" wrapText="1"/>
    </xf>
    <xf numFmtId="0" fontId="23" fillId="7" borderId="5" xfId="0" applyFont="1" applyFill="1" applyBorder="1" applyAlignment="1">
      <alignment horizontal="center" vertical="center" wrapText="1"/>
    </xf>
    <xf numFmtId="0" fontId="11" fillId="0" borderId="5" xfId="0" applyFont="1" applyBorder="1" applyAlignment="1">
      <alignment horizontal="center" vertical="center" wrapText="1"/>
    </xf>
    <xf numFmtId="0" fontId="31" fillId="0" borderId="5" xfId="0" applyFont="1" applyBorder="1" applyAlignment="1">
      <alignment vertical="center" wrapText="1"/>
    </xf>
    <xf numFmtId="0" fontId="34" fillId="0" borderId="5" xfId="0" applyFont="1" applyBorder="1" applyAlignment="1">
      <alignment horizontal="center" vertical="center" wrapText="1"/>
    </xf>
    <xf numFmtId="0" fontId="32" fillId="0" borderId="5" xfId="0" applyFont="1" applyBorder="1" applyAlignment="1">
      <alignment vertical="center" wrapText="1"/>
    </xf>
    <xf numFmtId="9" fontId="23" fillId="7" borderId="6" xfId="0" applyNumberFormat="1" applyFont="1" applyFill="1" applyBorder="1" applyAlignment="1">
      <alignment horizontal="center" vertical="center" wrapText="1"/>
    </xf>
    <xf numFmtId="9" fontId="23" fillId="7" borderId="55" xfId="0" applyNumberFormat="1" applyFont="1" applyFill="1" applyBorder="1" applyAlignment="1">
      <alignment horizontal="center" vertical="center" wrapText="1"/>
    </xf>
    <xf numFmtId="0" fontId="23" fillId="7" borderId="56" xfId="0" applyFont="1" applyFill="1" applyBorder="1" applyAlignment="1">
      <alignment horizontal="center" vertical="center" wrapText="1"/>
    </xf>
    <xf numFmtId="0" fontId="23" fillId="7" borderId="55" xfId="0" applyFont="1" applyFill="1" applyBorder="1" applyAlignment="1">
      <alignment horizontal="center" vertical="center" wrapText="1"/>
    </xf>
    <xf numFmtId="0" fontId="23" fillId="7" borderId="5" xfId="0" applyFont="1" applyFill="1" applyBorder="1" applyAlignment="1">
      <alignment horizontal="center" vertical="center"/>
    </xf>
    <xf numFmtId="0" fontId="31" fillId="0" borderId="5" xfId="0" applyFont="1" applyBorder="1" applyAlignment="1">
      <alignment vertical="center"/>
    </xf>
    <xf numFmtId="0" fontId="32" fillId="0" borderId="5" xfId="0" applyFont="1" applyBorder="1" applyAlignment="1">
      <alignment vertical="center"/>
    </xf>
    <xf numFmtId="0" fontId="36" fillId="4" borderId="5" xfId="0" applyFont="1" applyFill="1" applyBorder="1" applyAlignment="1">
      <alignment horizontal="center" vertical="center" wrapText="1" readingOrder="1"/>
    </xf>
    <xf numFmtId="0" fontId="37" fillId="0" borderId="5" xfId="0" applyFont="1" applyBorder="1" applyAlignment="1">
      <alignment horizontal="center" vertical="center" wrapText="1" readingOrder="1"/>
    </xf>
    <xf numFmtId="0" fontId="36" fillId="4" borderId="21" xfId="0" applyFont="1" applyFill="1" applyBorder="1" applyAlignment="1">
      <alignment horizontal="center" vertical="center" wrapText="1" readingOrder="1"/>
    </xf>
    <xf numFmtId="0" fontId="37" fillId="0" borderId="5" xfId="0" applyFont="1" applyBorder="1" applyAlignment="1">
      <alignment horizontal="left" vertical="center" wrapText="1" readingOrder="1"/>
    </xf>
    <xf numFmtId="0" fontId="23" fillId="4" borderId="55" xfId="0" applyFont="1" applyFill="1" applyBorder="1" applyAlignment="1">
      <alignment horizontal="center" vertical="center" wrapText="1"/>
    </xf>
    <xf numFmtId="0" fontId="23" fillId="4" borderId="56" xfId="0" applyFont="1" applyFill="1" applyBorder="1" applyAlignment="1">
      <alignment horizontal="center" vertical="center" wrapText="1"/>
    </xf>
    <xf numFmtId="0" fontId="31" fillId="0" borderId="0" xfId="0" applyFont="1" applyAlignment="1">
      <alignment vertical="center"/>
    </xf>
    <xf numFmtId="0" fontId="34" fillId="0" borderId="0" xfId="0" applyFont="1" applyAlignment="1">
      <alignment horizontal="center" vertical="center"/>
    </xf>
    <xf numFmtId="0" fontId="31" fillId="0" borderId="0" xfId="0" applyFont="1" applyAlignment="1">
      <alignment horizontal="center" vertical="center"/>
    </xf>
    <xf numFmtId="0" fontId="34" fillId="0" borderId="0" xfId="0" applyFont="1" applyAlignment="1">
      <alignment vertical="center"/>
    </xf>
    <xf numFmtId="0" fontId="27" fillId="0" borderId="5" xfId="0" applyFont="1" applyBorder="1" applyAlignment="1">
      <alignment vertical="center"/>
    </xf>
    <xf numFmtId="0" fontId="34" fillId="0" borderId="5" xfId="0" applyFont="1" applyBorder="1" applyAlignment="1">
      <alignment horizontal="center" vertical="center"/>
    </xf>
    <xf numFmtId="0" fontId="31" fillId="0" borderId="6" xfId="0" applyFont="1" applyBorder="1" applyAlignment="1">
      <alignment horizontal="center" vertical="center"/>
    </xf>
    <xf numFmtId="9" fontId="34" fillId="17" borderId="55" xfId="0" applyNumberFormat="1" applyFont="1" applyFill="1" applyBorder="1" applyAlignment="1">
      <alignment horizontal="center" vertical="center"/>
    </xf>
    <xf numFmtId="9" fontId="35" fillId="17" borderId="56" xfId="0" applyNumberFormat="1" applyFont="1" applyFill="1" applyBorder="1" applyAlignment="1">
      <alignment horizontal="center" vertical="center"/>
    </xf>
    <xf numFmtId="9" fontId="34" fillId="17" borderId="5" xfId="0" applyNumberFormat="1" applyFont="1" applyFill="1" applyBorder="1" applyAlignment="1">
      <alignment horizontal="center" vertical="center"/>
    </xf>
    <xf numFmtId="0" fontId="34" fillId="0" borderId="55" xfId="0" applyFont="1" applyBorder="1" applyAlignment="1">
      <alignment vertical="center"/>
    </xf>
    <xf numFmtId="0" fontId="34" fillId="0" borderId="56" xfId="0" applyFont="1" applyBorder="1" applyAlignment="1">
      <alignment horizontal="center" vertical="center"/>
    </xf>
    <xf numFmtId="0" fontId="34" fillId="0" borderId="6" xfId="0" applyFont="1" applyBorder="1" applyAlignment="1">
      <alignment horizontal="center" vertical="center"/>
    </xf>
    <xf numFmtId="0" fontId="34" fillId="0" borderId="55" xfId="0" applyFont="1" applyBorder="1" applyAlignment="1">
      <alignment horizontal="center" vertical="center"/>
    </xf>
    <xf numFmtId="0" fontId="35" fillId="0" borderId="56" xfId="0" applyFont="1" applyBorder="1" applyAlignment="1">
      <alignment horizontal="center" vertical="center"/>
    </xf>
    <xf numFmtId="0" fontId="34" fillId="0" borderId="57" xfId="0" applyFont="1" applyBorder="1" applyAlignment="1">
      <alignment horizontal="center" vertical="center"/>
    </xf>
    <xf numFmtId="0" fontId="35" fillId="0" borderId="58" xfId="0" applyFont="1" applyBorder="1" applyAlignment="1">
      <alignment horizontal="center" vertical="center"/>
    </xf>
    <xf numFmtId="0" fontId="34" fillId="0" borderId="59" xfId="0" applyFont="1" applyBorder="1" applyAlignment="1">
      <alignment horizontal="center" vertical="center"/>
    </xf>
    <xf numFmtId="0" fontId="34" fillId="0" borderId="57" xfId="0" applyFont="1" applyBorder="1" applyAlignment="1">
      <alignment vertical="center"/>
    </xf>
    <xf numFmtId="0" fontId="34" fillId="0" borderId="58" xfId="0" applyFont="1" applyBorder="1" applyAlignment="1">
      <alignment horizontal="center" vertical="center"/>
    </xf>
    <xf numFmtId="0" fontId="31" fillId="0" borderId="5" xfId="0" applyFont="1" applyBorder="1" applyAlignment="1">
      <alignment horizontal="center" vertical="center"/>
    </xf>
    <xf numFmtId="0" fontId="31" fillId="0" borderId="5" xfId="0" applyFont="1" applyBorder="1" applyAlignment="1">
      <alignment horizontal="center" vertical="center" wrapText="1"/>
    </xf>
    <xf numFmtId="0" fontId="31" fillId="0" borderId="0" xfId="0" applyFont="1" applyAlignment="1">
      <alignment horizontal="right" vertical="center"/>
    </xf>
    <xf numFmtId="0" fontId="31" fillId="0" borderId="5" xfId="0" applyFont="1" applyBorder="1" applyAlignment="1">
      <alignment horizontal="right" vertical="center"/>
    </xf>
    <xf numFmtId="0" fontId="31" fillId="0" borderId="5" xfId="0" applyFont="1" applyBorder="1" applyAlignment="1">
      <alignment horizontal="right" vertical="center" wrapText="1"/>
    </xf>
    <xf numFmtId="0" fontId="38" fillId="0" borderId="0" xfId="0" applyFont="1" applyAlignment="1">
      <alignment horizontal="left" vertical="center" wrapText="1" readingOrder="1"/>
    </xf>
    <xf numFmtId="9" fontId="44" fillId="18" borderId="63" xfId="3" applyFont="1" applyFill="1" applyBorder="1" applyAlignment="1">
      <alignment horizontal="center" vertical="center" wrapText="1" readingOrder="1"/>
    </xf>
    <xf numFmtId="0" fontId="46" fillId="19" borderId="64" xfId="0" applyFont="1" applyFill="1" applyBorder="1" applyAlignment="1">
      <alignment horizontal="center" vertical="center" wrapText="1" readingOrder="1"/>
    </xf>
    <xf numFmtId="0" fontId="47" fillId="19" borderId="64" xfId="0" applyFont="1" applyFill="1" applyBorder="1" applyAlignment="1">
      <alignment horizontal="center" vertical="center" wrapText="1" readingOrder="1"/>
    </xf>
    <xf numFmtId="0" fontId="46" fillId="20" borderId="65" xfId="0" applyFont="1" applyFill="1" applyBorder="1" applyAlignment="1">
      <alignment horizontal="center" vertical="center" wrapText="1" readingOrder="1"/>
    </xf>
    <xf numFmtId="0" fontId="46" fillId="19" borderId="65" xfId="0" applyFont="1" applyFill="1" applyBorder="1" applyAlignment="1">
      <alignment horizontal="center" vertical="center" wrapText="1" readingOrder="1"/>
    </xf>
    <xf numFmtId="16" fontId="46" fillId="19" borderId="65" xfId="0" applyNumberFormat="1" applyFont="1" applyFill="1" applyBorder="1" applyAlignment="1">
      <alignment horizontal="center" vertical="center" wrapText="1" readingOrder="1"/>
    </xf>
    <xf numFmtId="0" fontId="27" fillId="0" borderId="0" xfId="0" applyFont="1" applyAlignment="1">
      <alignment vertical="center" wrapText="1"/>
    </xf>
    <xf numFmtId="0" fontId="27" fillId="0" borderId="0" xfId="0" applyFont="1" applyAlignment="1">
      <alignment horizontal="center" vertical="center" wrapText="1"/>
    </xf>
    <xf numFmtId="0" fontId="41" fillId="0" borderId="0" xfId="0" applyFont="1" applyAlignment="1">
      <alignment horizontal="left" vertical="center" wrapText="1" readingOrder="1"/>
    </xf>
    <xf numFmtId="9" fontId="44" fillId="0" borderId="0" xfId="0" applyNumberFormat="1" applyFont="1" applyAlignment="1">
      <alignment horizontal="center" vertical="center" wrapText="1"/>
    </xf>
    <xf numFmtId="0" fontId="44" fillId="0" borderId="0" xfId="0" applyFont="1" applyAlignment="1">
      <alignment horizontal="center" vertical="center" wrapText="1"/>
    </xf>
    <xf numFmtId="0" fontId="48" fillId="0" borderId="0" xfId="0" applyFont="1" applyAlignment="1">
      <alignment vertical="center" wrapText="1"/>
    </xf>
    <xf numFmtId="0" fontId="48" fillId="0" borderId="0" xfId="0" applyFont="1" applyAlignment="1">
      <alignment horizontal="left" vertical="center" wrapText="1" readingOrder="1"/>
    </xf>
    <xf numFmtId="0" fontId="45" fillId="18" borderId="62" xfId="0" applyFont="1" applyFill="1" applyBorder="1" applyAlignment="1">
      <alignment horizontal="center" vertical="center" wrapText="1" readingOrder="1"/>
    </xf>
    <xf numFmtId="0" fontId="27" fillId="15" borderId="41" xfId="0" applyFont="1" applyFill="1" applyBorder="1" applyAlignment="1">
      <alignment horizontal="center" vertical="center" wrapText="1"/>
    </xf>
    <xf numFmtId="0" fontId="27" fillId="15" borderId="41" xfId="0" applyFont="1" applyFill="1" applyBorder="1" applyAlignment="1">
      <alignment vertical="center" wrapText="1"/>
    </xf>
    <xf numFmtId="165" fontId="27" fillId="15" borderId="41" xfId="0" applyNumberFormat="1" applyFont="1" applyFill="1" applyBorder="1" applyAlignment="1">
      <alignment horizontal="center" vertical="center" wrapText="1"/>
    </xf>
    <xf numFmtId="0" fontId="27" fillId="0" borderId="41" xfId="0" applyFont="1" applyBorder="1" applyAlignment="1">
      <alignment horizontal="center" vertical="center" wrapText="1"/>
    </xf>
    <xf numFmtId="0" fontId="27" fillId="0" borderId="41" xfId="0" applyFont="1" applyBorder="1" applyAlignment="1">
      <alignment vertical="center" wrapText="1"/>
    </xf>
    <xf numFmtId="165" fontId="27" fillId="0" borderId="41" xfId="0" applyNumberFormat="1" applyFont="1" applyBorder="1" applyAlignment="1">
      <alignment horizontal="center" vertical="center" wrapText="1"/>
    </xf>
    <xf numFmtId="0" fontId="27" fillId="10" borderId="41" xfId="0" applyFont="1" applyFill="1" applyBorder="1" applyAlignment="1">
      <alignment horizontal="center" vertical="center" wrapText="1"/>
    </xf>
    <xf numFmtId="0" fontId="27" fillId="10" borderId="41" xfId="0" applyFont="1" applyFill="1" applyBorder="1" applyAlignment="1">
      <alignment vertical="center" wrapText="1"/>
    </xf>
    <xf numFmtId="0" fontId="27" fillId="12" borderId="41" xfId="0" applyFont="1" applyFill="1" applyBorder="1" applyAlignment="1">
      <alignment horizontal="center" vertical="center" wrapText="1"/>
    </xf>
    <xf numFmtId="165" fontId="27" fillId="10" borderId="41" xfId="0" applyNumberFormat="1" applyFont="1" applyFill="1" applyBorder="1" applyAlignment="1">
      <alignment horizontal="center" vertical="center" wrapText="1"/>
    </xf>
    <xf numFmtId="0" fontId="27" fillId="0" borderId="67" xfId="0" applyFont="1" applyBorder="1" applyAlignment="1">
      <alignment horizontal="center" vertical="center" wrapText="1"/>
    </xf>
    <xf numFmtId="0" fontId="12" fillId="7" borderId="70" xfId="0" applyFont="1" applyFill="1" applyBorder="1" applyAlignment="1">
      <alignment horizontal="center" vertical="center" wrapText="1"/>
    </xf>
    <xf numFmtId="0" fontId="12" fillId="21" borderId="66" xfId="0" applyFont="1" applyFill="1" applyBorder="1" applyAlignment="1">
      <alignment horizontal="center" vertical="center" wrapText="1"/>
    </xf>
    <xf numFmtId="0" fontId="45" fillId="18" borderId="81" xfId="0" applyFont="1" applyFill="1" applyBorder="1" applyAlignment="1">
      <alignment horizontal="center" vertical="center" wrapText="1" readingOrder="1"/>
    </xf>
    <xf numFmtId="0" fontId="46" fillId="20" borderId="0" xfId="0" applyFont="1" applyFill="1" applyAlignment="1">
      <alignment horizontal="center" vertical="center" wrapText="1" readingOrder="1"/>
    </xf>
    <xf numFmtId="0" fontId="47" fillId="0" borderId="0" xfId="0" applyFont="1" applyAlignment="1">
      <alignment horizontal="center" vertical="center"/>
    </xf>
    <xf numFmtId="0" fontId="33" fillId="0" borderId="0" xfId="0" applyFont="1" applyAlignment="1">
      <alignment vertical="center" wrapText="1"/>
    </xf>
    <xf numFmtId="0" fontId="15" fillId="0" borderId="0" xfId="2" applyAlignment="1">
      <alignment vertical="center" wrapText="1"/>
    </xf>
    <xf numFmtId="0" fontId="27" fillId="0" borderId="41" xfId="0" applyFont="1" applyBorder="1" applyAlignment="1">
      <alignment vertical="center"/>
    </xf>
    <xf numFmtId="0" fontId="27" fillId="0" borderId="0" xfId="0" applyFont="1"/>
    <xf numFmtId="0" fontId="27" fillId="0" borderId="0" xfId="0" applyFont="1" applyAlignment="1">
      <alignment horizontal="center" vertical="center"/>
    </xf>
    <xf numFmtId="0" fontId="27" fillId="0" borderId="0" xfId="0" applyFont="1" applyAlignment="1">
      <alignment horizontal="center"/>
    </xf>
    <xf numFmtId="0" fontId="33" fillId="0" borderId="73" xfId="0" applyFont="1" applyBorder="1" applyAlignment="1">
      <alignment horizontal="center" vertical="center" wrapText="1"/>
    </xf>
    <xf numFmtId="0" fontId="33" fillId="21" borderId="73" xfId="0" applyFont="1" applyFill="1" applyBorder="1" applyAlignment="1">
      <alignment horizontal="center" vertical="center" wrapText="1"/>
    </xf>
    <xf numFmtId="0" fontId="33" fillId="0" borderId="78" xfId="0" applyFont="1" applyBorder="1" applyAlignment="1">
      <alignment horizontal="center" vertical="center" wrapText="1"/>
    </xf>
    <xf numFmtId="0" fontId="33" fillId="21" borderId="78" xfId="0" applyFont="1" applyFill="1" applyBorder="1" applyAlignment="1">
      <alignment horizontal="center" vertical="center" wrapText="1"/>
    </xf>
    <xf numFmtId="0" fontId="33" fillId="21" borderId="74" xfId="0" applyFont="1" applyFill="1" applyBorder="1" applyAlignment="1">
      <alignment horizontal="center" vertical="center" wrapText="1"/>
    </xf>
    <xf numFmtId="0" fontId="33" fillId="0" borderId="0" xfId="0" applyFont="1"/>
    <xf numFmtId="0" fontId="45" fillId="18" borderId="0" xfId="0" applyFont="1" applyFill="1" applyAlignment="1">
      <alignment horizontal="center" vertical="center" wrapText="1" readingOrder="1"/>
    </xf>
    <xf numFmtId="0" fontId="21" fillId="7" borderId="29" xfId="0" applyFont="1" applyFill="1" applyBorder="1" applyAlignment="1">
      <alignment horizontal="center" vertical="center" wrapText="1"/>
    </xf>
    <xf numFmtId="0" fontId="12" fillId="13" borderId="21" xfId="0" applyFont="1" applyFill="1" applyBorder="1" applyAlignment="1">
      <alignment horizontal="center" vertical="center" wrapText="1"/>
    </xf>
    <xf numFmtId="0" fontId="12" fillId="13" borderId="0" xfId="0" applyFont="1" applyFill="1" applyAlignment="1">
      <alignment horizontal="center" vertical="center" wrapText="1"/>
    </xf>
    <xf numFmtId="0" fontId="12" fillId="4" borderId="0" xfId="0" applyFont="1" applyFill="1" applyAlignment="1">
      <alignment horizontal="center" vertical="center" wrapText="1"/>
    </xf>
    <xf numFmtId="10" fontId="11" fillId="0" borderId="0" xfId="3" applyNumberFormat="1" applyFont="1" applyAlignment="1">
      <alignment horizontal="center" vertical="center" wrapText="1"/>
    </xf>
    <xf numFmtId="0" fontId="11" fillId="12" borderId="0" xfId="0" applyFont="1" applyFill="1" applyAlignment="1">
      <alignment horizontal="center" vertical="center" wrapText="1"/>
    </xf>
    <xf numFmtId="10" fontId="11" fillId="10" borderId="0" xfId="3" applyNumberFormat="1" applyFont="1" applyFill="1" applyAlignment="1">
      <alignment horizontal="center" vertical="center" wrapText="1"/>
    </xf>
    <xf numFmtId="0" fontId="21" fillId="0" borderId="0" xfId="0" applyFont="1" applyAlignment="1">
      <alignment horizontal="left" vertical="center" wrapText="1"/>
    </xf>
    <xf numFmtId="0" fontId="12" fillId="7" borderId="33" xfId="0" applyFont="1" applyFill="1" applyBorder="1" applyAlignment="1">
      <alignment horizontal="center" vertical="center" wrapText="1"/>
    </xf>
    <xf numFmtId="0" fontId="12" fillId="7" borderId="33" xfId="0" applyFont="1" applyFill="1" applyBorder="1" applyAlignment="1">
      <alignment horizontal="left" vertical="center" wrapText="1"/>
    </xf>
    <xf numFmtId="0" fontId="12" fillId="7" borderId="12" xfId="0" applyFont="1" applyFill="1" applyBorder="1" applyAlignment="1">
      <alignment horizontal="center" vertical="center" wrapText="1"/>
    </xf>
    <xf numFmtId="0" fontId="11" fillId="0" borderId="30" xfId="0" applyFont="1" applyBorder="1" applyAlignment="1">
      <alignment horizontal="center" vertical="center" wrapText="1"/>
    </xf>
    <xf numFmtId="0" fontId="11" fillId="0" borderId="30" xfId="0" applyFont="1" applyBorder="1" applyAlignment="1">
      <alignment horizontal="left" vertical="center" wrapText="1"/>
    </xf>
    <xf numFmtId="0" fontId="21" fillId="7" borderId="23" xfId="0" applyFont="1" applyFill="1" applyBorder="1" applyAlignment="1">
      <alignment horizontal="center" vertical="center"/>
    </xf>
    <xf numFmtId="0" fontId="21" fillId="7" borderId="34" xfId="0" applyFont="1" applyFill="1" applyBorder="1" applyAlignment="1">
      <alignment horizontal="center" vertical="center" wrapText="1"/>
    </xf>
    <xf numFmtId="0" fontId="13" fillId="0" borderId="0" xfId="0" pivotButton="1" applyFont="1" applyAlignment="1">
      <alignment vertical="center" wrapText="1"/>
    </xf>
    <xf numFmtId="0" fontId="13" fillId="0" borderId="17" xfId="0" applyFont="1" applyBorder="1" applyAlignment="1">
      <alignment vertical="center" wrapText="1"/>
    </xf>
    <xf numFmtId="0" fontId="13" fillId="0" borderId="43" xfId="0" applyFont="1" applyBorder="1" applyAlignment="1">
      <alignment horizontal="center" vertical="center" wrapText="1"/>
    </xf>
    <xf numFmtId="0" fontId="13" fillId="0" borderId="42" xfId="0" applyFont="1" applyBorder="1" applyAlignment="1">
      <alignment vertical="center" wrapText="1" indent="1"/>
    </xf>
    <xf numFmtId="0" fontId="13" fillId="0" borderId="44" xfId="0" applyFont="1" applyBorder="1" applyAlignment="1">
      <alignment horizontal="center" vertical="center" wrapText="1"/>
    </xf>
    <xf numFmtId="0" fontId="13" fillId="0" borderId="0" xfId="0" applyFont="1" applyAlignment="1">
      <alignment vertical="center" wrapText="1" indent="1"/>
    </xf>
    <xf numFmtId="0" fontId="13" fillId="0" borderId="38" xfId="0" applyFont="1" applyBorder="1" applyAlignment="1">
      <alignment horizontal="center" vertical="center" wrapText="1"/>
    </xf>
    <xf numFmtId="0" fontId="13" fillId="0" borderId="39" xfId="0" applyFont="1" applyBorder="1" applyAlignment="1">
      <alignment horizontal="center" vertical="center" wrapText="1"/>
    </xf>
    <xf numFmtId="0" fontId="13" fillId="0" borderId="45" xfId="0" applyFont="1" applyBorder="1" applyAlignment="1">
      <alignment horizontal="center" vertical="center" wrapText="1"/>
    </xf>
    <xf numFmtId="0" fontId="13" fillId="0" borderId="46" xfId="0" applyFont="1" applyBorder="1" applyAlignment="1">
      <alignment horizontal="center" vertical="center" wrapText="1"/>
    </xf>
    <xf numFmtId="0" fontId="13" fillId="0" borderId="47" xfId="0" applyFont="1" applyBorder="1" applyAlignment="1">
      <alignment horizontal="center" vertical="center" wrapText="1"/>
    </xf>
    <xf numFmtId="0" fontId="13" fillId="0" borderId="40" xfId="0" applyFont="1" applyBorder="1" applyAlignment="1">
      <alignment horizontal="center" vertical="center" wrapText="1"/>
    </xf>
    <xf numFmtId="0" fontId="13" fillId="0" borderId="48" xfId="0" applyFont="1" applyBorder="1" applyAlignment="1">
      <alignment horizontal="center" vertical="center" wrapText="1"/>
    </xf>
    <xf numFmtId="0" fontId="13" fillId="0" borderId="50" xfId="0" applyFont="1" applyBorder="1" applyAlignment="1">
      <alignment horizontal="center" vertical="center" wrapText="1"/>
    </xf>
    <xf numFmtId="0" fontId="13" fillId="0" borderId="49" xfId="0" applyFont="1" applyBorder="1" applyAlignment="1">
      <alignment horizontal="center" vertical="center" wrapText="1"/>
    </xf>
    <xf numFmtId="0" fontId="13" fillId="0" borderId="43" xfId="0" applyFont="1" applyBorder="1" applyAlignment="1">
      <alignment vertical="center" wrapText="1"/>
    </xf>
    <xf numFmtId="0" fontId="13" fillId="0" borderId="44" xfId="0" applyFont="1" applyBorder="1" applyAlignment="1">
      <alignment vertical="center" wrapText="1"/>
    </xf>
    <xf numFmtId="0" fontId="13" fillId="0" borderId="19" xfId="0" applyFont="1" applyBorder="1" applyAlignment="1">
      <alignment vertical="center" wrapText="1"/>
    </xf>
    <xf numFmtId="0" fontId="13" fillId="0" borderId="19" xfId="0" applyFont="1" applyBorder="1" applyAlignment="1">
      <alignment horizontal="center" vertical="center" wrapText="1"/>
    </xf>
    <xf numFmtId="0" fontId="50" fillId="24" borderId="0" xfId="0" applyFont="1" applyFill="1" applyAlignment="1">
      <alignment horizontal="center" vertical="center"/>
    </xf>
    <xf numFmtId="0" fontId="27" fillId="23" borderId="41" xfId="0" applyFont="1" applyFill="1" applyBorder="1" applyAlignment="1">
      <alignment vertical="center" wrapText="1"/>
    </xf>
    <xf numFmtId="0" fontId="45" fillId="21" borderId="62" xfId="0" applyFont="1" applyFill="1" applyBorder="1" applyAlignment="1">
      <alignment horizontal="center" vertical="center" wrapText="1" readingOrder="1"/>
    </xf>
    <xf numFmtId="0" fontId="45" fillId="21" borderId="0" xfId="0" applyFont="1" applyFill="1" applyAlignment="1">
      <alignment horizontal="center" vertical="center" wrapText="1" readingOrder="1"/>
    </xf>
    <xf numFmtId="0" fontId="27" fillId="22" borderId="41" xfId="0" applyFont="1" applyFill="1" applyBorder="1" applyAlignment="1">
      <alignment vertical="center" wrapText="1"/>
    </xf>
    <xf numFmtId="0" fontId="27" fillId="25" borderId="41" xfId="0" applyFont="1" applyFill="1" applyBorder="1" applyAlignment="1">
      <alignment vertical="center" wrapText="1"/>
    </xf>
    <xf numFmtId="0" fontId="49" fillId="22" borderId="41" xfId="0" applyFont="1" applyFill="1" applyBorder="1" applyAlignment="1">
      <alignment vertical="center" wrapText="1"/>
    </xf>
    <xf numFmtId="0" fontId="49" fillId="23" borderId="41" xfId="0" applyFont="1" applyFill="1" applyBorder="1" applyAlignment="1">
      <alignment vertical="center" wrapText="1"/>
    </xf>
    <xf numFmtId="0" fontId="49" fillId="15" borderId="41" xfId="0" applyFont="1" applyFill="1" applyBorder="1" applyAlignment="1">
      <alignment horizontal="center" vertical="center" wrapText="1"/>
    </xf>
    <xf numFmtId="165" fontId="49" fillId="15" borderId="41" xfId="0" applyNumberFormat="1" applyFont="1" applyFill="1" applyBorder="1" applyAlignment="1">
      <alignment horizontal="center" vertical="center" wrapText="1"/>
    </xf>
    <xf numFmtId="165" fontId="49" fillId="0" borderId="41" xfId="0" applyNumberFormat="1" applyFont="1" applyBorder="1" applyAlignment="1">
      <alignment horizontal="center" vertical="center" wrapText="1"/>
    </xf>
    <xf numFmtId="0" fontId="49" fillId="0" borderId="0" xfId="0" applyFont="1" applyAlignment="1">
      <alignment horizontal="center" vertical="center"/>
    </xf>
    <xf numFmtId="0" fontId="51" fillId="0" borderId="0" xfId="0" applyFont="1" applyAlignment="1">
      <alignment horizontal="center" vertical="center"/>
    </xf>
    <xf numFmtId="0" fontId="49" fillId="0" borderId="41" xfId="0" applyFont="1" applyBorder="1" applyAlignment="1">
      <alignment horizontal="center" vertical="center" wrapText="1"/>
    </xf>
    <xf numFmtId="0" fontId="52" fillId="24" borderId="0" xfId="0" applyFont="1" applyFill="1" applyAlignment="1">
      <alignment horizontal="center" vertical="center"/>
    </xf>
    <xf numFmtId="0" fontId="11" fillId="0" borderId="0" xfId="0" applyFont="1" applyAlignment="1">
      <alignment horizontal="left" vertical="center" wrapText="1"/>
    </xf>
    <xf numFmtId="0" fontId="53" fillId="0" borderId="0" xfId="0" applyFont="1" applyAlignment="1">
      <alignment horizontal="center" vertical="center" wrapText="1"/>
    </xf>
    <xf numFmtId="0" fontId="31" fillId="0" borderId="0" xfId="0" applyFont="1" applyAlignment="1">
      <alignment horizontal="center" vertical="center" wrapText="1"/>
    </xf>
    <xf numFmtId="0" fontId="31" fillId="0" borderId="0" xfId="0" applyFont="1" applyAlignment="1">
      <alignment vertical="center" wrapText="1"/>
    </xf>
    <xf numFmtId="0" fontId="54" fillId="0" borderId="0" xfId="2" applyFont="1" applyAlignment="1">
      <alignment horizontal="center" vertical="center" wrapText="1"/>
    </xf>
    <xf numFmtId="0" fontId="31" fillId="0" borderId="0" xfId="0" applyFont="1"/>
    <xf numFmtId="0" fontId="33" fillId="26" borderId="73" xfId="0" applyFont="1" applyFill="1" applyBorder="1" applyAlignment="1">
      <alignment horizontal="center" vertical="center" wrapText="1"/>
    </xf>
    <xf numFmtId="2" fontId="52" fillId="24" borderId="0" xfId="0" applyNumberFormat="1" applyFont="1" applyFill="1" applyAlignment="1">
      <alignment horizontal="center" vertical="center"/>
    </xf>
    <xf numFmtId="0" fontId="58" fillId="0" borderId="0" xfId="0" applyFont="1" applyAlignment="1">
      <alignment vertical="center" wrapText="1"/>
    </xf>
    <xf numFmtId="0" fontId="58" fillId="0" borderId="0" xfId="0" applyFont="1" applyAlignment="1">
      <alignment horizontal="center" vertical="center" wrapText="1"/>
    </xf>
    <xf numFmtId="0" fontId="27" fillId="27" borderId="41" xfId="0" applyFont="1" applyFill="1" applyBorder="1" applyAlignment="1">
      <alignment vertical="center" wrapText="1"/>
    </xf>
    <xf numFmtId="0" fontId="58" fillId="0" borderId="0" xfId="0" applyFont="1" applyAlignment="1">
      <alignment horizontal="left" vertical="center" wrapText="1"/>
    </xf>
    <xf numFmtId="0" fontId="61" fillId="0" borderId="0" xfId="0" applyFont="1"/>
    <xf numFmtId="0" fontId="33" fillId="0" borderId="0" xfId="0" applyFont="1" applyAlignment="1">
      <alignment horizontal="center" vertical="center"/>
    </xf>
    <xf numFmtId="2" fontId="50" fillId="24" borderId="0" xfId="0" applyNumberFormat="1" applyFont="1" applyFill="1" applyAlignment="1">
      <alignment horizontal="center" vertical="center"/>
    </xf>
    <xf numFmtId="2" fontId="58" fillId="0" borderId="0" xfId="0" applyNumberFormat="1" applyFont="1" applyAlignment="1">
      <alignment horizontal="center" vertical="center" wrapText="1"/>
    </xf>
    <xf numFmtId="0" fontId="59" fillId="7" borderId="41" xfId="0" applyFont="1" applyFill="1" applyBorder="1" applyAlignment="1">
      <alignment horizontal="center" vertical="center" wrapText="1"/>
    </xf>
    <xf numFmtId="0" fontId="56" fillId="7" borderId="41" xfId="0" applyFont="1" applyFill="1" applyBorder="1" applyAlignment="1">
      <alignment horizontal="center" vertical="center" wrapText="1"/>
    </xf>
    <xf numFmtId="9" fontId="60" fillId="0" borderId="41" xfId="3" applyFont="1" applyFill="1" applyBorder="1" applyAlignment="1">
      <alignment horizontal="center" vertical="center" wrapText="1"/>
    </xf>
    <xf numFmtId="1" fontId="60" fillId="0" borderId="41" xfId="3" applyNumberFormat="1" applyFont="1" applyFill="1" applyBorder="1" applyAlignment="1">
      <alignment horizontal="center" vertical="center" wrapText="1"/>
    </xf>
    <xf numFmtId="0" fontId="58" fillId="17" borderId="41" xfId="0" applyFont="1" applyFill="1" applyBorder="1" applyAlignment="1">
      <alignment vertical="center" wrapText="1"/>
    </xf>
    <xf numFmtId="9" fontId="60" fillId="17" borderId="41" xfId="3" applyFont="1" applyFill="1" applyBorder="1" applyAlignment="1">
      <alignment horizontal="center" vertical="center" wrapText="1"/>
    </xf>
    <xf numFmtId="1" fontId="60" fillId="17" borderId="41" xfId="3" applyNumberFormat="1" applyFont="1" applyFill="1" applyBorder="1" applyAlignment="1">
      <alignment horizontal="center" vertical="center" wrapText="1"/>
    </xf>
    <xf numFmtId="0" fontId="58" fillId="17" borderId="41" xfId="0" applyFont="1" applyFill="1" applyBorder="1" applyAlignment="1">
      <alignment horizontal="left" vertical="center" wrapText="1"/>
    </xf>
    <xf numFmtId="0" fontId="63" fillId="0" borderId="41" xfId="2" applyFont="1" applyFill="1" applyBorder="1" applyAlignment="1">
      <alignment horizontal="center" vertical="center" wrapText="1"/>
    </xf>
    <xf numFmtId="0" fontId="58" fillId="0" borderId="41" xfId="0" applyFont="1" applyBorder="1" applyAlignment="1">
      <alignment vertical="center" wrapText="1"/>
    </xf>
    <xf numFmtId="0" fontId="62" fillId="0" borderId="41" xfId="0" applyFont="1" applyBorder="1" applyAlignment="1">
      <alignment vertical="center" wrapText="1"/>
    </xf>
    <xf numFmtId="0" fontId="58" fillId="0" borderId="41" xfId="0" applyFont="1" applyBorder="1" applyAlignment="1">
      <alignment horizontal="center" vertical="center" wrapText="1"/>
    </xf>
    <xf numFmtId="166" fontId="40" fillId="0" borderId="41" xfId="0" applyNumberFormat="1" applyFont="1" applyBorder="1" applyAlignment="1">
      <alignment horizontal="left" vertical="center" wrapText="1"/>
    </xf>
    <xf numFmtId="0" fontId="58" fillId="0" borderId="41" xfId="0" applyFont="1" applyBorder="1" applyAlignment="1">
      <alignment horizontal="left" vertical="center" wrapText="1"/>
    </xf>
    <xf numFmtId="0" fontId="58" fillId="0" borderId="41" xfId="0" applyFont="1" applyBorder="1"/>
    <xf numFmtId="0" fontId="58" fillId="17" borderId="41" xfId="0" applyFont="1" applyFill="1" applyBorder="1" applyAlignment="1">
      <alignment horizontal="center" vertical="center" wrapText="1"/>
    </xf>
    <xf numFmtId="0" fontId="62" fillId="17" borderId="41" xfId="0" applyFont="1" applyFill="1" applyBorder="1" applyAlignment="1">
      <alignment horizontal="left" vertical="center" wrapText="1"/>
    </xf>
    <xf numFmtId="166" fontId="40" fillId="17" borderId="41" xfId="0" applyNumberFormat="1" applyFont="1" applyFill="1" applyBorder="1" applyAlignment="1">
      <alignment horizontal="left" vertical="center" wrapText="1"/>
    </xf>
    <xf numFmtId="0" fontId="63" fillId="17" borderId="41" xfId="2" applyFont="1" applyFill="1" applyBorder="1" applyAlignment="1">
      <alignment horizontal="center" vertical="center" wrapText="1"/>
    </xf>
    <xf numFmtId="0" fontId="62" fillId="17" borderId="41" xfId="0" applyFont="1" applyFill="1" applyBorder="1" applyAlignment="1">
      <alignment vertical="center" wrapText="1"/>
    </xf>
    <xf numFmtId="0" fontId="58" fillId="17" borderId="41" xfId="0" applyFont="1" applyFill="1" applyBorder="1"/>
    <xf numFmtId="0" fontId="64" fillId="0" borderId="0" xfId="0" applyFont="1" applyAlignment="1">
      <alignment vertical="center" wrapText="1"/>
    </xf>
    <xf numFmtId="0" fontId="64" fillId="0" borderId="0" xfId="0" applyFont="1" applyAlignment="1">
      <alignment horizontal="center" vertical="center" wrapText="1"/>
    </xf>
    <xf numFmtId="0" fontId="27" fillId="5" borderId="41" xfId="0" applyFont="1" applyFill="1" applyBorder="1" applyAlignment="1">
      <alignment vertical="center" wrapText="1"/>
    </xf>
    <xf numFmtId="0" fontId="33" fillId="4" borderId="0" xfId="0" applyFont="1" applyFill="1" applyAlignment="1">
      <alignment horizontal="center" vertical="center"/>
    </xf>
    <xf numFmtId="0" fontId="47" fillId="4" borderId="0" xfId="0" applyFont="1" applyFill="1" applyAlignment="1">
      <alignment horizontal="center" vertical="center"/>
    </xf>
    <xf numFmtId="0" fontId="65" fillId="7" borderId="83" xfId="0" applyFont="1" applyFill="1" applyBorder="1" applyAlignment="1">
      <alignment horizontal="center" vertical="center" wrapText="1"/>
    </xf>
    <xf numFmtId="0" fontId="60" fillId="15" borderId="84" xfId="0" applyFont="1" applyFill="1" applyBorder="1" applyAlignment="1">
      <alignment horizontal="left" vertical="center" wrapText="1"/>
    </xf>
    <xf numFmtId="0" fontId="58" fillId="15" borderId="84" xfId="0" applyFont="1" applyFill="1" applyBorder="1" applyAlignment="1">
      <alignment horizontal="center" vertical="center" wrapText="1"/>
    </xf>
    <xf numFmtId="0" fontId="58" fillId="15" borderId="85" xfId="0" applyFont="1" applyFill="1" applyBorder="1" applyAlignment="1">
      <alignment horizontal="center" vertical="center" wrapText="1"/>
    </xf>
    <xf numFmtId="0" fontId="60" fillId="0" borderId="86" xfId="0" applyFont="1" applyBorder="1" applyAlignment="1">
      <alignment horizontal="left" vertical="center" wrapText="1"/>
    </xf>
    <xf numFmtId="0" fontId="58" fillId="0" borderId="86" xfId="0" applyFont="1" applyBorder="1" applyAlignment="1">
      <alignment horizontal="center" vertical="center" wrapText="1"/>
    </xf>
    <xf numFmtId="0" fontId="58" fillId="0" borderId="87" xfId="0" applyFont="1" applyBorder="1" applyAlignment="1">
      <alignment horizontal="center" vertical="center" wrapText="1"/>
    </xf>
    <xf numFmtId="0" fontId="60" fillId="15" borderId="86" xfId="0" applyFont="1" applyFill="1" applyBorder="1" applyAlignment="1">
      <alignment horizontal="left" vertical="center" wrapText="1"/>
    </xf>
    <xf numFmtId="0" fontId="58" fillId="15" borderId="86" xfId="0" applyFont="1" applyFill="1" applyBorder="1" applyAlignment="1">
      <alignment horizontal="center" vertical="center" wrapText="1"/>
    </xf>
    <xf numFmtId="0" fontId="58" fillId="15" borderId="87" xfId="0" applyFont="1" applyFill="1" applyBorder="1" applyAlignment="1">
      <alignment horizontal="center" vertical="center" wrapText="1"/>
    </xf>
    <xf numFmtId="2" fontId="60" fillId="0" borderId="86" xfId="0" applyNumberFormat="1" applyFont="1" applyBorder="1" applyAlignment="1">
      <alignment horizontal="left" vertical="center" wrapText="1"/>
    </xf>
    <xf numFmtId="2" fontId="58" fillId="0" borderId="86" xfId="0" applyNumberFormat="1" applyFont="1" applyBorder="1" applyAlignment="1">
      <alignment horizontal="center" vertical="center" wrapText="1"/>
    </xf>
    <xf numFmtId="2" fontId="58" fillId="0" borderId="87" xfId="0" applyNumberFormat="1" applyFont="1" applyBorder="1" applyAlignment="1">
      <alignment horizontal="center" vertical="center" wrapText="1"/>
    </xf>
    <xf numFmtId="2" fontId="60" fillId="15" borderId="86" xfId="0" applyNumberFormat="1" applyFont="1" applyFill="1" applyBorder="1" applyAlignment="1">
      <alignment horizontal="left" vertical="center" wrapText="1"/>
    </xf>
    <xf numFmtId="2" fontId="58" fillId="15" borderId="86" xfId="0" applyNumberFormat="1" applyFont="1" applyFill="1" applyBorder="1" applyAlignment="1">
      <alignment horizontal="center" vertical="center" wrapText="1"/>
    </xf>
    <xf numFmtId="2" fontId="58" fillId="15" borderId="87" xfId="0" applyNumberFormat="1" applyFont="1" applyFill="1" applyBorder="1" applyAlignment="1">
      <alignment horizontal="center" vertical="center" wrapText="1"/>
    </xf>
    <xf numFmtId="9" fontId="58" fillId="0" borderId="87" xfId="0" applyNumberFormat="1" applyFont="1" applyBorder="1" applyAlignment="1">
      <alignment horizontal="center" vertical="center" wrapText="1"/>
    </xf>
    <xf numFmtId="9" fontId="58" fillId="15" borderId="87" xfId="0" applyNumberFormat="1" applyFont="1" applyFill="1" applyBorder="1" applyAlignment="1">
      <alignment horizontal="center" vertical="center" wrapText="1"/>
    </xf>
    <xf numFmtId="2" fontId="65" fillId="7" borderId="83" xfId="0" applyNumberFormat="1" applyFont="1" applyFill="1" applyBorder="1" applyAlignment="1">
      <alignment horizontal="center" vertical="center" wrapText="1"/>
    </xf>
    <xf numFmtId="1" fontId="65" fillId="7" borderId="83" xfId="0" applyNumberFormat="1" applyFont="1" applyFill="1" applyBorder="1" applyAlignment="1">
      <alignment horizontal="center" vertical="center" wrapText="1"/>
    </xf>
    <xf numFmtId="165" fontId="27" fillId="15" borderId="69" xfId="0" applyNumberFormat="1" applyFont="1" applyFill="1" applyBorder="1" applyAlignment="1">
      <alignment horizontal="center" vertical="center" wrapText="1"/>
    </xf>
    <xf numFmtId="0" fontId="40" fillId="17" borderId="41" xfId="0" applyFont="1" applyFill="1" applyBorder="1" applyAlignment="1">
      <alignment horizontal="center" vertical="center" wrapText="1"/>
    </xf>
    <xf numFmtId="0" fontId="40" fillId="17" borderId="41" xfId="0" applyFont="1" applyFill="1" applyBorder="1" applyAlignment="1">
      <alignment vertical="center" wrapText="1"/>
    </xf>
    <xf numFmtId="9" fontId="38" fillId="17" borderId="41" xfId="3" applyFont="1" applyFill="1" applyBorder="1" applyAlignment="1">
      <alignment horizontal="center" vertical="center" wrapText="1"/>
    </xf>
    <xf numFmtId="1" fontId="38" fillId="17" borderId="41" xfId="3" applyNumberFormat="1" applyFont="1" applyFill="1" applyBorder="1" applyAlignment="1">
      <alignment horizontal="center" vertical="center" wrapText="1"/>
    </xf>
    <xf numFmtId="166" fontId="38" fillId="17" borderId="41" xfId="0" applyNumberFormat="1" applyFont="1" applyFill="1" applyBorder="1" applyAlignment="1">
      <alignment horizontal="center" vertical="center" wrapText="1"/>
    </xf>
    <xf numFmtId="9" fontId="40" fillId="17" borderId="41" xfId="0" applyNumberFormat="1" applyFont="1" applyFill="1" applyBorder="1" applyAlignment="1">
      <alignment horizontal="left" vertical="center" wrapText="1"/>
    </xf>
    <xf numFmtId="166" fontId="38" fillId="17" borderId="41" xfId="0" applyNumberFormat="1" applyFont="1" applyFill="1" applyBorder="1" applyAlignment="1">
      <alignment horizontal="left" vertical="center" wrapText="1"/>
    </xf>
    <xf numFmtId="0" fontId="40" fillId="0" borderId="41" xfId="0" applyFont="1" applyBorder="1" applyAlignment="1">
      <alignment horizontal="center" vertical="center" wrapText="1"/>
    </xf>
    <xf numFmtId="0" fontId="40" fillId="0" borderId="41" xfId="0" applyFont="1" applyBorder="1" applyAlignment="1">
      <alignment vertical="center" wrapText="1"/>
    </xf>
    <xf numFmtId="9" fontId="38" fillId="0" borderId="41" xfId="3" applyFont="1" applyFill="1" applyBorder="1" applyAlignment="1">
      <alignment horizontal="center" vertical="center" wrapText="1"/>
    </xf>
    <xf numFmtId="1" fontId="38" fillId="0" borderId="41" xfId="3" applyNumberFormat="1" applyFont="1" applyFill="1" applyBorder="1" applyAlignment="1">
      <alignment horizontal="center" vertical="center" wrapText="1"/>
    </xf>
    <xf numFmtId="166" fontId="38" fillId="0" borderId="41" xfId="0" applyNumberFormat="1" applyFont="1" applyBorder="1" applyAlignment="1">
      <alignment horizontal="center" vertical="center" wrapText="1"/>
    </xf>
    <xf numFmtId="9" fontId="40" fillId="0" borderId="41" xfId="0" applyNumberFormat="1" applyFont="1" applyBorder="1" applyAlignment="1">
      <alignment horizontal="left" vertical="center" wrapText="1"/>
    </xf>
    <xf numFmtId="166" fontId="38" fillId="0" borderId="41" xfId="0" applyNumberFormat="1" applyFont="1" applyBorder="1" applyAlignment="1">
      <alignment horizontal="left" vertical="center" wrapText="1"/>
    </xf>
    <xf numFmtId="166" fontId="60" fillId="17" borderId="41" xfId="3" applyNumberFormat="1" applyFont="1" applyFill="1" applyBorder="1" applyAlignment="1">
      <alignment horizontal="center" vertical="center" wrapText="1"/>
    </xf>
    <xf numFmtId="166" fontId="60" fillId="17" borderId="41" xfId="3" applyNumberFormat="1" applyFont="1" applyFill="1" applyBorder="1" applyAlignment="1">
      <alignment horizontal="left" vertical="center" wrapText="1"/>
    </xf>
    <xf numFmtId="166" fontId="60" fillId="0" borderId="41" xfId="3" applyNumberFormat="1" applyFont="1" applyFill="1" applyBorder="1" applyAlignment="1">
      <alignment horizontal="center" vertical="center" wrapText="1"/>
    </xf>
    <xf numFmtId="166" fontId="60" fillId="0" borderId="41" xfId="3" applyNumberFormat="1" applyFont="1" applyFill="1" applyBorder="1" applyAlignment="1">
      <alignment horizontal="left" vertical="center" wrapText="1"/>
    </xf>
    <xf numFmtId="166" fontId="58" fillId="0" borderId="41" xfId="3" applyNumberFormat="1" applyFont="1" applyFill="1" applyBorder="1" applyAlignment="1">
      <alignment horizontal="left" vertical="center" wrapText="1"/>
    </xf>
    <xf numFmtId="0" fontId="56" fillId="7" borderId="83" xfId="0" applyFont="1" applyFill="1" applyBorder="1" applyAlignment="1">
      <alignment horizontal="left" vertical="center" wrapText="1"/>
    </xf>
    <xf numFmtId="0" fontId="56" fillId="7" borderId="83" xfId="0" applyFont="1" applyFill="1" applyBorder="1" applyAlignment="1">
      <alignment horizontal="center" vertical="center" wrapText="1"/>
    </xf>
    <xf numFmtId="0" fontId="12" fillId="7" borderId="89" xfId="0" applyFont="1" applyFill="1" applyBorder="1" applyAlignment="1">
      <alignment horizontal="center" vertical="center" wrapText="1"/>
    </xf>
    <xf numFmtId="0" fontId="55" fillId="7" borderId="89" xfId="0" applyFont="1" applyFill="1" applyBorder="1" applyAlignment="1">
      <alignment horizontal="center" vertical="center" wrapText="1"/>
    </xf>
    <xf numFmtId="0" fontId="55" fillId="0" borderId="89" xfId="0" applyFont="1" applyBorder="1" applyAlignment="1">
      <alignment horizontal="center" vertical="center" wrapText="1"/>
    </xf>
    <xf numFmtId="2" fontId="58" fillId="0" borderId="41" xfId="0" applyNumberFormat="1" applyFont="1" applyBorder="1" applyAlignment="1">
      <alignment horizontal="center" vertical="center" wrapText="1"/>
    </xf>
    <xf numFmtId="2" fontId="58" fillId="15" borderId="41" xfId="0" applyNumberFormat="1" applyFont="1" applyFill="1" applyBorder="1" applyAlignment="1">
      <alignment horizontal="center" vertical="center" wrapText="1"/>
    </xf>
    <xf numFmtId="0" fontId="56" fillId="28" borderId="41" xfId="0" applyFont="1" applyFill="1" applyBorder="1" applyAlignment="1">
      <alignment horizontal="center" vertical="center" wrapText="1"/>
    </xf>
    <xf numFmtId="0" fontId="67" fillId="0" borderId="0" xfId="0" applyFont="1" applyAlignment="1">
      <alignment vertical="center" wrapText="1"/>
    </xf>
    <xf numFmtId="0" fontId="56" fillId="28" borderId="88" xfId="0" applyFont="1" applyFill="1" applyBorder="1" applyAlignment="1">
      <alignment horizontal="center" vertical="center" wrapText="1"/>
    </xf>
    <xf numFmtId="0" fontId="56" fillId="28" borderId="90" xfId="0" applyFont="1" applyFill="1" applyBorder="1" applyAlignment="1">
      <alignment horizontal="left" vertical="center" wrapText="1"/>
    </xf>
    <xf numFmtId="0" fontId="60" fillId="15" borderId="90" xfId="0" applyFont="1" applyFill="1" applyBorder="1" applyAlignment="1">
      <alignment horizontal="left" vertical="center" wrapText="1"/>
    </xf>
    <xf numFmtId="0" fontId="60" fillId="0" borderId="90" xfId="0" applyFont="1" applyBorder="1" applyAlignment="1">
      <alignment horizontal="left" vertical="center" wrapText="1"/>
    </xf>
    <xf numFmtId="2" fontId="56" fillId="14" borderId="90" xfId="0" applyNumberFormat="1" applyFont="1" applyFill="1" applyBorder="1" applyAlignment="1">
      <alignment horizontal="left" vertical="center" wrapText="1"/>
    </xf>
    <xf numFmtId="2" fontId="60" fillId="17" borderId="90" xfId="0" applyNumberFormat="1" applyFont="1" applyFill="1" applyBorder="1" applyAlignment="1">
      <alignment horizontal="left" vertical="center" wrapText="1"/>
    </xf>
    <xf numFmtId="2" fontId="60" fillId="0" borderId="90" xfId="0" applyNumberFormat="1" applyFont="1" applyBorder="1" applyAlignment="1">
      <alignment horizontal="left" vertical="center" wrapText="1"/>
    </xf>
    <xf numFmtId="0" fontId="66" fillId="17" borderId="90" xfId="0" applyFont="1" applyFill="1" applyBorder="1" applyAlignment="1">
      <alignment vertical="center" wrapText="1"/>
    </xf>
    <xf numFmtId="2" fontId="60" fillId="15" borderId="90" xfId="0" applyNumberFormat="1" applyFont="1" applyFill="1" applyBorder="1" applyAlignment="1">
      <alignment horizontal="left" vertical="center" wrapText="1"/>
    </xf>
    <xf numFmtId="0" fontId="56" fillId="28" borderId="91" xfId="0" applyFont="1" applyFill="1" applyBorder="1" applyAlignment="1">
      <alignment horizontal="center" vertical="center" wrapText="1"/>
    </xf>
    <xf numFmtId="2" fontId="58" fillId="0" borderId="91" xfId="0" applyNumberFormat="1" applyFont="1" applyBorder="1" applyAlignment="1">
      <alignment horizontal="center" vertical="center" wrapText="1"/>
    </xf>
    <xf numFmtId="2" fontId="58" fillId="15" borderId="91" xfId="0" applyNumberFormat="1" applyFont="1" applyFill="1" applyBorder="1" applyAlignment="1">
      <alignment horizontal="center" vertical="center" wrapText="1"/>
    </xf>
    <xf numFmtId="9" fontId="58" fillId="0" borderId="88" xfId="0" applyNumberFormat="1" applyFont="1" applyBorder="1" applyAlignment="1">
      <alignment horizontal="center" vertical="center" wrapText="1"/>
    </xf>
    <xf numFmtId="9" fontId="58" fillId="15" borderId="88" xfId="0" applyNumberFormat="1" applyFont="1" applyFill="1" applyBorder="1" applyAlignment="1">
      <alignment horizontal="center" vertical="center" wrapText="1"/>
    </xf>
    <xf numFmtId="0" fontId="66" fillId="0" borderId="90" xfId="0" applyFont="1" applyBorder="1" applyAlignment="1">
      <alignment vertical="center" wrapText="1"/>
    </xf>
    <xf numFmtId="0" fontId="45" fillId="26" borderId="81" xfId="0" applyFont="1" applyFill="1" applyBorder="1" applyAlignment="1">
      <alignment horizontal="center" vertical="center" wrapText="1" readingOrder="1"/>
    </xf>
    <xf numFmtId="0" fontId="45" fillId="26" borderId="62" xfId="0" applyFont="1" applyFill="1" applyBorder="1" applyAlignment="1">
      <alignment horizontal="center" vertical="center" wrapText="1" readingOrder="1"/>
    </xf>
    <xf numFmtId="0" fontId="45" fillId="26" borderId="0" xfId="0" applyFont="1" applyFill="1" applyAlignment="1">
      <alignment horizontal="center" vertical="center" wrapText="1" readingOrder="1"/>
    </xf>
    <xf numFmtId="0" fontId="12" fillId="7" borderId="89" xfId="0" applyFont="1" applyFill="1" applyBorder="1" applyAlignment="1">
      <alignment horizontal="left" vertical="center" wrapText="1"/>
    </xf>
    <xf numFmtId="0" fontId="46" fillId="0" borderId="0" xfId="0" applyFont="1" applyAlignment="1">
      <alignment horizontal="center" vertical="center" wrapText="1" readingOrder="1"/>
    </xf>
    <xf numFmtId="0" fontId="12" fillId="7" borderId="94" xfId="0" applyFont="1" applyFill="1" applyBorder="1" applyAlignment="1">
      <alignment horizontal="center" vertical="center" wrapText="1"/>
    </xf>
    <xf numFmtId="0" fontId="55" fillId="7" borderId="93" xfId="0" applyFont="1" applyFill="1" applyBorder="1" applyAlignment="1">
      <alignment horizontal="center" vertical="center" wrapText="1"/>
    </xf>
    <xf numFmtId="0" fontId="55" fillId="26" borderId="93" xfId="0" applyFont="1" applyFill="1" applyBorder="1" applyAlignment="1">
      <alignment horizontal="center" vertical="center" wrapText="1"/>
    </xf>
    <xf numFmtId="0" fontId="55" fillId="13" borderId="93" xfId="0" applyFont="1" applyFill="1" applyBorder="1" applyAlignment="1">
      <alignment horizontal="center" vertical="center" wrapText="1"/>
    </xf>
    <xf numFmtId="0" fontId="45" fillId="21" borderId="95" xfId="0" applyFont="1" applyFill="1" applyBorder="1" applyAlignment="1">
      <alignment horizontal="center" vertical="center" wrapText="1" readingOrder="1"/>
    </xf>
    <xf numFmtId="0" fontId="45" fillId="18" borderId="95" xfId="0" applyFont="1" applyFill="1" applyBorder="1" applyAlignment="1">
      <alignment horizontal="center" vertical="center" wrapText="1" readingOrder="1"/>
    </xf>
    <xf numFmtId="2" fontId="47" fillId="15" borderId="41" xfId="0" applyNumberFormat="1" applyFont="1" applyFill="1" applyBorder="1" applyAlignment="1">
      <alignment horizontal="center" vertical="center"/>
    </xf>
    <xf numFmtId="0" fontId="33" fillId="15" borderId="41" xfId="0" applyFont="1" applyFill="1" applyBorder="1" applyAlignment="1">
      <alignment horizontal="center" vertical="center"/>
    </xf>
    <xf numFmtId="0" fontId="27" fillId="15" borderId="41" xfId="0" applyFont="1" applyFill="1" applyBorder="1" applyAlignment="1">
      <alignment horizontal="center" vertical="center"/>
    </xf>
    <xf numFmtId="2" fontId="47" fillId="0" borderId="41" xfId="0" applyNumberFormat="1" applyFont="1" applyBorder="1" applyAlignment="1">
      <alignment horizontal="center" vertical="center"/>
    </xf>
    <xf numFmtId="0" fontId="33" fillId="0" borderId="41" xfId="0" applyFont="1" applyBorder="1" applyAlignment="1">
      <alignment horizontal="center" vertical="center"/>
    </xf>
    <xf numFmtId="0" fontId="27" fillId="0" borderId="41" xfId="0" applyFont="1" applyBorder="1" applyAlignment="1">
      <alignment horizontal="center" vertical="center"/>
    </xf>
    <xf numFmtId="0" fontId="27" fillId="15" borderId="41" xfId="0" applyFont="1" applyFill="1" applyBorder="1" applyAlignment="1">
      <alignment vertical="center"/>
    </xf>
    <xf numFmtId="0" fontId="33" fillId="4" borderId="41" xfId="0" applyFont="1" applyFill="1" applyBorder="1" applyAlignment="1">
      <alignment horizontal="center" vertical="center"/>
    </xf>
    <xf numFmtId="0" fontId="47" fillId="4" borderId="41" xfId="0" applyFont="1" applyFill="1" applyBorder="1" applyAlignment="1">
      <alignment horizontal="center" vertical="center"/>
    </xf>
    <xf numFmtId="0" fontId="47" fillId="15" borderId="41" xfId="0" applyFont="1" applyFill="1" applyBorder="1" applyAlignment="1">
      <alignment horizontal="center" vertical="center"/>
    </xf>
    <xf numFmtId="0" fontId="47" fillId="0" borderId="41" xfId="0" applyFont="1" applyBorder="1" applyAlignment="1">
      <alignment horizontal="center" vertical="center"/>
    </xf>
    <xf numFmtId="2" fontId="51" fillId="0" borderId="41" xfId="0" applyNumberFormat="1" applyFont="1" applyBorder="1" applyAlignment="1">
      <alignment horizontal="center" vertical="center"/>
    </xf>
    <xf numFmtId="0" fontId="51" fillId="0" borderId="41" xfId="0" applyFont="1" applyBorder="1" applyAlignment="1">
      <alignment horizontal="center" vertical="center"/>
    </xf>
    <xf numFmtId="2" fontId="52" fillId="24" borderId="41" xfId="0" applyNumberFormat="1" applyFont="1" applyFill="1" applyBorder="1" applyAlignment="1">
      <alignment horizontal="center" vertical="center"/>
    </xf>
    <xf numFmtId="0" fontId="52" fillId="24" borderId="41" xfId="0" applyFont="1" applyFill="1" applyBorder="1" applyAlignment="1">
      <alignment horizontal="center" vertical="center"/>
    </xf>
    <xf numFmtId="2" fontId="58" fillId="17" borderId="88" xfId="0" applyNumberFormat="1" applyFont="1" applyFill="1" applyBorder="1" applyAlignment="1">
      <alignment horizontal="center" vertical="center" wrapText="1"/>
    </xf>
    <xf numFmtId="2" fontId="58" fillId="17" borderId="90" xfId="0" applyNumberFormat="1" applyFont="1" applyFill="1" applyBorder="1" applyAlignment="1">
      <alignment horizontal="center" vertical="center" wrapText="1"/>
    </xf>
    <xf numFmtId="2" fontId="58" fillId="0" borderId="88" xfId="0" applyNumberFormat="1" applyFont="1" applyBorder="1" applyAlignment="1">
      <alignment horizontal="center" vertical="center" wrapText="1"/>
    </xf>
    <xf numFmtId="2" fontId="58" fillId="0" borderId="90" xfId="0" applyNumberFormat="1" applyFont="1" applyBorder="1" applyAlignment="1">
      <alignment horizontal="center" vertical="center" wrapText="1"/>
    </xf>
    <xf numFmtId="2" fontId="58" fillId="17" borderId="90" xfId="0" applyNumberFormat="1" applyFont="1" applyFill="1" applyBorder="1" applyAlignment="1">
      <alignment horizontal="center" vertical="center"/>
    </xf>
    <xf numFmtId="2" fontId="58" fillId="0" borderId="90" xfId="0" applyNumberFormat="1" applyFont="1" applyBorder="1" applyAlignment="1">
      <alignment horizontal="center" vertical="center"/>
    </xf>
    <xf numFmtId="1" fontId="58" fillId="17" borderId="88" xfId="0" applyNumberFormat="1" applyFont="1" applyFill="1" applyBorder="1" applyAlignment="1">
      <alignment horizontal="center" vertical="center" wrapText="1"/>
    </xf>
    <xf numFmtId="1" fontId="58" fillId="0" borderId="88" xfId="0" applyNumberFormat="1" applyFont="1" applyBorder="1" applyAlignment="1">
      <alignment horizontal="center" vertical="center" wrapText="1"/>
    </xf>
    <xf numFmtId="0" fontId="40" fillId="15" borderId="41" xfId="0" applyFont="1" applyFill="1" applyBorder="1" applyAlignment="1">
      <alignment vertical="center" wrapText="1"/>
    </xf>
    <xf numFmtId="9" fontId="38" fillId="15" borderId="41" xfId="3" applyFont="1" applyFill="1" applyBorder="1" applyAlignment="1">
      <alignment horizontal="center" vertical="center" wrapText="1"/>
    </xf>
    <xf numFmtId="9" fontId="44" fillId="18" borderId="0" xfId="3" applyFont="1" applyFill="1" applyBorder="1" applyAlignment="1">
      <alignment horizontal="center" vertical="center" wrapText="1" readingOrder="1"/>
    </xf>
    <xf numFmtId="0" fontId="46" fillId="19" borderId="0" xfId="0" applyFont="1" applyFill="1" applyAlignment="1">
      <alignment horizontal="center" vertical="center" wrapText="1" readingOrder="1"/>
    </xf>
    <xf numFmtId="9" fontId="44" fillId="0" borderId="0" xfId="3" applyFont="1" applyFill="1" applyBorder="1" applyAlignment="1">
      <alignment horizontal="center" vertical="center" wrapText="1" readingOrder="1"/>
    </xf>
    <xf numFmtId="0" fontId="47" fillId="0" borderId="0" xfId="0" applyFont="1" applyAlignment="1">
      <alignment horizontal="center" vertical="center" wrapText="1" readingOrder="1"/>
    </xf>
    <xf numFmtId="0" fontId="38" fillId="15" borderId="41" xfId="0" applyFont="1" applyFill="1" applyBorder="1" applyAlignment="1">
      <alignment horizontal="center" vertical="center" wrapText="1"/>
    </xf>
    <xf numFmtId="0" fontId="68" fillId="0" borderId="0" xfId="0" applyFont="1" applyAlignment="1">
      <alignment vertical="center" wrapText="1"/>
    </xf>
    <xf numFmtId="0" fontId="68" fillId="0" borderId="0" xfId="0" applyFont="1" applyAlignment="1">
      <alignment horizontal="center" vertical="center" wrapText="1"/>
    </xf>
    <xf numFmtId="0" fontId="70" fillId="7" borderId="0" xfId="0" applyFont="1" applyFill="1" applyAlignment="1">
      <alignment horizontal="center" vertical="center" wrapText="1"/>
    </xf>
    <xf numFmtId="0" fontId="70" fillId="7" borderId="0" xfId="0" applyFont="1" applyFill="1" applyAlignment="1">
      <alignment vertical="center" wrapText="1"/>
    </xf>
    <xf numFmtId="2" fontId="68" fillId="0" borderId="0" xfId="0" applyNumberFormat="1" applyFont="1" applyAlignment="1">
      <alignment horizontal="center" vertical="center" wrapText="1"/>
    </xf>
    <xf numFmtId="2" fontId="69" fillId="0" borderId="0" xfId="0" applyNumberFormat="1" applyFont="1" applyAlignment="1">
      <alignment horizontal="center" vertical="center" wrapText="1"/>
    </xf>
    <xf numFmtId="0" fontId="70" fillId="14" borderId="0" xfId="0" applyFont="1" applyFill="1" applyAlignment="1">
      <alignment horizontal="center" vertical="center" wrapText="1"/>
    </xf>
    <xf numFmtId="2" fontId="70" fillId="7" borderId="0" xfId="0" applyNumberFormat="1" applyFont="1" applyFill="1" applyAlignment="1">
      <alignment horizontal="center" vertical="center" wrapText="1"/>
    </xf>
    <xf numFmtId="0" fontId="47" fillId="19" borderId="0" xfId="0" applyFont="1" applyFill="1" applyAlignment="1">
      <alignment horizontal="center" vertical="center" wrapText="1" readingOrder="1"/>
    </xf>
    <xf numFmtId="0" fontId="27" fillId="29" borderId="67" xfId="0" applyFont="1" applyFill="1" applyBorder="1" applyAlignment="1">
      <alignment horizontal="center" vertical="center" wrapText="1"/>
    </xf>
    <xf numFmtId="0" fontId="68" fillId="0" borderId="67" xfId="0" applyFont="1" applyBorder="1" applyAlignment="1">
      <alignment horizontal="center" vertical="center" wrapText="1"/>
    </xf>
    <xf numFmtId="0" fontId="46" fillId="31" borderId="15" xfId="0" applyFont="1" applyFill="1" applyBorder="1" applyAlignment="1">
      <alignment vertical="center" wrapText="1"/>
    </xf>
    <xf numFmtId="0" fontId="46" fillId="0" borderId="15" xfId="0" applyFont="1" applyBorder="1" applyAlignment="1">
      <alignment vertical="center" wrapText="1"/>
    </xf>
    <xf numFmtId="0" fontId="49" fillId="31" borderId="15" xfId="0" applyFont="1" applyFill="1" applyBorder="1" applyAlignment="1">
      <alignment vertical="center" wrapText="1"/>
    </xf>
    <xf numFmtId="0" fontId="46" fillId="0" borderId="15" xfId="0" applyFont="1" applyBorder="1" applyAlignment="1">
      <alignment vertical="center"/>
    </xf>
    <xf numFmtId="0" fontId="49" fillId="0" borderId="15" xfId="0" applyFont="1" applyBorder="1" applyAlignment="1">
      <alignment vertical="center" wrapText="1"/>
    </xf>
    <xf numFmtId="0" fontId="46" fillId="32" borderId="15" xfId="0" applyFont="1" applyFill="1" applyBorder="1" applyAlignment="1">
      <alignment vertical="center" wrapText="1"/>
    </xf>
    <xf numFmtId="0" fontId="46" fillId="31" borderId="15" xfId="0" applyFont="1" applyFill="1" applyBorder="1" applyAlignment="1">
      <alignment horizontal="center" vertical="center" wrapText="1"/>
    </xf>
    <xf numFmtId="0" fontId="46" fillId="0" borderId="15" xfId="0" applyFont="1" applyBorder="1" applyAlignment="1">
      <alignment horizontal="center" vertical="center" wrapText="1"/>
    </xf>
    <xf numFmtId="0" fontId="49" fillId="31" borderId="15" xfId="0" applyFont="1" applyFill="1" applyBorder="1" applyAlignment="1">
      <alignment horizontal="center" vertical="center" wrapText="1"/>
    </xf>
    <xf numFmtId="0" fontId="49" fillId="0" borderId="15" xfId="0" applyFont="1" applyBorder="1" applyAlignment="1">
      <alignment horizontal="center" vertical="center" wrapText="1"/>
    </xf>
    <xf numFmtId="0" fontId="46" fillId="32" borderId="15" xfId="0" applyFont="1" applyFill="1" applyBorder="1" applyAlignment="1">
      <alignment horizontal="center" vertical="center" wrapText="1"/>
    </xf>
    <xf numFmtId="0" fontId="46" fillId="31" borderId="14" xfId="0" applyFont="1" applyFill="1" applyBorder="1" applyAlignment="1">
      <alignment horizontal="center" vertical="center" wrapText="1"/>
    </xf>
    <xf numFmtId="0" fontId="46" fillId="0" borderId="14" xfId="0" applyFont="1" applyBorder="1" applyAlignment="1">
      <alignment horizontal="center" vertical="center" wrapText="1"/>
    </xf>
    <xf numFmtId="0" fontId="49" fillId="31" borderId="14" xfId="0" applyFont="1" applyFill="1" applyBorder="1" applyAlignment="1">
      <alignment horizontal="center" vertical="center" wrapText="1"/>
    </xf>
    <xf numFmtId="0" fontId="49" fillId="0" borderId="14" xfId="0" applyFont="1" applyBorder="1" applyAlignment="1">
      <alignment horizontal="center" vertical="center" wrapText="1"/>
    </xf>
    <xf numFmtId="0" fontId="22" fillId="30" borderId="15" xfId="0" applyFont="1" applyFill="1" applyBorder="1" applyAlignment="1">
      <alignment horizontal="center" vertical="center" wrapText="1"/>
    </xf>
    <xf numFmtId="0" fontId="46" fillId="32" borderId="15" xfId="0" quotePrefix="1" applyFont="1" applyFill="1" applyBorder="1" applyAlignment="1">
      <alignment horizontal="center" vertical="center" wrapText="1"/>
    </xf>
    <xf numFmtId="0" fontId="22" fillId="13" borderId="15" xfId="0" applyFont="1" applyFill="1" applyBorder="1" applyAlignment="1">
      <alignment horizontal="center" vertical="center" wrapText="1"/>
    </xf>
    <xf numFmtId="0" fontId="27" fillId="29" borderId="0" xfId="0" applyFont="1" applyFill="1" applyAlignment="1">
      <alignment horizontal="center" vertical="center"/>
    </xf>
    <xf numFmtId="0" fontId="27" fillId="15" borderId="96" xfId="0" applyFont="1" applyFill="1" applyBorder="1" applyAlignment="1">
      <alignment horizontal="center" vertical="center" wrapText="1"/>
    </xf>
    <xf numFmtId="0" fontId="49" fillId="22" borderId="96" xfId="0" applyFont="1" applyFill="1" applyBorder="1" applyAlignment="1">
      <alignment vertical="center" wrapText="1"/>
    </xf>
    <xf numFmtId="0" fontId="11" fillId="15" borderId="96" xfId="0" applyFont="1" applyFill="1" applyBorder="1" applyAlignment="1">
      <alignment horizontal="center" vertical="center" wrapText="1"/>
    </xf>
    <xf numFmtId="0" fontId="27" fillId="0" borderId="96" xfId="0" applyFont="1" applyBorder="1" applyAlignment="1">
      <alignment horizontal="center" vertical="center" wrapText="1"/>
    </xf>
    <xf numFmtId="0" fontId="27" fillId="0" borderId="96" xfId="0" applyFont="1" applyBorder="1" applyAlignment="1">
      <alignment vertical="center" wrapText="1"/>
    </xf>
    <xf numFmtId="0" fontId="11" fillId="0" borderId="96" xfId="0" applyFont="1" applyBorder="1" applyAlignment="1">
      <alignment horizontal="center" vertical="center" wrapText="1"/>
    </xf>
    <xf numFmtId="0" fontId="27" fillId="22" borderId="96" xfId="0" applyFont="1" applyFill="1" applyBorder="1" applyAlignment="1">
      <alignment vertical="center" wrapText="1"/>
    </xf>
    <xf numFmtId="0" fontId="27" fillId="15" borderId="96" xfId="0" applyFont="1" applyFill="1" applyBorder="1" applyAlignment="1">
      <alignment vertical="center" wrapText="1"/>
    </xf>
    <xf numFmtId="0" fontId="49" fillId="23" borderId="96" xfId="0" applyFont="1" applyFill="1" applyBorder="1" applyAlignment="1">
      <alignment vertical="center" wrapText="1"/>
    </xf>
    <xf numFmtId="0" fontId="49" fillId="15" borderId="96" xfId="0" applyFont="1" applyFill="1" applyBorder="1" applyAlignment="1">
      <alignment horizontal="center" vertical="center" wrapText="1"/>
    </xf>
    <xf numFmtId="0" fontId="27" fillId="27" borderId="96" xfId="0" applyFont="1" applyFill="1" applyBorder="1" applyAlignment="1">
      <alignment vertical="center" wrapText="1"/>
    </xf>
    <xf numFmtId="0" fontId="27" fillId="23" borderId="96" xfId="0" applyFont="1" applyFill="1" applyBorder="1" applyAlignment="1">
      <alignment vertical="center" wrapText="1"/>
    </xf>
    <xf numFmtId="0" fontId="27" fillId="25" borderId="96" xfId="0" applyFont="1" applyFill="1" applyBorder="1" applyAlignment="1">
      <alignment vertical="center" wrapText="1"/>
    </xf>
    <xf numFmtId="0" fontId="27" fillId="10" borderId="96" xfId="0" applyFont="1" applyFill="1" applyBorder="1" applyAlignment="1">
      <alignment horizontal="center" vertical="center" wrapText="1"/>
    </xf>
    <xf numFmtId="0" fontId="27" fillId="10" borderId="96" xfId="0" applyFont="1" applyFill="1" applyBorder="1" applyAlignment="1">
      <alignment vertical="center" wrapText="1"/>
    </xf>
    <xf numFmtId="0" fontId="11" fillId="10" borderId="96" xfId="0" applyFont="1" applyFill="1" applyBorder="1" applyAlignment="1">
      <alignment horizontal="center" vertical="center" wrapText="1"/>
    </xf>
    <xf numFmtId="0" fontId="27" fillId="12" borderId="96" xfId="0" applyFont="1" applyFill="1" applyBorder="1" applyAlignment="1">
      <alignment horizontal="center" vertical="center" wrapText="1"/>
    </xf>
    <xf numFmtId="0" fontId="12" fillId="7" borderId="9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7" fillId="15" borderId="98" xfId="0" applyFont="1" applyFill="1" applyBorder="1" applyAlignment="1">
      <alignment vertical="center" wrapText="1"/>
    </xf>
    <xf numFmtId="0" fontId="11" fillId="15" borderId="98" xfId="0" applyFont="1" applyFill="1" applyBorder="1" applyAlignment="1">
      <alignment horizontal="center" vertical="center" wrapText="1"/>
    </xf>
    <xf numFmtId="0" fontId="12" fillId="7" borderId="99" xfId="0" applyFont="1" applyFill="1" applyBorder="1" applyAlignment="1">
      <alignment horizontal="center" vertical="center" wrapText="1"/>
    </xf>
    <xf numFmtId="0" fontId="27" fillId="15" borderId="100" xfId="0" applyFont="1" applyFill="1" applyBorder="1" applyAlignment="1">
      <alignment horizontal="center" vertical="center" wrapText="1"/>
    </xf>
    <xf numFmtId="0" fontId="27" fillId="0" borderId="100" xfId="0" applyFont="1" applyBorder="1" applyAlignment="1">
      <alignment horizontal="center" vertical="center" wrapText="1"/>
    </xf>
    <xf numFmtId="0" fontId="27" fillId="10" borderId="100" xfId="0" applyFont="1" applyFill="1" applyBorder="1" applyAlignment="1">
      <alignment horizontal="center" vertical="center" wrapText="1"/>
    </xf>
    <xf numFmtId="0" fontId="27" fillId="15" borderId="101" xfId="0" applyFont="1" applyFill="1" applyBorder="1" applyAlignment="1">
      <alignment horizontal="center" vertical="center" wrapText="1"/>
    </xf>
    <xf numFmtId="0" fontId="27" fillId="15" borderId="103" xfId="0" applyFont="1" applyFill="1" applyBorder="1" applyAlignment="1">
      <alignment horizontal="center" vertical="center" wrapText="1"/>
    </xf>
    <xf numFmtId="0" fontId="27" fillId="29" borderId="103" xfId="0" applyFont="1" applyFill="1" applyBorder="1" applyAlignment="1">
      <alignment horizontal="center" vertical="center" wrapText="1"/>
    </xf>
    <xf numFmtId="0" fontId="27" fillId="0" borderId="103" xfId="0" applyFont="1" applyBorder="1" applyAlignment="1">
      <alignment horizontal="center" vertical="center" wrapText="1"/>
    </xf>
    <xf numFmtId="0" fontId="49" fillId="0" borderId="103" xfId="0" applyFont="1" applyBorder="1" applyAlignment="1">
      <alignment horizontal="center" vertical="center" wrapText="1"/>
    </xf>
    <xf numFmtId="0" fontId="49" fillId="15" borderId="103" xfId="0" applyFont="1" applyFill="1" applyBorder="1" applyAlignment="1">
      <alignment horizontal="center" vertical="center" wrapText="1"/>
    </xf>
    <xf numFmtId="0" fontId="49" fillId="29" borderId="103" xfId="0" applyFont="1" applyFill="1" applyBorder="1" applyAlignment="1">
      <alignment horizontal="center" vertical="center" wrapText="1"/>
    </xf>
    <xf numFmtId="0" fontId="68" fillId="15" borderId="103" xfId="0" applyFont="1" applyFill="1" applyBorder="1" applyAlignment="1">
      <alignment horizontal="center" vertical="center" wrapText="1"/>
    </xf>
    <xf numFmtId="0" fontId="27" fillId="29" borderId="104" xfId="0" applyFont="1" applyFill="1" applyBorder="1" applyAlignment="1">
      <alignment horizontal="center" vertical="center" wrapText="1"/>
    </xf>
    <xf numFmtId="0" fontId="71" fillId="0" borderId="67" xfId="0" applyFont="1" applyBorder="1" applyAlignment="1">
      <alignment horizontal="center" vertical="center" wrapText="1"/>
    </xf>
    <xf numFmtId="0" fontId="33" fillId="13" borderId="73" xfId="0" applyFont="1" applyFill="1" applyBorder="1" applyAlignment="1">
      <alignment horizontal="center" vertical="center" wrapText="1"/>
    </xf>
    <xf numFmtId="0" fontId="46" fillId="12" borderId="15" xfId="0" applyFont="1" applyFill="1" applyBorder="1" applyAlignment="1">
      <alignment horizontal="center" vertical="center" wrapText="1"/>
    </xf>
    <xf numFmtId="0" fontId="46" fillId="12" borderId="15" xfId="0" applyFont="1" applyFill="1" applyBorder="1" applyAlignment="1">
      <alignment vertical="center" wrapText="1"/>
    </xf>
    <xf numFmtId="0" fontId="46" fillId="12" borderId="15" xfId="0" quotePrefix="1" applyFont="1" applyFill="1" applyBorder="1" applyAlignment="1">
      <alignment horizontal="center" vertical="center" wrapText="1"/>
    </xf>
    <xf numFmtId="0" fontId="27" fillId="12" borderId="67" xfId="0" applyFont="1" applyFill="1" applyBorder="1" applyAlignment="1">
      <alignment horizontal="center" vertical="center" wrapText="1"/>
    </xf>
    <xf numFmtId="0" fontId="46" fillId="12" borderId="14" xfId="0" applyFont="1" applyFill="1" applyBorder="1" applyAlignment="1">
      <alignment horizontal="center" vertical="center" wrapText="1"/>
    </xf>
    <xf numFmtId="0" fontId="46" fillId="12" borderId="12" xfId="0" applyFont="1" applyFill="1" applyBorder="1" applyAlignment="1">
      <alignment horizontal="center" vertical="center" wrapText="1"/>
    </xf>
    <xf numFmtId="0" fontId="46" fillId="12" borderId="12" xfId="0" applyFont="1" applyFill="1" applyBorder="1" applyAlignment="1">
      <alignment vertical="center" wrapText="1"/>
    </xf>
    <xf numFmtId="0" fontId="46" fillId="12" borderId="12" xfId="0" quotePrefix="1" applyFont="1" applyFill="1" applyBorder="1" applyAlignment="1">
      <alignment horizontal="center" vertical="center" wrapText="1"/>
    </xf>
    <xf numFmtId="0" fontId="27" fillId="12" borderId="68" xfId="0" applyFont="1" applyFill="1" applyBorder="1" applyAlignment="1">
      <alignment horizontal="center" vertical="center" wrapText="1"/>
    </xf>
    <xf numFmtId="0" fontId="46" fillId="12" borderId="0" xfId="0" applyFont="1" applyFill="1" applyAlignment="1">
      <alignment horizontal="center" vertical="center" wrapText="1"/>
    </xf>
    <xf numFmtId="0" fontId="27" fillId="12" borderId="0" xfId="0" applyFont="1" applyFill="1" applyAlignment="1">
      <alignment horizontal="center" vertical="center"/>
    </xf>
    <xf numFmtId="0" fontId="27" fillId="12" borderId="72" xfId="0" applyFont="1" applyFill="1" applyBorder="1" applyAlignment="1">
      <alignment horizontal="center" vertical="center"/>
    </xf>
    <xf numFmtId="0" fontId="22" fillId="24" borderId="15"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55" fillId="13" borderId="102" xfId="0" applyFont="1" applyFill="1" applyBorder="1" applyAlignment="1">
      <alignment horizontal="center" vertical="center" wrapText="1"/>
    </xf>
    <xf numFmtId="0" fontId="69" fillId="0" borderId="0" xfId="0" applyFont="1" applyAlignment="1">
      <alignment horizontal="center" vertical="center" wrapText="1"/>
    </xf>
    <xf numFmtId="0" fontId="49" fillId="0" borderId="41" xfId="0" applyFont="1" applyBorder="1" applyAlignment="1">
      <alignment vertical="center" wrapText="1"/>
    </xf>
    <xf numFmtId="0" fontId="27" fillId="0" borderId="71" xfId="0" applyFont="1" applyBorder="1" applyAlignment="1">
      <alignment horizontal="center" vertical="center" wrapText="1"/>
    </xf>
    <xf numFmtId="165" fontId="27" fillId="0" borderId="71" xfId="0" applyNumberFormat="1" applyFont="1" applyBorder="1" applyAlignment="1">
      <alignment horizontal="center" vertical="center" wrapText="1"/>
    </xf>
    <xf numFmtId="165" fontId="33" fillId="0" borderId="71" xfId="0" applyNumberFormat="1" applyFont="1" applyBorder="1" applyAlignment="1">
      <alignment horizontal="center" vertical="center" wrapText="1"/>
    </xf>
    <xf numFmtId="0" fontId="46" fillId="0" borderId="79" xfId="0" applyFont="1" applyBorder="1" applyAlignment="1">
      <alignment horizontal="center" vertical="center"/>
    </xf>
    <xf numFmtId="0" fontId="46" fillId="0" borderId="0" xfId="0" applyFont="1" applyAlignment="1">
      <alignment horizontal="center" vertical="center"/>
    </xf>
    <xf numFmtId="2" fontId="47" fillId="0" borderId="79" xfId="0" applyNumberFormat="1" applyFont="1" applyBorder="1" applyAlignment="1">
      <alignment horizontal="center" vertical="center"/>
    </xf>
    <xf numFmtId="1" fontId="47" fillId="0" borderId="75" xfId="0" applyNumberFormat="1" applyFont="1" applyBorder="1" applyAlignment="1">
      <alignment horizontal="center" vertical="center"/>
    </xf>
    <xf numFmtId="2" fontId="46" fillId="0" borderId="0" xfId="0" applyNumberFormat="1" applyFont="1" applyAlignment="1">
      <alignment horizontal="center" vertical="center"/>
    </xf>
    <xf numFmtId="2" fontId="47" fillId="0" borderId="0" xfId="0" applyNumberFormat="1" applyFont="1" applyAlignment="1">
      <alignment horizontal="center" vertical="center"/>
    </xf>
    <xf numFmtId="0" fontId="49" fillId="0" borderId="71" xfId="0" applyFont="1" applyBorder="1" applyAlignment="1">
      <alignment horizontal="center" vertical="center" wrapText="1"/>
    </xf>
    <xf numFmtId="0" fontId="49" fillId="0" borderId="67" xfId="0" applyFont="1" applyBorder="1" applyAlignment="1">
      <alignment horizontal="center" vertical="center" wrapText="1"/>
    </xf>
    <xf numFmtId="165" fontId="49" fillId="0" borderId="71" xfId="0" applyNumberFormat="1" applyFont="1" applyBorder="1" applyAlignment="1">
      <alignment horizontal="center" vertical="center" wrapText="1"/>
    </xf>
    <xf numFmtId="165" fontId="51" fillId="0" borderId="71" xfId="0" applyNumberFormat="1" applyFont="1" applyBorder="1" applyAlignment="1">
      <alignment horizontal="center" vertical="center" wrapText="1"/>
    </xf>
    <xf numFmtId="0" fontId="49" fillId="0" borderId="0" xfId="0" applyFont="1" applyAlignment="1">
      <alignment horizontal="center" vertical="center" wrapText="1"/>
    </xf>
    <xf numFmtId="0" fontId="49" fillId="0" borderId="79" xfId="0" applyFont="1" applyBorder="1" applyAlignment="1">
      <alignment horizontal="center" vertical="center"/>
    </xf>
    <xf numFmtId="2" fontId="51" fillId="0" borderId="79" xfId="0" applyNumberFormat="1" applyFont="1" applyBorder="1" applyAlignment="1">
      <alignment horizontal="center" vertical="center"/>
    </xf>
    <xf numFmtId="1" fontId="51" fillId="0" borderId="75" xfId="0" applyNumberFormat="1" applyFont="1" applyBorder="1" applyAlignment="1">
      <alignment horizontal="center" vertical="center"/>
    </xf>
    <xf numFmtId="2" fontId="49" fillId="0" borderId="0" xfId="0" applyNumberFormat="1" applyFont="1" applyAlignment="1">
      <alignment horizontal="center" vertical="center"/>
    </xf>
    <xf numFmtId="2" fontId="51" fillId="0" borderId="0" xfId="0" applyNumberFormat="1" applyFont="1" applyAlignment="1">
      <alignment horizontal="center" vertical="center"/>
    </xf>
    <xf numFmtId="0" fontId="27" fillId="33" borderId="41" xfId="0" applyFont="1" applyFill="1" applyBorder="1" applyAlignment="1">
      <alignment horizontal="center" vertical="center" wrapText="1"/>
    </xf>
    <xf numFmtId="0" fontId="27" fillId="33" borderId="41" xfId="0" applyFont="1" applyFill="1" applyBorder="1" applyAlignment="1">
      <alignment vertical="center" wrapText="1"/>
    </xf>
    <xf numFmtId="0" fontId="27" fillId="12" borderId="41" xfId="0" applyFont="1" applyFill="1" applyBorder="1" applyAlignment="1">
      <alignment vertical="center" wrapText="1"/>
    </xf>
    <xf numFmtId="0" fontId="27" fillId="12" borderId="71" xfId="0" applyFont="1" applyFill="1" applyBorder="1" applyAlignment="1">
      <alignment horizontal="center" vertical="center" wrapText="1"/>
    </xf>
    <xf numFmtId="165" fontId="27" fillId="12" borderId="41" xfId="0" applyNumberFormat="1" applyFont="1" applyFill="1" applyBorder="1" applyAlignment="1">
      <alignment horizontal="center" vertical="center" wrapText="1"/>
    </xf>
    <xf numFmtId="165" fontId="27" fillId="12" borderId="71" xfId="0" applyNumberFormat="1" applyFont="1" applyFill="1" applyBorder="1" applyAlignment="1">
      <alignment horizontal="center" vertical="center" wrapText="1"/>
    </xf>
    <xf numFmtId="165" fontId="33" fillId="12" borderId="71" xfId="0" applyNumberFormat="1" applyFont="1" applyFill="1" applyBorder="1" applyAlignment="1">
      <alignment horizontal="center" vertical="center" wrapText="1"/>
    </xf>
    <xf numFmtId="0" fontId="27" fillId="12" borderId="0" xfId="0" applyFont="1" applyFill="1" applyAlignment="1">
      <alignment horizontal="center" vertical="center" wrapText="1"/>
    </xf>
    <xf numFmtId="0" fontId="46" fillId="12" borderId="79" xfId="0" applyFont="1" applyFill="1" applyBorder="1" applyAlignment="1">
      <alignment horizontal="center" vertical="center"/>
    </xf>
    <xf numFmtId="0" fontId="46" fillId="12" borderId="0" xfId="0" applyFont="1" applyFill="1" applyAlignment="1">
      <alignment horizontal="center" vertical="center"/>
    </xf>
    <xf numFmtId="0" fontId="47" fillId="12" borderId="0" xfId="0" applyFont="1" applyFill="1" applyAlignment="1">
      <alignment horizontal="center" vertical="center"/>
    </xf>
    <xf numFmtId="2" fontId="47" fillId="12" borderId="79" xfId="0" applyNumberFormat="1" applyFont="1" applyFill="1" applyBorder="1" applyAlignment="1">
      <alignment horizontal="center" vertical="center"/>
    </xf>
    <xf numFmtId="1" fontId="47" fillId="12" borderId="75" xfId="0" applyNumberFormat="1" applyFont="1" applyFill="1" applyBorder="1" applyAlignment="1">
      <alignment horizontal="center" vertical="center"/>
    </xf>
    <xf numFmtId="0" fontId="27" fillId="33" borderId="71" xfId="0" applyFont="1" applyFill="1" applyBorder="1" applyAlignment="1">
      <alignment horizontal="center" vertical="center" wrapText="1"/>
    </xf>
    <xf numFmtId="0" fontId="56" fillId="28" borderId="92" xfId="0" applyFont="1" applyFill="1" applyBorder="1" applyAlignment="1">
      <alignment horizontal="center" vertical="center" wrapText="1"/>
    </xf>
    <xf numFmtId="2" fontId="56" fillId="14" borderId="88" xfId="0" applyNumberFormat="1" applyFont="1" applyFill="1" applyBorder="1" applyAlignment="1">
      <alignment horizontal="center" vertical="center" wrapText="1"/>
    </xf>
    <xf numFmtId="2" fontId="56" fillId="14" borderId="90" xfId="0" applyNumberFormat="1" applyFont="1" applyFill="1" applyBorder="1" applyAlignment="1">
      <alignment horizontal="center" vertical="center" wrapText="1"/>
    </xf>
    <xf numFmtId="2" fontId="56" fillId="14" borderId="92" xfId="0" applyNumberFormat="1" applyFont="1" applyFill="1" applyBorder="1" applyAlignment="1">
      <alignment horizontal="center" vertical="center" wrapText="1"/>
    </xf>
    <xf numFmtId="0" fontId="0" fillId="0" borderId="0" xfId="0" applyFill="1"/>
    <xf numFmtId="0" fontId="58" fillId="15" borderId="92" xfId="0" applyFont="1" applyFill="1" applyBorder="1" applyAlignment="1">
      <alignment horizontal="center" vertical="center" wrapText="1"/>
    </xf>
    <xf numFmtId="0" fontId="58" fillId="0" borderId="92" xfId="0" applyFont="1" applyBorder="1" applyAlignment="1">
      <alignment horizontal="center" vertical="center" wrapText="1"/>
    </xf>
    <xf numFmtId="2" fontId="56" fillId="28" borderId="92" xfId="0" applyNumberFormat="1" applyFont="1" applyFill="1" applyBorder="1" applyAlignment="1">
      <alignment horizontal="center" vertical="center" wrapText="1"/>
    </xf>
    <xf numFmtId="1" fontId="56" fillId="28" borderId="92" xfId="0" applyNumberFormat="1" applyFont="1" applyFill="1" applyBorder="1" applyAlignment="1">
      <alignment horizontal="center" vertical="center" wrapText="1"/>
    </xf>
    <xf numFmtId="0" fontId="56" fillId="28" borderId="71" xfId="0" applyFont="1" applyFill="1" applyBorder="1" applyAlignment="1">
      <alignment horizontal="center" vertical="center" wrapText="1"/>
    </xf>
    <xf numFmtId="0" fontId="58" fillId="15" borderId="71" xfId="0" applyFont="1" applyFill="1" applyBorder="1" applyAlignment="1">
      <alignment horizontal="center" vertical="center" wrapText="1"/>
    </xf>
    <xf numFmtId="0" fontId="58" fillId="0" borderId="71" xfId="0" applyFont="1" applyBorder="1" applyAlignment="1">
      <alignment horizontal="center" vertical="center" wrapText="1"/>
    </xf>
    <xf numFmtId="2" fontId="56" fillId="14" borderId="71" xfId="0" applyNumberFormat="1" applyFont="1" applyFill="1" applyBorder="1" applyAlignment="1">
      <alignment horizontal="center" vertical="center" wrapText="1"/>
    </xf>
    <xf numFmtId="2" fontId="56" fillId="28" borderId="71" xfId="0" applyNumberFormat="1" applyFont="1" applyFill="1" applyBorder="1" applyAlignment="1">
      <alignment horizontal="center" vertical="center" wrapText="1"/>
    </xf>
    <xf numFmtId="1" fontId="56" fillId="28" borderId="71" xfId="0" applyNumberFormat="1" applyFont="1" applyFill="1" applyBorder="1" applyAlignment="1">
      <alignment horizontal="center" vertical="center" wrapText="1"/>
    </xf>
    <xf numFmtId="2" fontId="60" fillId="17" borderId="90" xfId="0" applyNumberFormat="1" applyFont="1" applyFill="1" applyBorder="1" applyAlignment="1">
      <alignment horizontal="center" vertical="center" wrapText="1"/>
    </xf>
    <xf numFmtId="2" fontId="60" fillId="0" borderId="90" xfId="0" applyNumberFormat="1" applyFont="1" applyBorder="1" applyAlignment="1">
      <alignment horizontal="center" vertical="center" wrapText="1"/>
    </xf>
    <xf numFmtId="1" fontId="60" fillId="17" borderId="90" xfId="0" applyNumberFormat="1" applyFont="1" applyFill="1" applyBorder="1" applyAlignment="1">
      <alignment horizontal="center" vertical="center" wrapText="1"/>
    </xf>
    <xf numFmtId="1" fontId="60" fillId="0" borderId="90" xfId="0" applyNumberFormat="1" applyFont="1" applyBorder="1" applyAlignment="1">
      <alignment horizontal="center" vertical="center" wrapText="1"/>
    </xf>
    <xf numFmtId="1" fontId="58" fillId="17" borderId="90" xfId="0" applyNumberFormat="1" applyFont="1" applyFill="1" applyBorder="1" applyAlignment="1">
      <alignment horizontal="center" vertical="center" wrapText="1"/>
    </xf>
    <xf numFmtId="1" fontId="58" fillId="0" borderId="90" xfId="0" applyNumberFormat="1" applyFont="1" applyBorder="1" applyAlignment="1">
      <alignment horizontal="center" vertical="center" wrapText="1"/>
    </xf>
    <xf numFmtId="1" fontId="56" fillId="13" borderId="90" xfId="0" applyNumberFormat="1" applyFont="1" applyFill="1" applyBorder="1" applyAlignment="1">
      <alignment horizontal="center" vertical="center" wrapText="1"/>
    </xf>
    <xf numFmtId="1" fontId="60" fillId="4" borderId="90" xfId="0" applyNumberFormat="1" applyFont="1" applyFill="1" applyBorder="1" applyAlignment="1">
      <alignment horizontal="center" vertical="center" wrapText="1"/>
    </xf>
    <xf numFmtId="0" fontId="33" fillId="23" borderId="73" xfId="0" applyFont="1" applyFill="1" applyBorder="1" applyAlignment="1">
      <alignment horizontal="center" vertical="center" wrapText="1"/>
    </xf>
    <xf numFmtId="0" fontId="27" fillId="0" borderId="0" xfId="0" applyFont="1" applyBorder="1" applyAlignment="1">
      <alignment vertical="center" wrapText="1"/>
    </xf>
    <xf numFmtId="0" fontId="27" fillId="0" borderId="0" xfId="0" applyFont="1" applyBorder="1" applyAlignment="1">
      <alignment horizontal="center" vertical="center" wrapText="1"/>
    </xf>
    <xf numFmtId="0" fontId="27" fillId="0" borderId="0" xfId="0" applyFont="1" applyBorder="1" applyAlignment="1">
      <alignment horizontal="center" vertical="center"/>
    </xf>
    <xf numFmtId="0" fontId="46" fillId="0" borderId="0" xfId="0" applyFont="1" applyBorder="1" applyAlignment="1">
      <alignment horizontal="center" vertical="center"/>
    </xf>
    <xf numFmtId="0" fontId="47" fillId="0" borderId="0" xfId="0" applyFont="1" applyBorder="1" applyAlignment="1">
      <alignment horizontal="center" vertical="center"/>
    </xf>
    <xf numFmtId="0" fontId="27" fillId="33" borderId="0" xfId="0" applyFont="1" applyFill="1" applyBorder="1" applyAlignment="1">
      <alignment horizontal="center" vertical="center" wrapText="1"/>
    </xf>
    <xf numFmtId="0" fontId="27" fillId="12" borderId="0" xfId="0" applyFont="1" applyFill="1" applyBorder="1" applyAlignment="1">
      <alignment horizontal="center" vertical="center"/>
    </xf>
    <xf numFmtId="0" fontId="46" fillId="12" borderId="0" xfId="0" applyFont="1" applyFill="1" applyBorder="1" applyAlignment="1">
      <alignment horizontal="center" vertical="center"/>
    </xf>
    <xf numFmtId="0" fontId="47" fillId="12" borderId="0" xfId="0" applyFont="1" applyFill="1" applyBorder="1" applyAlignment="1">
      <alignment horizontal="center" vertical="center"/>
    </xf>
    <xf numFmtId="165" fontId="27" fillId="22" borderId="71" xfId="0" applyNumberFormat="1" applyFont="1" applyFill="1" applyBorder="1" applyAlignment="1">
      <alignment horizontal="center" vertical="center" wrapText="1"/>
    </xf>
    <xf numFmtId="165" fontId="27" fillId="0" borderId="71" xfId="0" applyNumberFormat="1" applyFont="1" applyFill="1" applyBorder="1" applyAlignment="1">
      <alignment horizontal="center" vertical="center" wrapText="1"/>
    </xf>
    <xf numFmtId="0" fontId="74" fillId="0" borderId="0" xfId="0" applyFont="1" applyAlignment="1">
      <alignment horizontal="center" vertical="center"/>
    </xf>
    <xf numFmtId="0" fontId="27" fillId="34" borderId="41" xfId="0" applyFont="1" applyFill="1" applyBorder="1" applyAlignment="1">
      <alignment horizontal="center" vertical="center" wrapText="1"/>
    </xf>
    <xf numFmtId="0" fontId="27" fillId="34" borderId="71" xfId="0" applyFont="1" applyFill="1" applyBorder="1" applyAlignment="1">
      <alignment horizontal="center" vertical="center" wrapText="1"/>
    </xf>
    <xf numFmtId="0" fontId="11" fillId="34" borderId="0" xfId="0" applyFont="1" applyFill="1" applyAlignment="1">
      <alignment horizontal="center" vertical="center" wrapText="1"/>
    </xf>
    <xf numFmtId="0" fontId="27" fillId="34" borderId="67" xfId="0" applyFont="1" applyFill="1" applyBorder="1" applyAlignment="1">
      <alignment horizontal="center" vertical="center" wrapText="1"/>
    </xf>
    <xf numFmtId="165" fontId="27" fillId="34" borderId="41" xfId="0" applyNumberFormat="1" applyFont="1" applyFill="1" applyBorder="1" applyAlignment="1">
      <alignment horizontal="center" vertical="center" wrapText="1"/>
    </xf>
    <xf numFmtId="165" fontId="27" fillId="34" borderId="71" xfId="0" applyNumberFormat="1" applyFont="1" applyFill="1" applyBorder="1" applyAlignment="1">
      <alignment horizontal="center" vertical="center" wrapText="1"/>
    </xf>
    <xf numFmtId="165" fontId="33" fillId="34" borderId="71" xfId="0" applyNumberFormat="1" applyFont="1" applyFill="1" applyBorder="1" applyAlignment="1">
      <alignment horizontal="center" vertical="center" wrapText="1"/>
    </xf>
    <xf numFmtId="0" fontId="68" fillId="34" borderId="67" xfId="0" applyFont="1" applyFill="1" applyBorder="1" applyAlignment="1">
      <alignment horizontal="center" vertical="center" wrapText="1"/>
    </xf>
    <xf numFmtId="0" fontId="27" fillId="34" borderId="0" xfId="0" applyFont="1" applyFill="1" applyAlignment="1">
      <alignment horizontal="center" vertical="center" wrapText="1"/>
    </xf>
    <xf numFmtId="0" fontId="27" fillId="34" borderId="0" xfId="0" applyFont="1" applyFill="1" applyAlignment="1">
      <alignment horizontal="center" vertical="center"/>
    </xf>
    <xf numFmtId="0" fontId="46" fillId="34" borderId="79" xfId="0" applyFont="1" applyFill="1" applyBorder="1" applyAlignment="1">
      <alignment horizontal="center" vertical="center"/>
    </xf>
    <xf numFmtId="0" fontId="46" fillId="34" borderId="0" xfId="0" applyFont="1" applyFill="1" applyAlignment="1">
      <alignment horizontal="center" vertical="center"/>
    </xf>
    <xf numFmtId="0" fontId="47" fillId="34" borderId="0" xfId="0" applyFont="1" applyFill="1" applyAlignment="1">
      <alignment horizontal="center" vertical="center"/>
    </xf>
    <xf numFmtId="2" fontId="47" fillId="34" borderId="79" xfId="0" applyNumberFormat="1" applyFont="1" applyFill="1" applyBorder="1" applyAlignment="1">
      <alignment horizontal="center" vertical="center"/>
    </xf>
    <xf numFmtId="1" fontId="47" fillId="34" borderId="75" xfId="0" applyNumberFormat="1" applyFont="1" applyFill="1" applyBorder="1" applyAlignment="1">
      <alignment horizontal="center" vertical="center"/>
    </xf>
    <xf numFmtId="0" fontId="49" fillId="34" borderId="0" xfId="0" applyFont="1" applyFill="1" applyAlignment="1">
      <alignment horizontal="center" vertical="center"/>
    </xf>
    <xf numFmtId="2" fontId="49" fillId="34" borderId="0" xfId="0" applyNumberFormat="1" applyFont="1" applyFill="1" applyAlignment="1">
      <alignment horizontal="center" vertical="center"/>
    </xf>
    <xf numFmtId="2" fontId="51" fillId="34" borderId="0" xfId="0" applyNumberFormat="1" applyFont="1" applyFill="1" applyAlignment="1">
      <alignment horizontal="center" vertical="center"/>
    </xf>
    <xf numFmtId="0" fontId="51" fillId="34" borderId="0" xfId="0" applyFont="1" applyFill="1" applyAlignment="1">
      <alignment horizontal="center" vertical="center"/>
    </xf>
    <xf numFmtId="0" fontId="27" fillId="22" borderId="0" xfId="0" applyFont="1" applyFill="1" applyAlignment="1">
      <alignment horizontal="center" vertical="center"/>
    </xf>
    <xf numFmtId="0" fontId="46" fillId="22" borderId="0" xfId="0" applyFont="1" applyFill="1" applyAlignment="1">
      <alignment horizontal="center" vertical="center"/>
    </xf>
    <xf numFmtId="2" fontId="33" fillId="0" borderId="71" xfId="0" applyNumberFormat="1" applyFont="1" applyBorder="1" applyAlignment="1">
      <alignment horizontal="center" vertical="center" wrapText="1"/>
    </xf>
    <xf numFmtId="0" fontId="27" fillId="0" borderId="89" xfId="0" applyFont="1" applyFill="1" applyBorder="1" applyAlignment="1">
      <alignment horizontal="center" vertical="center" wrapText="1"/>
    </xf>
    <xf numFmtId="0" fontId="27" fillId="0" borderId="89" xfId="0" applyFont="1" applyFill="1" applyBorder="1" applyAlignment="1">
      <alignment horizontal="left" vertical="center" wrapText="1"/>
    </xf>
    <xf numFmtId="2" fontId="27" fillId="0" borderId="89" xfId="0" applyNumberFormat="1" applyFont="1" applyFill="1" applyBorder="1" applyAlignment="1">
      <alignment horizontal="center" vertical="center" wrapText="1"/>
    </xf>
    <xf numFmtId="2" fontId="33" fillId="0" borderId="89" xfId="0" applyNumberFormat="1" applyFont="1" applyFill="1" applyBorder="1" applyAlignment="1">
      <alignment horizontal="center" vertical="center" wrapText="1"/>
    </xf>
    <xf numFmtId="0" fontId="27" fillId="0" borderId="41" xfId="0" applyFont="1" applyFill="1" applyBorder="1" applyAlignment="1">
      <alignment horizontal="center" vertical="center" wrapText="1"/>
    </xf>
    <xf numFmtId="0" fontId="27" fillId="0" borderId="41" xfId="0" applyFont="1" applyFill="1" applyBorder="1" applyAlignment="1">
      <alignment horizontal="left" vertical="center" wrapText="1"/>
    </xf>
    <xf numFmtId="2" fontId="27" fillId="0" borderId="105" xfId="0" applyNumberFormat="1" applyFont="1" applyFill="1" applyBorder="1" applyAlignment="1">
      <alignment horizontal="center" vertical="center" wrapText="1"/>
    </xf>
    <xf numFmtId="165" fontId="33" fillId="15" borderId="41" xfId="0" applyNumberFormat="1" applyFont="1" applyFill="1" applyBorder="1" applyAlignment="1">
      <alignment horizontal="center" vertical="center" wrapText="1"/>
    </xf>
    <xf numFmtId="0" fontId="46" fillId="15" borderId="41" xfId="0" applyFont="1" applyFill="1" applyBorder="1" applyAlignment="1">
      <alignment horizontal="center" vertical="center"/>
    </xf>
    <xf numFmtId="2" fontId="46" fillId="15" borderId="41" xfId="0" applyNumberFormat="1" applyFont="1" applyFill="1" applyBorder="1" applyAlignment="1">
      <alignment horizontal="center" vertical="center"/>
    </xf>
    <xf numFmtId="2" fontId="46" fillId="0" borderId="41" xfId="0" applyNumberFormat="1" applyFont="1" applyBorder="1" applyAlignment="1">
      <alignment horizontal="center" vertical="center"/>
    </xf>
    <xf numFmtId="2" fontId="33" fillId="0" borderId="41" xfId="0" applyNumberFormat="1" applyFont="1" applyBorder="1" applyAlignment="1">
      <alignment horizontal="center" vertical="center" wrapText="1"/>
    </xf>
    <xf numFmtId="0" fontId="55" fillId="7" borderId="107" xfId="0" applyFont="1" applyFill="1" applyBorder="1" applyAlignment="1">
      <alignment horizontal="center" vertical="center" wrapText="1"/>
    </xf>
    <xf numFmtId="0" fontId="45" fillId="14" borderId="107" xfId="0" applyFont="1" applyFill="1" applyBorder="1" applyAlignment="1">
      <alignment horizontal="center" vertical="center" wrapText="1" readingOrder="1"/>
    </xf>
    <xf numFmtId="0" fontId="45" fillId="14" borderId="108" xfId="0" applyFont="1" applyFill="1" applyBorder="1" applyAlignment="1">
      <alignment horizontal="center" vertical="center" wrapText="1" readingOrder="1"/>
    </xf>
    <xf numFmtId="0" fontId="27" fillId="15" borderId="89" xfId="0" applyFont="1" applyFill="1" applyBorder="1" applyAlignment="1">
      <alignment horizontal="center" vertical="center" wrapText="1"/>
    </xf>
    <xf numFmtId="0" fontId="27" fillId="15" borderId="89" xfId="0" applyFont="1" applyFill="1" applyBorder="1" applyAlignment="1">
      <alignment horizontal="left" vertical="center" wrapText="1"/>
    </xf>
    <xf numFmtId="2" fontId="33" fillId="15" borderId="89" xfId="0" applyNumberFormat="1" applyFont="1" applyFill="1" applyBorder="1" applyAlignment="1">
      <alignment horizontal="center" vertical="center" wrapText="1"/>
    </xf>
    <xf numFmtId="0" fontId="33" fillId="15" borderId="109" xfId="0" applyFont="1" applyFill="1" applyBorder="1" applyAlignment="1">
      <alignment horizontal="center" vertical="center" wrapText="1"/>
    </xf>
    <xf numFmtId="0" fontId="27" fillId="0" borderId="89" xfId="0" applyFont="1" applyBorder="1" applyAlignment="1">
      <alignment horizontal="center" vertical="center" wrapText="1"/>
    </xf>
    <xf numFmtId="0" fontId="27" fillId="0" borderId="89" xfId="0" applyFont="1" applyBorder="1" applyAlignment="1">
      <alignment horizontal="left" vertical="center" wrapText="1"/>
    </xf>
    <xf numFmtId="2" fontId="33" fillId="0" borderId="89" xfId="0" applyNumberFormat="1" applyFont="1" applyBorder="1" applyAlignment="1">
      <alignment horizontal="center" vertical="center" wrapText="1"/>
    </xf>
    <xf numFmtId="0" fontId="33" fillId="0" borderId="109" xfId="0" applyFont="1" applyBorder="1" applyAlignment="1">
      <alignment horizontal="center" vertical="center" wrapText="1"/>
    </xf>
    <xf numFmtId="0" fontId="33" fillId="4" borderId="109" xfId="0" applyFont="1" applyFill="1" applyBorder="1" applyAlignment="1">
      <alignment horizontal="center" vertical="center" wrapText="1"/>
    </xf>
    <xf numFmtId="0" fontId="27" fillId="0" borderId="41" xfId="0" applyFont="1" applyBorder="1" applyAlignment="1">
      <alignment horizontal="left" vertical="center" wrapText="1"/>
    </xf>
    <xf numFmtId="0" fontId="27" fillId="15" borderId="110" xfId="0" applyFont="1" applyFill="1" applyBorder="1" applyAlignment="1">
      <alignment horizontal="center" vertical="center" wrapText="1"/>
    </xf>
    <xf numFmtId="0" fontId="27" fillId="15" borderId="110" xfId="0" applyFont="1" applyFill="1" applyBorder="1" applyAlignment="1">
      <alignment horizontal="left" vertical="center" wrapText="1"/>
    </xf>
    <xf numFmtId="2" fontId="33" fillId="15" borderId="110" xfId="0" applyNumberFormat="1" applyFont="1" applyFill="1" applyBorder="1" applyAlignment="1">
      <alignment horizontal="center" vertical="center" wrapText="1"/>
    </xf>
    <xf numFmtId="0" fontId="33" fillId="15" borderId="111" xfId="0" applyFont="1" applyFill="1" applyBorder="1" applyAlignment="1">
      <alignment horizontal="center" vertical="center" wrapText="1"/>
    </xf>
    <xf numFmtId="165" fontId="27" fillId="15" borderId="89" xfId="0" applyNumberFormat="1" applyFont="1" applyFill="1" applyBorder="1" applyAlignment="1">
      <alignment horizontal="center" vertical="center" wrapText="1"/>
    </xf>
    <xf numFmtId="165" fontId="27" fillId="0" borderId="89" xfId="0" applyNumberFormat="1" applyFont="1" applyBorder="1" applyAlignment="1">
      <alignment horizontal="center" vertical="center" wrapText="1"/>
    </xf>
    <xf numFmtId="165" fontId="27" fillId="15" borderId="110" xfId="0" applyNumberFormat="1" applyFont="1" applyFill="1" applyBorder="1" applyAlignment="1">
      <alignment horizontal="center" vertical="center" wrapText="1"/>
    </xf>
    <xf numFmtId="2" fontId="27" fillId="15" borderId="41" xfId="0" applyNumberFormat="1" applyFont="1" applyFill="1" applyBorder="1" applyAlignment="1">
      <alignment horizontal="center" vertical="center" wrapText="1"/>
    </xf>
    <xf numFmtId="2" fontId="33" fillId="15" borderId="41" xfId="0" applyNumberFormat="1" applyFont="1" applyFill="1" applyBorder="1" applyAlignment="1">
      <alignment horizontal="center" vertical="center" wrapText="1"/>
    </xf>
    <xf numFmtId="2" fontId="27" fillId="15" borderId="41" xfId="0" applyNumberFormat="1" applyFont="1" applyFill="1" applyBorder="1" applyAlignment="1">
      <alignment horizontal="center" vertical="center"/>
    </xf>
    <xf numFmtId="2" fontId="27" fillId="0" borderId="41" xfId="0" applyNumberFormat="1" applyFont="1" applyBorder="1" applyAlignment="1">
      <alignment horizontal="center" vertical="center" wrapText="1"/>
    </xf>
    <xf numFmtId="0" fontId="55" fillId="26" borderId="117" xfId="0" applyFont="1" applyFill="1" applyBorder="1" applyAlignment="1">
      <alignment horizontal="center" vertical="center" wrapText="1"/>
    </xf>
    <xf numFmtId="0" fontId="12" fillId="21" borderId="117" xfId="0" applyFont="1" applyFill="1" applyBorder="1" applyAlignment="1">
      <alignment horizontal="center" vertical="center" wrapText="1"/>
    </xf>
    <xf numFmtId="0" fontId="55" fillId="21" borderId="117" xfId="0" applyFont="1" applyFill="1" applyBorder="1" applyAlignment="1">
      <alignment horizontal="center" vertical="center" wrapText="1"/>
    </xf>
    <xf numFmtId="0" fontId="45" fillId="26" borderId="118" xfId="0" applyFont="1" applyFill="1" applyBorder="1" applyAlignment="1">
      <alignment horizontal="center" vertical="center" wrapText="1" readingOrder="1"/>
    </xf>
    <xf numFmtId="0" fontId="45" fillId="26" borderId="119" xfId="0" applyFont="1" applyFill="1" applyBorder="1" applyAlignment="1">
      <alignment horizontal="center" vertical="center" wrapText="1" readingOrder="1"/>
    </xf>
    <xf numFmtId="0" fontId="45" fillId="21" borderId="119" xfId="0" applyFont="1" applyFill="1" applyBorder="1" applyAlignment="1">
      <alignment horizontal="center" vertical="center" wrapText="1" readingOrder="1"/>
    </xf>
    <xf numFmtId="0" fontId="45" fillId="26" borderId="120" xfId="0" applyFont="1" applyFill="1" applyBorder="1" applyAlignment="1">
      <alignment horizontal="center" vertical="center" wrapText="1" readingOrder="1"/>
    </xf>
    <xf numFmtId="0" fontId="45" fillId="21" borderId="120" xfId="0" applyFont="1" applyFill="1" applyBorder="1" applyAlignment="1">
      <alignment horizontal="center" vertical="center" wrapText="1" readingOrder="1"/>
    </xf>
    <xf numFmtId="0" fontId="12" fillId="7" borderId="41" xfId="0" applyFont="1" applyFill="1" applyBorder="1" applyAlignment="1">
      <alignment horizontal="center" vertical="center" wrapText="1"/>
    </xf>
    <xf numFmtId="0" fontId="45" fillId="21" borderId="41" xfId="0" applyFont="1" applyFill="1" applyBorder="1" applyAlignment="1">
      <alignment horizontal="center" vertical="center" wrapText="1" readingOrder="1"/>
    </xf>
    <xf numFmtId="0" fontId="12" fillId="7" borderId="41" xfId="0" applyFont="1" applyFill="1" applyBorder="1" applyAlignment="1">
      <alignment horizontal="left" vertical="center" wrapText="1"/>
    </xf>
    <xf numFmtId="2" fontId="55" fillId="26" borderId="41" xfId="0" applyNumberFormat="1" applyFont="1" applyFill="1" applyBorder="1" applyAlignment="1">
      <alignment horizontal="center" vertical="center" wrapText="1"/>
    </xf>
    <xf numFmtId="2" fontId="55" fillId="21" borderId="41" xfId="0" applyNumberFormat="1" applyFont="1" applyFill="1" applyBorder="1" applyAlignment="1">
      <alignment horizontal="center" vertical="center" wrapText="1"/>
    </xf>
    <xf numFmtId="2" fontId="45" fillId="26" borderId="41" xfId="0" applyNumberFormat="1" applyFont="1" applyFill="1" applyBorder="1" applyAlignment="1">
      <alignment horizontal="center" vertical="center" wrapText="1" readingOrder="1"/>
    </xf>
    <xf numFmtId="2" fontId="45" fillId="21" borderId="41" xfId="0" applyNumberFormat="1" applyFont="1" applyFill="1" applyBorder="1" applyAlignment="1">
      <alignment horizontal="center" vertical="center" wrapText="1" readingOrder="1"/>
    </xf>
    <xf numFmtId="0" fontId="55" fillId="7" borderId="41" xfId="0" applyFont="1" applyFill="1" applyBorder="1" applyAlignment="1">
      <alignment horizontal="center" vertical="center" wrapText="1"/>
    </xf>
    <xf numFmtId="0" fontId="45" fillId="7" borderId="41" xfId="0" applyFont="1" applyFill="1" applyBorder="1" applyAlignment="1">
      <alignment horizontal="center" vertical="center" wrapText="1" readingOrder="1"/>
    </xf>
    <xf numFmtId="0" fontId="12" fillId="16" borderId="41" xfId="0" applyFont="1" applyFill="1" applyBorder="1" applyAlignment="1">
      <alignment horizontal="left" vertical="center" wrapText="1"/>
    </xf>
    <xf numFmtId="2" fontId="55" fillId="16" borderId="41" xfId="0" applyNumberFormat="1" applyFont="1" applyFill="1" applyBorder="1" applyAlignment="1">
      <alignment horizontal="center" vertical="center" wrapText="1"/>
    </xf>
    <xf numFmtId="2" fontId="45" fillId="16" borderId="41" xfId="0" applyNumberFormat="1" applyFont="1" applyFill="1" applyBorder="1" applyAlignment="1">
      <alignment horizontal="center" vertical="center" wrapText="1" readingOrder="1"/>
    </xf>
    <xf numFmtId="0" fontId="55" fillId="35" borderId="109" xfId="0" applyFont="1" applyFill="1" applyBorder="1" applyAlignment="1">
      <alignment horizontal="center" vertical="center" wrapText="1"/>
    </xf>
    <xf numFmtId="0" fontId="33" fillId="15" borderId="87" xfId="0" applyFont="1" applyFill="1" applyBorder="1" applyAlignment="1">
      <alignment horizontal="center" vertical="center"/>
    </xf>
    <xf numFmtId="0" fontId="27" fillId="36" borderId="89" xfId="0" applyFont="1" applyFill="1" applyBorder="1" applyAlignment="1">
      <alignment horizontal="center" vertical="center" wrapText="1"/>
    </xf>
    <xf numFmtId="0" fontId="27" fillId="36" borderId="89" xfId="0" applyFont="1" applyFill="1" applyBorder="1" applyAlignment="1">
      <alignment horizontal="left" vertical="center" wrapText="1"/>
    </xf>
    <xf numFmtId="2" fontId="33" fillId="36" borderId="89" xfId="0" applyNumberFormat="1" applyFont="1" applyFill="1" applyBorder="1" applyAlignment="1">
      <alignment horizontal="center" vertical="center" wrapText="1"/>
    </xf>
    <xf numFmtId="0" fontId="27" fillId="17" borderId="41" xfId="0" applyFont="1" applyFill="1" applyBorder="1" applyAlignment="1">
      <alignment horizontal="center" vertical="center" wrapText="1"/>
    </xf>
    <xf numFmtId="0" fontId="27" fillId="17" borderId="41" xfId="0" applyFont="1" applyFill="1" applyBorder="1" applyAlignment="1">
      <alignment vertical="center" wrapText="1"/>
    </xf>
    <xf numFmtId="2" fontId="47" fillId="17" borderId="41" xfId="0" applyNumberFormat="1" applyFont="1" applyFill="1" applyBorder="1" applyAlignment="1">
      <alignment horizontal="center" vertical="center"/>
    </xf>
    <xf numFmtId="0" fontId="47" fillId="17" borderId="41" xfId="0" applyFont="1" applyFill="1" applyBorder="1" applyAlignment="1">
      <alignment horizontal="center" vertical="center"/>
    </xf>
    <xf numFmtId="0" fontId="47" fillId="8" borderId="41" xfId="0" applyFont="1" applyFill="1" applyBorder="1" applyAlignment="1">
      <alignment horizontal="center" vertical="center"/>
    </xf>
    <xf numFmtId="0" fontId="27" fillId="17" borderId="89" xfId="0" applyFont="1" applyFill="1" applyBorder="1" applyAlignment="1">
      <alignment horizontal="left" vertical="center" wrapText="1"/>
    </xf>
    <xf numFmtId="0" fontId="27" fillId="17" borderId="89" xfId="0" applyFont="1" applyFill="1" applyBorder="1" applyAlignment="1">
      <alignment horizontal="center" vertical="center" wrapText="1"/>
    </xf>
    <xf numFmtId="2" fontId="33" fillId="17" borderId="89" xfId="0" applyNumberFormat="1" applyFont="1" applyFill="1" applyBorder="1" applyAlignment="1">
      <alignment horizontal="center" vertical="center" wrapText="1"/>
    </xf>
    <xf numFmtId="0" fontId="55" fillId="13" borderId="109" xfId="0" applyFont="1" applyFill="1" applyBorder="1" applyAlignment="1">
      <alignment horizontal="center" vertical="center" wrapText="1"/>
    </xf>
    <xf numFmtId="165" fontId="27" fillId="17" borderId="89" xfId="0" applyNumberFormat="1" applyFont="1" applyFill="1" applyBorder="1" applyAlignment="1">
      <alignment horizontal="center" vertical="center" wrapText="1"/>
    </xf>
    <xf numFmtId="165" fontId="27" fillId="0" borderId="89" xfId="0" applyNumberFormat="1" applyFont="1" applyFill="1" applyBorder="1" applyAlignment="1">
      <alignment horizontal="center" vertical="center" wrapText="1"/>
    </xf>
    <xf numFmtId="0" fontId="45" fillId="7" borderId="95" xfId="0" applyFont="1" applyFill="1" applyBorder="1" applyAlignment="1">
      <alignment horizontal="center" vertical="center" wrapText="1" readingOrder="1"/>
    </xf>
    <xf numFmtId="0" fontId="27" fillId="36" borderId="41" xfId="0" applyFont="1" applyFill="1" applyBorder="1" applyAlignment="1">
      <alignment horizontal="center" vertical="center" wrapText="1"/>
    </xf>
    <xf numFmtId="0" fontId="27" fillId="8" borderId="41" xfId="0" applyFont="1" applyFill="1" applyBorder="1" applyAlignment="1">
      <alignment vertical="center" wrapText="1"/>
    </xf>
    <xf numFmtId="165" fontId="33" fillId="8" borderId="41" xfId="0" applyNumberFormat="1" applyFont="1" applyFill="1" applyBorder="1" applyAlignment="1">
      <alignment horizontal="center" vertical="center" wrapText="1"/>
    </xf>
    <xf numFmtId="0" fontId="27" fillId="8" borderId="41" xfId="0" applyFont="1" applyFill="1" applyBorder="1" applyAlignment="1">
      <alignment horizontal="center" vertical="center"/>
    </xf>
    <xf numFmtId="2" fontId="49" fillId="8" borderId="41" xfId="0" applyNumberFormat="1" applyFont="1" applyFill="1" applyBorder="1" applyAlignment="1">
      <alignment horizontal="center" vertical="center"/>
    </xf>
    <xf numFmtId="0" fontId="49" fillId="8" borderId="41" xfId="0" applyFont="1" applyFill="1" applyBorder="1" applyAlignment="1">
      <alignment horizontal="center" vertical="center"/>
    </xf>
    <xf numFmtId="2" fontId="51" fillId="8" borderId="41" xfId="0" applyNumberFormat="1" applyFont="1" applyFill="1" applyBorder="1" applyAlignment="1">
      <alignment horizontal="center" vertical="center"/>
    </xf>
    <xf numFmtId="0" fontId="55" fillId="7" borderId="41" xfId="0" applyFont="1" applyFill="1" applyBorder="1" applyAlignment="1">
      <alignment horizontal="left" vertical="center" wrapText="1"/>
    </xf>
    <xf numFmtId="0" fontId="45" fillId="7" borderId="41" xfId="0" applyFont="1" applyFill="1" applyBorder="1" applyAlignment="1">
      <alignment horizontal="left" vertical="center" wrapText="1" readingOrder="1"/>
    </xf>
    <xf numFmtId="0" fontId="45" fillId="7" borderId="95" xfId="0" applyFont="1" applyFill="1" applyBorder="1" applyAlignment="1">
      <alignment horizontal="left" vertical="center" wrapText="1" readingOrder="1"/>
    </xf>
    <xf numFmtId="0" fontId="12" fillId="16" borderId="41" xfId="0" applyFont="1" applyFill="1" applyBorder="1" applyAlignment="1">
      <alignment horizontal="center" vertical="center" wrapText="1"/>
    </xf>
    <xf numFmtId="0" fontId="33" fillId="15" borderId="41" xfId="0" applyFont="1" applyFill="1" applyBorder="1" applyAlignment="1">
      <alignment horizontal="center" vertical="center" wrapText="1"/>
    </xf>
    <xf numFmtId="0" fontId="33" fillId="17" borderId="41" xfId="0" applyFont="1" applyFill="1" applyBorder="1" applyAlignment="1">
      <alignment horizontal="center" vertical="center" wrapText="1"/>
    </xf>
    <xf numFmtId="2" fontId="49" fillId="17" borderId="41" xfId="0" applyNumberFormat="1" applyFont="1" applyFill="1" applyBorder="1" applyAlignment="1">
      <alignment horizontal="center" vertical="center"/>
    </xf>
    <xf numFmtId="2" fontId="51" fillId="17" borderId="41" xfId="0" applyNumberFormat="1" applyFont="1" applyFill="1" applyBorder="1" applyAlignment="1">
      <alignment horizontal="center" vertical="center"/>
    </xf>
    <xf numFmtId="2" fontId="27" fillId="17" borderId="41" xfId="0" applyNumberFormat="1" applyFont="1" applyFill="1" applyBorder="1" applyAlignment="1">
      <alignment horizontal="center" vertical="center" wrapText="1"/>
    </xf>
    <xf numFmtId="2" fontId="27" fillId="17" borderId="41" xfId="0" applyNumberFormat="1" applyFont="1" applyFill="1" applyBorder="1" applyAlignment="1">
      <alignment horizontal="center" vertical="center"/>
    </xf>
    <xf numFmtId="2" fontId="46" fillId="17" borderId="41" xfId="0" applyNumberFormat="1" applyFont="1" applyFill="1" applyBorder="1" applyAlignment="1">
      <alignment horizontal="center" vertical="center"/>
    </xf>
    <xf numFmtId="2" fontId="33" fillId="0" borderId="0" xfId="0" applyNumberFormat="1" applyFont="1" applyBorder="1" applyAlignment="1">
      <alignment horizontal="center" vertical="center" wrapText="1"/>
    </xf>
    <xf numFmtId="2" fontId="47" fillId="0" borderId="0" xfId="0" applyNumberFormat="1" applyFont="1" applyBorder="1" applyAlignment="1">
      <alignment horizontal="center" vertical="center"/>
    </xf>
    <xf numFmtId="0" fontId="27" fillId="22" borderId="0" xfId="0" applyFont="1" applyFill="1" applyAlignment="1">
      <alignment horizontal="center" vertical="center" wrapText="1"/>
    </xf>
    <xf numFmtId="9" fontId="44" fillId="5" borderId="63" xfId="3" applyFont="1" applyFill="1" applyBorder="1" applyAlignment="1">
      <alignment horizontal="center" vertical="center" wrapText="1" readingOrder="1"/>
    </xf>
    <xf numFmtId="0" fontId="27" fillId="12" borderId="69" xfId="0" applyFont="1" applyFill="1" applyBorder="1" applyAlignment="1">
      <alignment horizontal="center" vertical="center" wrapText="1"/>
    </xf>
    <xf numFmtId="165" fontId="27" fillId="12" borderId="69" xfId="0" applyNumberFormat="1" applyFont="1" applyFill="1" applyBorder="1" applyAlignment="1">
      <alignment horizontal="center" vertical="center" wrapText="1"/>
    </xf>
    <xf numFmtId="165" fontId="27" fillId="12" borderId="77" xfId="0" applyNumberFormat="1" applyFont="1" applyFill="1" applyBorder="1" applyAlignment="1">
      <alignment horizontal="center" vertical="center" wrapText="1"/>
    </xf>
    <xf numFmtId="165" fontId="33" fillId="12" borderId="77" xfId="0" applyNumberFormat="1" applyFont="1" applyFill="1" applyBorder="1" applyAlignment="1">
      <alignment horizontal="center" vertical="center" wrapText="1"/>
    </xf>
    <xf numFmtId="0" fontId="27" fillId="12" borderId="72" xfId="0" applyFont="1" applyFill="1" applyBorder="1" applyAlignment="1">
      <alignment horizontal="center" vertical="center" wrapText="1"/>
    </xf>
    <xf numFmtId="0" fontId="46" fillId="12" borderId="80" xfId="0" applyFont="1" applyFill="1" applyBorder="1" applyAlignment="1">
      <alignment horizontal="center" vertical="center"/>
    </xf>
    <xf numFmtId="0" fontId="46" fillId="12" borderId="72" xfId="0" applyFont="1" applyFill="1" applyBorder="1" applyAlignment="1">
      <alignment horizontal="center" vertical="center"/>
    </xf>
    <xf numFmtId="0" fontId="47" fillId="12" borderId="72" xfId="0" applyFont="1" applyFill="1" applyBorder="1" applyAlignment="1">
      <alignment horizontal="center" vertical="center"/>
    </xf>
    <xf numFmtId="2" fontId="47" fillId="12" borderId="80" xfId="0" applyNumberFormat="1" applyFont="1" applyFill="1" applyBorder="1" applyAlignment="1">
      <alignment horizontal="center" vertical="center"/>
    </xf>
    <xf numFmtId="1" fontId="47" fillId="12" borderId="76" xfId="0" applyNumberFormat="1" applyFont="1" applyFill="1" applyBorder="1" applyAlignment="1">
      <alignment horizontal="center" vertical="center"/>
    </xf>
    <xf numFmtId="0" fontId="49" fillId="5" borderId="41" xfId="0" applyFont="1" applyFill="1" applyBorder="1" applyAlignment="1">
      <alignment vertical="center" wrapText="1"/>
    </xf>
    <xf numFmtId="0" fontId="12" fillId="7" borderId="123" xfId="0" applyFont="1" applyFill="1" applyBorder="1" applyAlignment="1">
      <alignment horizontal="center" vertical="center" wrapText="1"/>
    </xf>
    <xf numFmtId="0" fontId="52" fillId="8" borderId="0" xfId="0" applyFont="1" applyFill="1" applyAlignment="1">
      <alignment horizontal="center" vertical="center"/>
    </xf>
    <xf numFmtId="165" fontId="27" fillId="8" borderId="71" xfId="0" applyNumberFormat="1" applyFont="1" applyFill="1" applyBorder="1" applyAlignment="1">
      <alignment horizontal="center" vertical="center" wrapText="1"/>
    </xf>
    <xf numFmtId="2" fontId="27" fillId="0" borderId="71" xfId="0" applyNumberFormat="1" applyFont="1" applyBorder="1" applyAlignment="1">
      <alignment horizontal="center" vertical="center" wrapText="1"/>
    </xf>
    <xf numFmtId="0" fontId="49" fillId="8" borderId="0" xfId="0" applyFont="1" applyFill="1" applyAlignment="1">
      <alignment horizontal="center" vertical="center"/>
    </xf>
    <xf numFmtId="2" fontId="49" fillId="8" borderId="0" xfId="0" applyNumberFormat="1" applyFont="1" applyFill="1" applyAlignment="1">
      <alignment horizontal="center" vertical="center"/>
    </xf>
    <xf numFmtId="2" fontId="51" fillId="8" borderId="0" xfId="0" applyNumberFormat="1" applyFont="1" applyFill="1" applyAlignment="1">
      <alignment horizontal="center" vertical="center"/>
    </xf>
    <xf numFmtId="0" fontId="27" fillId="0" borderId="89" xfId="0" applyNumberFormat="1" applyFont="1" applyFill="1" applyBorder="1" applyAlignment="1">
      <alignment horizontal="center" vertical="center" wrapText="1"/>
    </xf>
    <xf numFmtId="2" fontId="27" fillId="0" borderId="124" xfId="0" applyNumberFormat="1" applyFont="1" applyFill="1" applyBorder="1" applyAlignment="1">
      <alignment horizontal="center" vertical="center" wrapText="1"/>
    </xf>
    <xf numFmtId="0" fontId="27" fillId="0" borderId="125" xfId="0" applyFont="1" applyFill="1" applyBorder="1" applyAlignment="1">
      <alignment horizontal="center" vertical="center" wrapText="1"/>
    </xf>
    <xf numFmtId="0" fontId="27" fillId="0" borderId="124" xfId="0" applyFont="1" applyFill="1" applyBorder="1" applyAlignment="1">
      <alignment horizontal="left" vertical="center" wrapText="1"/>
    </xf>
    <xf numFmtId="0" fontId="27" fillId="0" borderId="124" xfId="0" applyFont="1" applyFill="1" applyBorder="1" applyAlignment="1">
      <alignment horizontal="center" vertical="center" wrapText="1"/>
    </xf>
    <xf numFmtId="2" fontId="27" fillId="0" borderId="126" xfId="0" applyNumberFormat="1" applyFont="1" applyFill="1" applyBorder="1" applyAlignment="1">
      <alignment horizontal="center" vertical="center" wrapText="1"/>
    </xf>
    <xf numFmtId="0" fontId="27" fillId="0" borderId="0" xfId="0" applyFont="1" applyFill="1" applyAlignment="1">
      <alignment horizontal="center" vertical="center"/>
    </xf>
    <xf numFmtId="0" fontId="27" fillId="0" borderId="0" xfId="0" applyFont="1" applyFill="1" applyBorder="1" applyAlignment="1">
      <alignment horizontal="center" vertical="center"/>
    </xf>
    <xf numFmtId="2" fontId="46" fillId="0" borderId="89" xfId="0" applyNumberFormat="1" applyFont="1" applyFill="1" applyBorder="1" applyAlignment="1">
      <alignment horizontal="center" vertical="center" wrapText="1"/>
    </xf>
    <xf numFmtId="0" fontId="12" fillId="0" borderId="123" xfId="0" applyFont="1" applyFill="1" applyBorder="1" applyAlignment="1">
      <alignment horizontal="center" vertical="center" wrapText="1"/>
    </xf>
    <xf numFmtId="0" fontId="75" fillId="0" borderId="89" xfId="0" applyFont="1" applyFill="1" applyBorder="1" applyAlignment="1">
      <alignment horizontal="left" vertical="center" wrapText="1"/>
    </xf>
    <xf numFmtId="0" fontId="75" fillId="8" borderId="89" xfId="0" applyFont="1" applyFill="1" applyBorder="1" applyAlignment="1">
      <alignment horizontal="left" vertical="center" wrapText="1"/>
    </xf>
    <xf numFmtId="0" fontId="27" fillId="8" borderId="89" xfId="0" applyFont="1" applyFill="1" applyBorder="1" applyAlignment="1">
      <alignment horizontal="left" vertical="center" wrapText="1"/>
    </xf>
    <xf numFmtId="0" fontId="27" fillId="8" borderId="89" xfId="0" applyNumberFormat="1" applyFont="1" applyFill="1" applyBorder="1" applyAlignment="1">
      <alignment horizontal="left" vertical="center" wrapText="1"/>
    </xf>
    <xf numFmtId="0" fontId="49" fillId="17" borderId="0" xfId="0" applyFont="1" applyFill="1" applyAlignment="1">
      <alignment horizontal="center" vertical="center"/>
    </xf>
    <xf numFmtId="2" fontId="49" fillId="17" borderId="0" xfId="0" applyNumberFormat="1" applyFont="1" applyFill="1" applyAlignment="1">
      <alignment horizontal="center" vertical="center"/>
    </xf>
    <xf numFmtId="2" fontId="51" fillId="17" borderId="0" xfId="0" applyNumberFormat="1" applyFont="1" applyFill="1" applyAlignment="1">
      <alignment horizontal="center" vertical="center"/>
    </xf>
    <xf numFmtId="0" fontId="51" fillId="17" borderId="0" xfId="0" applyFont="1" applyFill="1" applyAlignment="1">
      <alignment horizontal="center" vertical="center"/>
    </xf>
    <xf numFmtId="0" fontId="27" fillId="0" borderId="89" xfId="0" applyNumberFormat="1" applyFont="1" applyFill="1" applyBorder="1" applyAlignment="1">
      <alignment horizontal="left" vertical="center" wrapText="1"/>
    </xf>
    <xf numFmtId="0" fontId="75" fillId="8" borderId="89" xfId="0" applyFont="1" applyFill="1" applyBorder="1" applyAlignment="1">
      <alignment horizontal="left" vertical="center"/>
    </xf>
    <xf numFmtId="0" fontId="27" fillId="37" borderId="89" xfId="0" applyFont="1" applyFill="1" applyBorder="1" applyAlignment="1">
      <alignment horizontal="center" vertical="center" wrapText="1"/>
    </xf>
    <xf numFmtId="0" fontId="27" fillId="4" borderId="89" xfId="0" applyFont="1" applyFill="1" applyBorder="1" applyAlignment="1">
      <alignment horizontal="center" vertical="center" wrapText="1"/>
    </xf>
    <xf numFmtId="0" fontId="76" fillId="14" borderId="89" xfId="0" applyFont="1" applyFill="1" applyBorder="1" applyAlignment="1">
      <alignment horizontal="center" vertical="center" wrapText="1" readingOrder="1"/>
    </xf>
    <xf numFmtId="0" fontId="28" fillId="13" borderId="89" xfId="0" applyFont="1" applyFill="1" applyBorder="1" applyAlignment="1">
      <alignment horizontal="center" vertical="center" wrapText="1"/>
    </xf>
    <xf numFmtId="0" fontId="28" fillId="13" borderId="89" xfId="0" applyNumberFormat="1" applyFont="1" applyFill="1" applyBorder="1" applyAlignment="1">
      <alignment horizontal="center" vertical="center"/>
    </xf>
    <xf numFmtId="0" fontId="27" fillId="0" borderId="126" xfId="0" applyFont="1" applyFill="1" applyBorder="1" applyAlignment="1">
      <alignment horizontal="center" vertical="center" wrapText="1"/>
    </xf>
    <xf numFmtId="0" fontId="49" fillId="8" borderId="89" xfId="0" applyFont="1" applyFill="1" applyBorder="1" applyAlignment="1">
      <alignment horizontal="center" vertical="center" wrapText="1"/>
    </xf>
    <xf numFmtId="0" fontId="28" fillId="0" borderId="89" xfId="0" applyFont="1" applyBorder="1" applyAlignment="1">
      <alignment horizontal="center" vertical="center" wrapText="1"/>
    </xf>
    <xf numFmtId="1" fontId="27" fillId="0" borderId="89" xfId="0" applyNumberFormat="1" applyFont="1" applyFill="1" applyBorder="1" applyAlignment="1">
      <alignment horizontal="center" vertical="center" wrapText="1"/>
    </xf>
    <xf numFmtId="1" fontId="27" fillId="0" borderId="124" xfId="0" applyNumberFormat="1" applyFont="1" applyFill="1" applyBorder="1" applyAlignment="1">
      <alignment horizontal="center" vertical="center" wrapText="1"/>
    </xf>
    <xf numFmtId="2" fontId="49" fillId="0" borderId="89" xfId="0" applyNumberFormat="1" applyFont="1" applyFill="1" applyBorder="1" applyAlignment="1">
      <alignment horizontal="center" vertical="center"/>
    </xf>
    <xf numFmtId="2" fontId="27" fillId="0" borderId="125" xfId="0" applyNumberFormat="1" applyFont="1" applyFill="1" applyBorder="1" applyAlignment="1">
      <alignment horizontal="center" vertical="center" wrapText="1"/>
    </xf>
    <xf numFmtId="0" fontId="56" fillId="7" borderId="89" xfId="0" applyFont="1" applyFill="1" applyBorder="1" applyAlignment="1">
      <alignment horizontal="center" vertical="center" wrapText="1"/>
    </xf>
    <xf numFmtId="0" fontId="55" fillId="7" borderId="82" xfId="0" applyFont="1" applyFill="1" applyBorder="1" applyAlignment="1">
      <alignment horizontal="center" vertical="center"/>
    </xf>
    <xf numFmtId="0" fontId="55" fillId="13" borderId="82" xfId="0" applyFont="1" applyFill="1" applyBorder="1" applyAlignment="1">
      <alignment horizontal="center" vertical="center"/>
    </xf>
    <xf numFmtId="0" fontId="33" fillId="4" borderId="82" xfId="0" applyFont="1" applyFill="1" applyBorder="1" applyAlignment="1">
      <alignment horizontal="center" vertical="center"/>
    </xf>
    <xf numFmtId="0" fontId="27" fillId="37" borderId="127" xfId="0" applyFont="1" applyFill="1" applyBorder="1" applyAlignment="1">
      <alignment horizontal="center" vertical="center"/>
    </xf>
    <xf numFmtId="9" fontId="33" fillId="0" borderId="72" xfId="0" applyNumberFormat="1" applyFont="1" applyBorder="1" applyAlignment="1">
      <alignment horizontal="center" vertical="center"/>
    </xf>
    <xf numFmtId="0" fontId="45" fillId="7" borderId="121" xfId="0" applyFont="1" applyFill="1" applyBorder="1" applyAlignment="1">
      <alignment horizontal="center" vertical="center" wrapText="1" readingOrder="1"/>
    </xf>
    <xf numFmtId="0" fontId="45" fillId="7" borderId="122" xfId="0" applyFont="1" applyFill="1" applyBorder="1" applyAlignment="1">
      <alignment horizontal="center" vertical="center" wrapText="1" readingOrder="1"/>
    </xf>
    <xf numFmtId="0" fontId="12" fillId="7" borderId="9" xfId="0" applyFont="1" applyFill="1" applyBorder="1" applyAlignment="1">
      <alignment horizontal="center" vertical="center" wrapText="1"/>
    </xf>
    <xf numFmtId="0" fontId="12" fillId="7" borderId="122" xfId="0" applyFont="1" applyFill="1" applyBorder="1" applyAlignment="1">
      <alignment horizontal="center" vertical="center" wrapText="1"/>
    </xf>
    <xf numFmtId="0" fontId="45" fillId="7" borderId="121" xfId="0" applyFont="1" applyFill="1" applyBorder="1" applyAlignment="1">
      <alignment horizontal="left" vertical="center" wrapText="1" readingOrder="1"/>
    </xf>
    <xf numFmtId="0" fontId="45" fillId="7" borderId="122" xfId="0" applyFont="1" applyFill="1" applyBorder="1" applyAlignment="1">
      <alignment horizontal="left" vertical="center" wrapText="1" readingOrder="1"/>
    </xf>
    <xf numFmtId="0" fontId="55" fillId="35" borderId="112" xfId="0" applyFont="1" applyFill="1" applyBorder="1" applyAlignment="1">
      <alignment horizontal="center" vertical="center" wrapText="1"/>
    </xf>
    <xf numFmtId="0" fontId="55" fillId="35" borderId="113" xfId="0" applyFont="1" applyFill="1" applyBorder="1" applyAlignment="1">
      <alignment horizontal="center" vertical="center" wrapText="1"/>
    </xf>
    <xf numFmtId="0" fontId="55" fillId="35" borderId="114" xfId="0" applyFont="1" applyFill="1" applyBorder="1" applyAlignment="1">
      <alignment horizontal="center" vertical="center" wrapText="1"/>
    </xf>
    <xf numFmtId="0" fontId="33" fillId="15" borderId="87" xfId="0" applyFont="1" applyFill="1" applyBorder="1" applyAlignment="1">
      <alignment horizontal="center" vertical="center"/>
    </xf>
    <xf numFmtId="0" fontId="33" fillId="15" borderId="115" xfId="0" applyFont="1" applyFill="1" applyBorder="1" applyAlignment="1">
      <alignment horizontal="center" vertical="center"/>
    </xf>
    <xf numFmtId="0" fontId="33" fillId="15" borderId="116" xfId="0" applyFont="1" applyFill="1" applyBorder="1" applyAlignment="1">
      <alignment horizontal="center" vertical="center"/>
    </xf>
    <xf numFmtId="0" fontId="12" fillId="7" borderId="71" xfId="0" applyFont="1" applyFill="1" applyBorder="1" applyAlignment="1">
      <alignment horizontal="center" vertical="center" wrapText="1"/>
    </xf>
    <xf numFmtId="0" fontId="12" fillId="7" borderId="106" xfId="0" applyFont="1" applyFill="1" applyBorder="1" applyAlignment="1">
      <alignment horizontal="center" vertical="center" wrapText="1"/>
    </xf>
    <xf numFmtId="0" fontId="45" fillId="7" borderId="87" xfId="0" applyFont="1" applyFill="1" applyBorder="1" applyAlignment="1">
      <alignment horizontal="center" vertical="center" wrapText="1" readingOrder="1"/>
    </xf>
    <xf numFmtId="0" fontId="45" fillId="7" borderId="116" xfId="0" applyFont="1" applyFill="1" applyBorder="1" applyAlignment="1">
      <alignment horizontal="center" vertical="center" wrapText="1" readingOrder="1"/>
    </xf>
    <xf numFmtId="0" fontId="12" fillId="7" borderId="87" xfId="0" applyFont="1" applyFill="1" applyBorder="1" applyAlignment="1">
      <alignment horizontal="center" vertical="center" wrapText="1"/>
    </xf>
    <xf numFmtId="0" fontId="12" fillId="7" borderId="116" xfId="0" applyFont="1" applyFill="1" applyBorder="1" applyAlignment="1">
      <alignment horizontal="center" vertical="center" wrapText="1"/>
    </xf>
    <xf numFmtId="0" fontId="55" fillId="7" borderId="87" xfId="0" applyFont="1" applyFill="1" applyBorder="1" applyAlignment="1">
      <alignment horizontal="center" vertical="center" wrapText="1"/>
    </xf>
    <xf numFmtId="0" fontId="55" fillId="7" borderId="116" xfId="0" applyFont="1" applyFill="1" applyBorder="1" applyAlignment="1">
      <alignment horizontal="center" vertical="center" wrapText="1"/>
    </xf>
    <xf numFmtId="0" fontId="12" fillId="7" borderId="88" xfId="0" applyFont="1" applyFill="1" applyBorder="1" applyAlignment="1">
      <alignment horizontal="center" vertical="center" wrapText="1"/>
    </xf>
    <xf numFmtId="2" fontId="56" fillId="14" borderId="88" xfId="0" applyNumberFormat="1" applyFont="1" applyFill="1" applyBorder="1" applyAlignment="1">
      <alignment horizontal="center" vertical="center" wrapText="1"/>
    </xf>
    <xf numFmtId="2" fontId="56" fillId="14" borderId="90" xfId="0" applyNumberFormat="1" applyFont="1" applyFill="1" applyBorder="1" applyAlignment="1">
      <alignment horizontal="center" vertical="center" wrapText="1"/>
    </xf>
    <xf numFmtId="2" fontId="56" fillId="14" borderId="41" xfId="0" applyNumberFormat="1" applyFont="1" applyFill="1" applyBorder="1" applyAlignment="1">
      <alignment horizontal="center" vertical="center" wrapText="1"/>
    </xf>
    <xf numFmtId="1" fontId="56" fillId="28" borderId="88" xfId="0" applyNumberFormat="1" applyFont="1" applyFill="1" applyBorder="1" applyAlignment="1">
      <alignment horizontal="center" vertical="center" wrapText="1"/>
    </xf>
    <xf numFmtId="1" fontId="56" fillId="28" borderId="90" xfId="0" applyNumberFormat="1" applyFont="1" applyFill="1" applyBorder="1" applyAlignment="1">
      <alignment horizontal="center" vertical="center" wrapText="1"/>
    </xf>
    <xf numFmtId="2" fontId="56" fillId="28" borderId="88" xfId="0" applyNumberFormat="1" applyFont="1" applyFill="1" applyBorder="1" applyAlignment="1">
      <alignment horizontal="center" vertical="center" wrapText="1"/>
    </xf>
    <xf numFmtId="2" fontId="56" fillId="28" borderId="90" xfId="0" applyNumberFormat="1" applyFont="1" applyFill="1" applyBorder="1" applyAlignment="1">
      <alignment horizontal="center" vertical="center" wrapText="1"/>
    </xf>
    <xf numFmtId="2" fontId="56" fillId="28" borderId="41" xfId="0" applyNumberFormat="1" applyFont="1" applyFill="1" applyBorder="1" applyAlignment="1">
      <alignment horizontal="center" vertical="center" wrapText="1"/>
    </xf>
    <xf numFmtId="1" fontId="56" fillId="28" borderId="41" xfId="0" applyNumberFormat="1" applyFont="1" applyFill="1" applyBorder="1" applyAlignment="1">
      <alignment horizontal="center" vertical="center" wrapText="1"/>
    </xf>
    <xf numFmtId="2" fontId="56" fillId="14" borderId="92" xfId="0" applyNumberFormat="1" applyFont="1" applyFill="1" applyBorder="1" applyAlignment="1">
      <alignment horizontal="center" vertical="center" wrapText="1"/>
    </xf>
    <xf numFmtId="2" fontId="56" fillId="14" borderId="91" xfId="0" applyNumberFormat="1" applyFont="1" applyFill="1" applyBorder="1" applyAlignment="1">
      <alignment horizontal="center" vertical="center" wrapText="1"/>
    </xf>
    <xf numFmtId="0" fontId="58" fillId="15" borderId="88" xfId="0" applyFont="1" applyFill="1" applyBorder="1" applyAlignment="1">
      <alignment horizontal="center" vertical="center" wrapText="1"/>
    </xf>
    <xf numFmtId="0" fontId="58" fillId="15" borderId="41" xfId="0" applyFont="1" applyFill="1" applyBorder="1" applyAlignment="1">
      <alignment horizontal="center" vertical="center" wrapText="1"/>
    </xf>
    <xf numFmtId="0" fontId="58" fillId="15" borderId="90" xfId="0" applyFont="1" applyFill="1" applyBorder="1" applyAlignment="1">
      <alignment horizontal="center" vertical="center" wrapText="1"/>
    </xf>
    <xf numFmtId="0" fontId="58" fillId="0" borderId="88" xfId="0" applyFont="1" applyBorder="1" applyAlignment="1">
      <alignment horizontal="center" vertical="center" wrapText="1"/>
    </xf>
    <xf numFmtId="0" fontId="58" fillId="0" borderId="90" xfId="0" applyFont="1" applyBorder="1" applyAlignment="1">
      <alignment horizontal="center" vertical="center" wrapText="1"/>
    </xf>
    <xf numFmtId="0" fontId="56" fillId="28" borderId="71" xfId="0" applyFont="1" applyFill="1" applyBorder="1" applyAlignment="1">
      <alignment horizontal="left" vertical="center" wrapText="1"/>
    </xf>
    <xf numFmtId="0" fontId="56" fillId="28" borderId="106" xfId="0" applyFont="1" applyFill="1" applyBorder="1" applyAlignment="1">
      <alignment horizontal="left" vertical="center" wrapText="1"/>
    </xf>
    <xf numFmtId="0" fontId="56" fillId="28" borderId="88" xfId="0" applyFont="1" applyFill="1" applyBorder="1" applyAlignment="1">
      <alignment horizontal="left" vertical="center" wrapText="1"/>
    </xf>
    <xf numFmtId="0" fontId="56" fillId="28" borderId="88" xfId="0" applyFont="1" applyFill="1" applyBorder="1" applyAlignment="1">
      <alignment horizontal="center" vertical="center" wrapText="1"/>
    </xf>
    <xf numFmtId="0" fontId="56" fillId="28" borderId="90" xfId="0" applyFont="1" applyFill="1" applyBorder="1" applyAlignment="1">
      <alignment horizontal="center" vertical="center" wrapText="1"/>
    </xf>
    <xf numFmtId="0" fontId="56" fillId="28" borderId="92" xfId="0" applyFont="1" applyFill="1" applyBorder="1" applyAlignment="1">
      <alignment horizontal="center" vertical="center" wrapText="1"/>
    </xf>
    <xf numFmtId="0" fontId="58" fillId="0" borderId="41" xfId="0" applyFont="1" applyBorder="1" applyAlignment="1">
      <alignment horizontal="center" vertical="center" wrapText="1"/>
    </xf>
    <xf numFmtId="0" fontId="38" fillId="0" borderId="41" xfId="0" applyFont="1" applyBorder="1" applyAlignment="1">
      <alignment horizontal="center" vertical="center" wrapText="1"/>
    </xf>
    <xf numFmtId="0" fontId="38" fillId="15" borderId="41" xfId="0" applyFont="1" applyFill="1" applyBorder="1" applyAlignment="1">
      <alignment horizontal="center" vertical="center" wrapText="1"/>
    </xf>
    <xf numFmtId="0" fontId="40" fillId="15" borderId="41" xfId="0" applyFont="1" applyFill="1" applyBorder="1" applyAlignment="1">
      <alignment vertical="center" wrapText="1"/>
    </xf>
    <xf numFmtId="0" fontId="38" fillId="15" borderId="41" xfId="0" applyFont="1" applyFill="1" applyBorder="1" applyAlignment="1">
      <alignment vertical="center" wrapText="1"/>
    </xf>
    <xf numFmtId="0" fontId="40" fillId="0" borderId="41" xfId="0" applyFont="1" applyBorder="1" applyAlignment="1">
      <alignment vertical="center" wrapText="1"/>
    </xf>
    <xf numFmtId="9" fontId="38" fillId="15" borderId="41" xfId="3" applyFont="1" applyFill="1" applyBorder="1" applyAlignment="1">
      <alignment horizontal="center" vertical="center" wrapText="1"/>
    </xf>
    <xf numFmtId="9" fontId="38" fillId="0" borderId="41" xfId="3" applyFont="1" applyFill="1" applyBorder="1" applyAlignment="1">
      <alignment horizontal="center" vertical="center" wrapText="1"/>
    </xf>
    <xf numFmtId="0" fontId="64" fillId="0" borderId="0" xfId="0" applyFont="1" applyAlignment="1">
      <alignment horizontal="left" vertical="center" wrapText="1"/>
    </xf>
    <xf numFmtId="0" fontId="38" fillId="0" borderId="41" xfId="0" applyFont="1" applyBorder="1" applyAlignment="1">
      <alignment vertical="center" wrapText="1"/>
    </xf>
    <xf numFmtId="0" fontId="12" fillId="7" borderId="6" xfId="0" applyFont="1" applyFill="1" applyBorder="1" applyAlignment="1">
      <alignment horizontal="center" vertical="center"/>
    </xf>
    <xf numFmtId="0" fontId="12" fillId="7" borderId="16" xfId="0" applyFont="1" applyFill="1" applyBorder="1" applyAlignment="1">
      <alignment horizontal="center" vertical="center"/>
    </xf>
    <xf numFmtId="0" fontId="12" fillId="7" borderId="7" xfId="0" applyFont="1" applyFill="1" applyBorder="1" applyAlignment="1">
      <alignment horizontal="center" vertical="center"/>
    </xf>
    <xf numFmtId="0" fontId="23" fillId="7" borderId="6" xfId="0" applyFont="1" applyFill="1" applyBorder="1" applyAlignment="1">
      <alignment horizontal="center" vertical="center"/>
    </xf>
    <xf numFmtId="0" fontId="23" fillId="7" borderId="16" xfId="0" applyFont="1" applyFill="1" applyBorder="1" applyAlignment="1">
      <alignment horizontal="center" vertical="center"/>
    </xf>
    <xf numFmtId="0" fontId="57" fillId="0" borderId="0" xfId="0" applyFont="1" applyAlignment="1">
      <alignment horizontal="left" vertical="center" wrapText="1"/>
    </xf>
    <xf numFmtId="0" fontId="10" fillId="7" borderId="6" xfId="0" applyFont="1" applyFill="1" applyBorder="1" applyAlignment="1">
      <alignment horizontal="center" vertical="center"/>
    </xf>
    <xf numFmtId="0" fontId="10" fillId="7" borderId="16" xfId="0" applyFont="1" applyFill="1" applyBorder="1" applyAlignment="1">
      <alignment horizontal="center" vertical="center"/>
    </xf>
    <xf numFmtId="0" fontId="10" fillId="7" borderId="7" xfId="0" applyFont="1" applyFill="1" applyBorder="1" applyAlignment="1">
      <alignment horizontal="center" vertical="center"/>
    </xf>
    <xf numFmtId="0" fontId="23" fillId="7" borderId="5" xfId="0" applyFont="1" applyFill="1" applyBorder="1" applyAlignment="1">
      <alignment horizontal="center" vertical="center" wrapText="1" readingOrder="1"/>
    </xf>
    <xf numFmtId="0" fontId="23" fillId="4" borderId="42" xfId="0" applyFont="1" applyFill="1" applyBorder="1" applyAlignment="1">
      <alignment horizontal="center" vertical="center"/>
    </xf>
    <xf numFmtId="0" fontId="23" fillId="4" borderId="53" xfId="0" applyFont="1" applyFill="1" applyBorder="1" applyAlignment="1">
      <alignment horizontal="center" vertical="center"/>
    </xf>
    <xf numFmtId="0" fontId="23" fillId="4" borderId="0" xfId="0" applyFont="1" applyFill="1" applyAlignment="1">
      <alignment horizontal="center" vertical="center"/>
    </xf>
    <xf numFmtId="0" fontId="23" fillId="4" borderId="60" xfId="0" applyFont="1" applyFill="1" applyBorder="1" applyAlignment="1">
      <alignment horizontal="center" vertical="center"/>
    </xf>
    <xf numFmtId="0" fontId="23" fillId="4" borderId="61" xfId="0" applyFont="1" applyFill="1" applyBorder="1" applyAlignment="1">
      <alignment horizontal="center" vertical="center"/>
    </xf>
    <xf numFmtId="9" fontId="35" fillId="0" borderId="51" xfId="0" applyNumberFormat="1" applyFont="1" applyBorder="1" applyAlignment="1">
      <alignment horizontal="center" vertical="center"/>
    </xf>
    <xf numFmtId="0" fontId="35" fillId="0" borderId="52" xfId="0" applyFont="1" applyBorder="1" applyAlignment="1">
      <alignment horizontal="center" vertical="center"/>
    </xf>
    <xf numFmtId="0" fontId="35" fillId="0" borderId="54" xfId="0" applyFont="1" applyBorder="1" applyAlignment="1">
      <alignment horizontal="center" vertical="center"/>
    </xf>
    <xf numFmtId="0" fontId="21" fillId="7" borderId="31" xfId="0" applyFont="1" applyFill="1" applyBorder="1" applyAlignment="1">
      <alignment horizontal="left" vertical="center" wrapText="1"/>
    </xf>
    <xf numFmtId="0" fontId="21" fillId="7" borderId="32" xfId="0" applyFont="1" applyFill="1" applyBorder="1" applyAlignment="1">
      <alignment horizontal="left" vertical="center" wrapText="1"/>
    </xf>
    <xf numFmtId="0" fontId="21" fillId="7" borderId="36" xfId="2" applyFont="1" applyFill="1" applyBorder="1" applyAlignment="1">
      <alignment horizontal="left" vertical="center" wrapText="1"/>
    </xf>
    <xf numFmtId="0" fontId="21" fillId="7" borderId="37" xfId="2" applyFont="1" applyFill="1" applyBorder="1" applyAlignment="1">
      <alignment horizontal="left" vertical="center" wrapText="1"/>
    </xf>
    <xf numFmtId="0" fontId="21" fillId="7" borderId="23" xfId="0" applyFont="1" applyFill="1" applyBorder="1" applyAlignment="1">
      <alignment horizontal="left" vertical="center" wrapText="1"/>
    </xf>
    <xf numFmtId="0" fontId="21" fillId="7" borderId="0" xfId="0" applyFont="1" applyFill="1" applyAlignment="1">
      <alignment horizontal="left" vertical="center" wrapText="1"/>
    </xf>
    <xf numFmtId="0" fontId="2" fillId="3" borderId="5" xfId="0" applyFont="1" applyFill="1" applyBorder="1" applyAlignment="1">
      <alignment horizontal="center"/>
    </xf>
    <xf numFmtId="0" fontId="2" fillId="3" borderId="7" xfId="0" applyFont="1" applyFill="1" applyBorder="1" applyAlignment="1">
      <alignment horizontal="center"/>
    </xf>
    <xf numFmtId="0" fontId="2" fillId="3" borderId="0" xfId="0" applyFont="1" applyFill="1" applyAlignment="1">
      <alignment horizontal="center"/>
    </xf>
    <xf numFmtId="0" fontId="2" fillId="3" borderId="6" xfId="0" applyFont="1" applyFill="1" applyBorder="1" applyAlignment="1">
      <alignment horizontal="center"/>
    </xf>
    <xf numFmtId="0" fontId="46" fillId="5" borderId="0" xfId="0" applyFont="1" applyFill="1" applyAlignment="1">
      <alignment horizontal="center" vertical="center"/>
    </xf>
    <xf numFmtId="0" fontId="46" fillId="5" borderId="79" xfId="0" applyFont="1" applyFill="1" applyBorder="1" applyAlignment="1">
      <alignment horizontal="center" vertical="center"/>
    </xf>
    <xf numFmtId="0" fontId="46" fillId="0" borderId="0" xfId="0" applyFont="1" applyFill="1" applyAlignment="1">
      <alignment horizontal="center" vertical="center"/>
    </xf>
  </cellXfs>
  <cellStyles count="4">
    <cellStyle name="Comma" xfId="1" builtinId="3"/>
    <cellStyle name="Hyperlink" xfId="2" builtinId="8"/>
    <cellStyle name="Normal" xfId="0" builtinId="0"/>
    <cellStyle name="Percent" xfId="3" builtinId="5"/>
  </cellStyles>
  <dxfs count="2953">
    <dxf>
      <font>
        <color auto="1"/>
      </font>
    </dxf>
    <dxf>
      <font>
        <color auto="1"/>
      </font>
    </dxf>
    <dxf>
      <fill>
        <patternFill patternType="solid">
          <fgColor rgb="FF00B050"/>
          <bgColor rgb="FF000000"/>
        </patternFill>
      </fill>
    </dxf>
    <dxf>
      <fill>
        <patternFill patternType="solid">
          <fgColor rgb="FF00B050"/>
          <bgColor rgb="FF000000"/>
        </patternFill>
      </fill>
    </dxf>
    <dxf>
      <fill>
        <patternFill patternType="solid">
          <fgColor rgb="FF00B050"/>
          <bgColor rgb="FF000000"/>
        </patternFill>
      </fill>
    </dxf>
    <dxf>
      <fill>
        <patternFill patternType="solid">
          <fgColor rgb="FF00B050"/>
          <bgColor rgb="FF000000"/>
        </patternFill>
      </fill>
    </dxf>
    <dxf>
      <font>
        <b val="0"/>
        <i val="0"/>
        <strike val="0"/>
        <condense val="0"/>
        <extend val="0"/>
        <outline val="0"/>
        <shadow val="0"/>
        <u val="none"/>
        <vertAlign val="baseline"/>
        <sz val="10"/>
        <color theme="1"/>
        <name val="Verdana"/>
        <family val="2"/>
        <scheme val="none"/>
      </font>
      <alignment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vertical="center" textRotation="0" wrapText="0" indent="0" justifyLastLine="0" shrinkToFit="0" readingOrder="0"/>
    </dxf>
    <dxf>
      <alignment horizontal="left"/>
    </dxf>
    <dxf>
      <font>
        <color theme="0"/>
      </font>
      <fill>
        <patternFill patternType="solid">
          <fgColor indexed="64"/>
          <bgColor rgb="FF002060"/>
        </patternFill>
      </fill>
      <alignment horizontal="center"/>
    </dxf>
    <dxf>
      <font>
        <color theme="0"/>
      </font>
      <fill>
        <patternFill patternType="solid">
          <fgColor indexed="64"/>
          <bgColor rgb="FF002060"/>
        </patternFill>
      </fill>
      <alignment horizontal="center"/>
    </dxf>
    <dxf>
      <font>
        <color theme="0"/>
      </font>
      <fill>
        <patternFill patternType="solid">
          <fgColor indexed="64"/>
          <bgColor rgb="FF002060"/>
        </patternFill>
      </fill>
      <alignment horizontal="center"/>
    </dxf>
    <dxf>
      <font>
        <color theme="0"/>
      </font>
      <fill>
        <patternFill patternType="solid">
          <fgColor indexed="64"/>
          <bgColor rgb="FF002060"/>
        </patternFill>
      </fill>
      <alignment horizontal="center"/>
    </dxf>
    <dxf>
      <font>
        <color theme="0"/>
      </font>
      <fill>
        <patternFill patternType="solid">
          <fgColor indexed="64"/>
          <bgColor rgb="FF002060"/>
        </patternFill>
      </fill>
      <alignment horizontal="center"/>
    </dxf>
    <dxf>
      <font>
        <color theme="0"/>
      </font>
      <fill>
        <patternFill patternType="solid">
          <fgColor indexed="64"/>
          <bgColor rgb="FF002060"/>
        </patternFill>
      </fill>
      <alignment horizontal="center"/>
    </dxf>
    <dxf>
      <font>
        <b val="0"/>
      </font>
    </dxf>
    <dxf>
      <font>
        <b val="0"/>
      </font>
    </dxf>
    <dxf>
      <font>
        <b val="0"/>
      </font>
    </dxf>
    <dxf>
      <font>
        <b val="0"/>
      </font>
    </dxf>
    <dxf>
      <font>
        <b val="0"/>
      </font>
    </dxf>
    <dxf>
      <font>
        <b val="0"/>
      </font>
    </dxf>
    <dxf>
      <font>
        <b val="0"/>
      </font>
    </dxf>
    <dxf>
      <font>
        <b val="0"/>
      </font>
    </dxf>
    <dxf>
      <font>
        <b val="0"/>
      </font>
    </dxf>
    <dxf>
      <font>
        <b val="0"/>
      </font>
    </dxf>
    <dxf>
      <font>
        <color auto="1"/>
      </font>
    </dxf>
    <dxf>
      <font>
        <color auto="1"/>
      </font>
    </dxf>
    <dxf>
      <font>
        <color auto="1"/>
      </font>
    </dxf>
    <dxf>
      <font>
        <color auto="1"/>
      </font>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font>
        <b val="0"/>
      </font>
    </dxf>
    <dxf>
      <font>
        <b val="0"/>
      </font>
    </dxf>
    <dxf>
      <font>
        <i val="0"/>
      </font>
    </dxf>
    <dxf>
      <font>
        <i val="0"/>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b val="0"/>
      </font>
    </dxf>
    <dxf>
      <font>
        <b val="0"/>
      </font>
    </dxf>
    <dxf>
      <font>
        <b val="0"/>
      </font>
    </dxf>
    <dxf>
      <font>
        <b val="0"/>
      </font>
    </dxf>
    <dxf>
      <font>
        <b val="0"/>
      </font>
    </dxf>
    <dxf>
      <font>
        <b val="0"/>
      </font>
    </dxf>
    <dxf>
      <font>
        <b val="0"/>
      </font>
    </dxf>
    <dxf>
      <font>
        <b val="0"/>
      </font>
    </dxf>
    <dxf>
      <font>
        <b val="0"/>
      </font>
    </dxf>
    <dxf>
      <font>
        <b val="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font>
        <sz val="9"/>
      </font>
    </dxf>
    <dxf>
      <font>
        <sz val="9"/>
      </font>
    </dxf>
    <dxf>
      <font>
        <sz val="9"/>
      </font>
    </dxf>
    <dxf>
      <font>
        <sz val="9"/>
      </font>
    </dxf>
    <dxf>
      <font>
        <sz val="9"/>
      </font>
    </dxf>
    <dxf>
      <font>
        <sz val="9"/>
      </font>
    </dxf>
    <dxf>
      <font>
        <sz val="9"/>
      </font>
    </dxf>
    <dxf>
      <font>
        <sz val="9"/>
      </font>
    </dxf>
    <dxf>
      <font>
        <sz val="9"/>
      </font>
    </dxf>
    <dxf>
      <font>
        <sz val="9"/>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ill>
        <patternFill>
          <bgColor rgb="FF44546A"/>
        </patternFill>
      </fill>
    </dxf>
    <dxf>
      <fill>
        <patternFill>
          <bgColor rgb="FF44546A"/>
        </patternFill>
      </fill>
    </dxf>
    <dxf>
      <fill>
        <patternFill>
          <bgColor rgb="FF44546A"/>
        </patternFill>
      </fill>
    </dxf>
    <dxf>
      <fill>
        <patternFill>
          <bgColor rgb="FF44546A"/>
        </patternFill>
      </fill>
    </dxf>
    <dxf>
      <fill>
        <patternFill>
          <bgColor rgb="FF44546A"/>
        </patternFill>
      </fill>
    </dxf>
    <dxf>
      <fill>
        <patternFill>
          <bgColor rgb="FF44546A"/>
        </patternFill>
      </fill>
    </dxf>
    <dxf>
      <border>
        <left style="thick">
          <color rgb="FF002060"/>
        </left>
        <top style="thick">
          <color rgb="FF002060"/>
        </top>
        <bottom style="thick">
          <color rgb="FF002060"/>
        </bottom>
      </border>
    </dxf>
    <dxf>
      <border>
        <left style="thick">
          <color rgb="FF002060"/>
        </left>
        <right style="thick">
          <color rgb="FF002060"/>
        </right>
        <top style="thick">
          <color rgb="FF002060"/>
        </top>
        <bottom style="thick">
          <color rgb="FF002060"/>
        </bottom>
      </border>
    </dxf>
    <dxf>
      <border>
        <right style="thick">
          <color rgb="FF002060"/>
        </right>
        <top style="thick">
          <color rgb="FF002060"/>
        </top>
        <bottom style="thick">
          <color rgb="FF002060"/>
        </bottom>
      </border>
    </dxf>
    <dxf>
      <border>
        <left style="thick">
          <color rgb="FF002060"/>
        </left>
        <right style="thick">
          <color rgb="FF002060"/>
        </right>
        <top style="thick">
          <color rgb="FF002060"/>
        </top>
        <bottom style="thick">
          <color rgb="FF002060"/>
        </bottom>
      </border>
    </dxf>
    <dxf>
      <alignment horizontal="left"/>
    </dxf>
    <dxf>
      <font>
        <color theme="0"/>
      </font>
      <fill>
        <patternFill patternType="solid">
          <fgColor indexed="64"/>
          <bgColor rgb="FF002060"/>
        </patternFill>
      </fill>
      <alignment horizontal="center"/>
    </dxf>
    <dxf>
      <font>
        <color theme="0"/>
      </font>
      <fill>
        <patternFill patternType="solid">
          <fgColor indexed="64"/>
          <bgColor rgb="FF002060"/>
        </patternFill>
      </fill>
      <alignment horizontal="center"/>
    </dxf>
    <dxf>
      <font>
        <color theme="0"/>
      </font>
      <fill>
        <patternFill patternType="solid">
          <fgColor indexed="64"/>
          <bgColor rgb="FF002060"/>
        </patternFill>
      </fill>
      <alignment horizontal="center"/>
    </dxf>
    <dxf>
      <font>
        <color theme="0"/>
      </font>
    </dxf>
    <dxf>
      <font>
        <color theme="0"/>
      </font>
    </dxf>
    <dxf>
      <font>
        <color theme="0"/>
      </font>
    </dxf>
    <dxf>
      <fill>
        <patternFill patternType="solid">
          <bgColor rgb="FF002060"/>
        </patternFill>
      </fill>
    </dxf>
    <dxf>
      <fill>
        <patternFill patternType="solid">
          <bgColor rgb="FF002060"/>
        </patternFill>
      </fill>
    </dxf>
    <dxf>
      <fill>
        <patternFill patternType="solid">
          <bgColor rgb="FF002060"/>
        </patternFill>
      </fill>
    </dxf>
    <dxf>
      <font>
        <b val="0"/>
      </font>
    </dxf>
    <dxf>
      <font>
        <b val="0"/>
      </font>
    </dxf>
    <dxf>
      <font>
        <b val="0"/>
      </font>
    </dxf>
    <dxf>
      <font>
        <b val="0"/>
      </font>
    </dxf>
    <dxf>
      <font>
        <b val="0"/>
      </font>
    </dxf>
    <dxf>
      <font>
        <b val="0"/>
      </font>
    </dxf>
    <dxf>
      <font>
        <b val="0"/>
      </font>
    </dxf>
    <dxf>
      <font>
        <b val="0"/>
      </font>
    </dxf>
    <dxf>
      <font>
        <b val="0"/>
      </font>
    </dxf>
    <dxf>
      <font>
        <b val="0"/>
      </font>
    </dxf>
    <dxf>
      <font>
        <color auto="1"/>
      </font>
    </dxf>
    <dxf>
      <font>
        <color auto="1"/>
      </font>
    </dxf>
    <dxf>
      <font>
        <color auto="1"/>
      </font>
    </dxf>
    <dxf>
      <font>
        <color auto="1"/>
      </font>
    </dxf>
    <dxf>
      <font>
        <color auto="1"/>
      </font>
    </dxf>
    <dxf>
      <font>
        <color auto="1"/>
      </font>
    </dxf>
    <dxf>
      <font>
        <color auto="1"/>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horizontal="center"/>
    </dxf>
    <dxf>
      <alignment horizontal="center"/>
    </dxf>
    <dxf>
      <border>
        <top/>
      </border>
    </dxf>
    <dxf>
      <border>
        <top/>
      </border>
    </dxf>
    <dxf>
      <border>
        <top/>
      </border>
    </dxf>
    <dxf>
      <border>
        <top/>
      </border>
    </dxf>
    <dxf>
      <border>
        <top/>
      </border>
    </dxf>
    <dxf>
      <border>
        <top/>
      </border>
    </dxf>
    <dxf>
      <border>
        <left style="medium">
          <color indexed="64"/>
        </left>
        <right style="medium">
          <color indexed="64"/>
        </right>
        <top style="medium">
          <color indexed="64"/>
        </top>
        <bottom style="medium">
          <color indexed="64"/>
        </bottom>
      </border>
    </dxf>
    <dxf>
      <border>
        <left/>
        <right/>
        <bottom/>
      </border>
    </dxf>
    <dxf>
      <border>
        <left/>
        <right/>
        <bottom/>
      </border>
    </dxf>
    <dxf>
      <border>
        <left/>
        <right/>
        <bottom/>
      </border>
    </dxf>
    <dxf>
      <border>
        <left/>
        <right/>
        <bottom/>
      </border>
    </dxf>
    <dxf>
      <border>
        <left/>
        <right/>
        <bottom/>
      </border>
    </dxf>
    <dxf>
      <border>
        <left/>
        <right/>
        <bottom/>
      </border>
    </dxf>
    <dxf>
      <border>
        <left/>
        <right/>
        <bottom/>
      </border>
    </dxf>
    <dxf>
      <border>
        <left/>
        <right/>
        <bottom/>
      </border>
    </dxf>
    <dxf>
      <border>
        <left/>
        <right/>
        <bottom/>
      </border>
    </dxf>
    <dxf>
      <border>
        <left/>
        <right/>
        <bottom/>
      </border>
    </dxf>
    <dxf>
      <font>
        <b/>
      </font>
    </dxf>
    <dxf>
      <font>
        <b val="0"/>
      </font>
    </dxf>
    <dxf>
      <font>
        <b val="0"/>
      </font>
    </dxf>
    <dxf>
      <font>
        <b val="0"/>
      </font>
    </dxf>
    <dxf>
      <font>
        <b val="0"/>
      </font>
    </dxf>
    <dxf>
      <font>
        <b val="0"/>
      </font>
    </dxf>
    <dxf>
      <font>
        <b val="0"/>
      </font>
    </dxf>
    <dxf>
      <font>
        <b val="0"/>
      </font>
    </dxf>
    <dxf>
      <font>
        <b val="0"/>
      </font>
    </dxf>
    <dxf>
      <font>
        <b val="0"/>
      </font>
    </dxf>
    <dxf>
      <font>
        <b val="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alignment horizontal="general"/>
    </dxf>
    <dxf>
      <alignment horizontal="general"/>
    </dxf>
    <dxf>
      <alignment horizontal="general"/>
    </dxf>
    <dxf>
      <font>
        <sz val="9"/>
      </font>
    </dxf>
    <dxf>
      <font>
        <sz val="9"/>
      </font>
    </dxf>
    <dxf>
      <font>
        <sz val="9"/>
      </font>
    </dxf>
    <dxf>
      <font>
        <sz val="9"/>
      </font>
    </dxf>
    <dxf>
      <font>
        <sz val="9"/>
      </font>
    </dxf>
    <dxf>
      <font>
        <sz val="9"/>
      </font>
    </dxf>
    <dxf>
      <font>
        <sz val="9"/>
      </font>
    </dxf>
    <dxf>
      <font>
        <sz val="9"/>
      </font>
    </dxf>
    <dxf>
      <font>
        <sz val="9"/>
      </font>
    </dxf>
    <dxf>
      <font>
        <sz val="9"/>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alignment horizontal="center"/>
    </dxf>
    <dxf>
      <alignment vertical="center"/>
    </dxf>
    <dxf>
      <alignment vertical="center"/>
    </dxf>
    <dxf>
      <alignment vertical="center"/>
    </dxf>
    <dxf>
      <border outline="0">
        <left style="medium">
          <color rgb="FF00B050"/>
        </left>
        <right style="medium">
          <color rgb="FF00B050"/>
        </right>
        <top style="medium">
          <color rgb="FF00B050"/>
        </top>
        <bottom style="medium">
          <color rgb="FF00B050"/>
        </bottom>
      </border>
    </dxf>
    <dxf>
      <border outline="0">
        <left style="medium">
          <color rgb="FF00B050"/>
        </left>
        <right style="medium">
          <color rgb="FF00B050"/>
        </right>
        <top style="medium">
          <color rgb="FF00B050"/>
        </top>
        <bottom style="medium">
          <color rgb="FF00B050"/>
        </bottom>
      </border>
    </dxf>
    <dxf>
      <border outline="0">
        <left style="medium">
          <color rgb="FF00B050"/>
        </left>
        <right style="medium">
          <color rgb="FF00B050"/>
        </right>
        <top style="medium">
          <color rgb="FF00B050"/>
        </top>
        <bottom style="medium">
          <color rgb="FF00B050"/>
        </bottom>
      </bord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horizontal="center"/>
    </dxf>
    <dxf>
      <alignment horizontal="center"/>
    </dxf>
    <dxf>
      <alignment horizontal="center"/>
    </dxf>
    <dxf>
      <fill>
        <patternFill patternType="solid">
          <bgColor rgb="FFFFFF00"/>
        </patternFill>
      </fill>
    </dxf>
    <dxf>
      <fill>
        <patternFill patternType="solid">
          <bgColor rgb="FFFFFF00"/>
        </patternFill>
      </fill>
    </dxf>
    <dxf>
      <alignment wrapText="1"/>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horizontal="center"/>
    </dxf>
    <dxf>
      <font>
        <color theme="0"/>
      </font>
    </dxf>
    <dxf>
      <fill>
        <patternFill patternType="solid">
          <bgColor rgb="FF002060"/>
        </patternFill>
      </fill>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font>
        <sz val="10"/>
      </font>
    </dxf>
    <dxf>
      <font>
        <sz val="10"/>
      </font>
    </dxf>
    <dxf>
      <font>
        <sz val="10"/>
      </font>
    </dxf>
    <dxf>
      <font>
        <sz val="10"/>
      </font>
    </dxf>
    <dxf>
      <font>
        <sz val="10"/>
      </font>
    </dxf>
    <dxf>
      <font>
        <sz val="10"/>
      </font>
    </dxf>
    <dxf>
      <font>
        <sz val="10"/>
        <color theme="0"/>
      </font>
      <fill>
        <patternFill patternType="solid">
          <fgColor indexed="64"/>
          <bgColor rgb="FF002060"/>
        </patternFill>
      </fill>
      <alignment horizontal="center" vertical="center" wrapText="1"/>
    </dxf>
    <dxf>
      <font>
        <sz val="10"/>
        <color theme="0"/>
      </font>
      <fill>
        <patternFill patternType="solid">
          <fgColor indexed="64"/>
          <bgColor rgb="FF002060"/>
        </patternFill>
      </fill>
      <alignment horizontal="center" vertical="center" wrapText="1"/>
    </dxf>
    <dxf>
      <font>
        <sz val="10"/>
      </font>
    </dxf>
    <dxf>
      <font>
        <sz val="10"/>
      </font>
    </dxf>
    <dxf>
      <font>
        <name val="Verdana"/>
        <family val="2"/>
        <scheme val="none"/>
      </font>
    </dxf>
    <dxf>
      <font>
        <name val="Verdana"/>
        <family val="2"/>
        <scheme val="none"/>
      </font>
    </dxf>
    <dxf>
      <font>
        <name val="Verdana"/>
        <family val="2"/>
        <scheme val="none"/>
      </font>
    </dxf>
    <dxf>
      <font>
        <name val="Verdana"/>
        <family val="2"/>
        <scheme val="none"/>
      </font>
    </dxf>
    <dxf>
      <font>
        <name val="Verdana"/>
        <family val="2"/>
        <scheme val="none"/>
      </font>
    </dxf>
    <dxf>
      <font>
        <sz val="10"/>
        <color theme="0"/>
        <name val="Verdana"/>
        <scheme val="none"/>
      </font>
      <fill>
        <patternFill patternType="solid">
          <fgColor indexed="64"/>
          <bgColor rgb="FF002060"/>
        </patternFill>
      </fill>
      <alignment horizontal="center" vertical="center" wrapText="1"/>
    </dxf>
    <dxf>
      <font>
        <sz val="10"/>
        <color theme="0"/>
        <name val="Verdana"/>
        <scheme val="none"/>
      </font>
      <fill>
        <patternFill patternType="solid">
          <fgColor indexed="64"/>
          <bgColor rgb="FF002060"/>
        </patternFill>
      </fill>
      <alignment horizontal="center" vertical="center" wrapText="1"/>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font>
        <color theme="0"/>
      </font>
      <fill>
        <patternFill patternType="solid">
          <fgColor indexed="64"/>
          <bgColor rgb="FF002060"/>
        </patternFill>
      </fill>
      <alignment horizontal="center"/>
    </dxf>
    <dxf>
      <font>
        <color theme="0"/>
      </font>
      <fill>
        <patternFill patternType="solid">
          <fgColor indexed="64"/>
          <bgColor rgb="FF002060"/>
        </patternFill>
      </fill>
      <alignment horizontal="center"/>
    </dxf>
    <dxf>
      <font>
        <b val="0"/>
      </font>
    </dxf>
    <dxf>
      <font>
        <b val="0"/>
      </font>
    </dxf>
    <dxf>
      <font>
        <b val="0"/>
      </font>
    </dxf>
    <dxf>
      <font>
        <b val="0"/>
      </font>
    </dxf>
    <dxf>
      <font>
        <b val="0"/>
      </font>
    </dxf>
    <dxf>
      <font>
        <b val="0"/>
      </font>
    </dxf>
    <dxf>
      <font>
        <color auto="1"/>
      </font>
    </dxf>
    <dxf>
      <font>
        <color auto="1"/>
      </font>
    </dxf>
    <dxf>
      <font>
        <color auto="1"/>
      </font>
    </dxf>
    <dxf>
      <font>
        <color auto="1"/>
      </font>
    </dxf>
    <dxf>
      <alignment wrapText="1"/>
    </dxf>
    <dxf>
      <alignment wrapText="1"/>
    </dxf>
    <dxf>
      <alignment wrapText="1"/>
    </dxf>
    <dxf>
      <alignment wrapText="1"/>
    </dxf>
    <dxf>
      <alignment wrapText="1"/>
    </dxf>
    <dxf>
      <alignment wrapText="1"/>
    </dxf>
    <dxf>
      <font>
        <b val="0"/>
      </font>
    </dxf>
    <dxf>
      <font>
        <b val="0"/>
      </font>
    </dxf>
    <dxf>
      <font>
        <b val="0"/>
      </font>
    </dxf>
    <dxf>
      <font>
        <b val="0"/>
      </font>
    </dxf>
    <dxf>
      <font>
        <b val="0"/>
      </font>
    </dxf>
    <dxf>
      <font>
        <b val="0"/>
      </font>
    </dxf>
    <dxf>
      <font>
        <sz val="10"/>
      </font>
    </dxf>
    <dxf>
      <font>
        <sz val="10"/>
      </font>
    </dxf>
    <dxf>
      <font>
        <sz val="10"/>
      </font>
    </dxf>
    <dxf>
      <font>
        <sz val="10"/>
      </font>
    </dxf>
    <dxf>
      <font>
        <sz val="10"/>
      </font>
    </dxf>
    <dxf>
      <font>
        <sz val="10"/>
      </fon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font>
        <sz val="9"/>
      </font>
    </dxf>
    <dxf>
      <font>
        <sz val="9"/>
      </font>
    </dxf>
    <dxf>
      <font>
        <sz val="9"/>
      </font>
    </dxf>
    <dxf>
      <font>
        <sz val="9"/>
      </font>
    </dxf>
    <dxf>
      <font>
        <sz val="9"/>
      </font>
    </dxf>
    <dxf>
      <font>
        <sz val="9"/>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color theme="0"/>
      </font>
      <fill>
        <patternFill patternType="solid">
          <fgColor indexed="64"/>
          <bgColor rgb="FF002060"/>
        </patternFill>
      </fill>
      <alignment horizontal="center"/>
    </dxf>
    <dxf>
      <font>
        <color theme="0"/>
      </font>
      <fill>
        <patternFill patternType="solid">
          <fgColor indexed="64"/>
          <bgColor rgb="FF002060"/>
        </patternFill>
      </fill>
      <alignment horizontal="center"/>
    </dxf>
    <dxf>
      <font>
        <b val="0"/>
      </font>
    </dxf>
    <dxf>
      <font>
        <b val="0"/>
      </font>
    </dxf>
    <dxf>
      <font>
        <b val="0"/>
      </font>
    </dxf>
    <dxf>
      <font>
        <b val="0"/>
      </font>
    </dxf>
    <dxf>
      <font>
        <b val="0"/>
      </font>
    </dxf>
    <dxf>
      <font>
        <b val="0"/>
      </font>
    </dxf>
    <dxf>
      <font>
        <color auto="1"/>
      </font>
    </dxf>
    <dxf>
      <font>
        <color auto="1"/>
      </font>
    </dxf>
    <dxf>
      <font>
        <color auto="1"/>
      </font>
    </dxf>
    <dxf>
      <font>
        <color auto="1"/>
      </font>
    </dxf>
    <dxf>
      <alignment wrapText="1"/>
    </dxf>
    <dxf>
      <alignment wrapText="1"/>
    </dxf>
    <dxf>
      <alignment wrapText="1"/>
    </dxf>
    <dxf>
      <alignment wrapText="1"/>
    </dxf>
    <dxf>
      <alignment wrapText="1"/>
    </dxf>
    <dxf>
      <alignment wrapText="1"/>
    </dxf>
    <dxf>
      <font>
        <b val="0"/>
      </font>
    </dxf>
    <dxf>
      <font>
        <b val="0"/>
      </font>
    </dxf>
    <dxf>
      <font>
        <b val="0"/>
      </font>
    </dxf>
    <dxf>
      <font>
        <b val="0"/>
      </font>
    </dxf>
    <dxf>
      <font>
        <b val="0"/>
      </font>
    </dxf>
    <dxf>
      <font>
        <b val="0"/>
      </font>
    </dxf>
    <dxf>
      <font>
        <sz val="10"/>
      </font>
    </dxf>
    <dxf>
      <font>
        <sz val="10"/>
      </font>
    </dxf>
    <dxf>
      <font>
        <sz val="10"/>
      </font>
    </dxf>
    <dxf>
      <font>
        <sz val="10"/>
      </font>
    </dxf>
    <dxf>
      <font>
        <sz val="10"/>
      </font>
    </dxf>
    <dxf>
      <font>
        <sz val="10"/>
      </fon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wrapText="1"/>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font>
        <sz val="9"/>
      </font>
    </dxf>
    <dxf>
      <font>
        <sz val="9"/>
      </font>
    </dxf>
    <dxf>
      <font>
        <sz val="9"/>
      </font>
    </dxf>
    <dxf>
      <font>
        <sz val="9"/>
      </font>
    </dxf>
    <dxf>
      <font>
        <sz val="9"/>
      </font>
    </dxf>
    <dxf>
      <font>
        <sz val="9"/>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font>
        <color theme="0"/>
      </font>
      <fill>
        <patternFill patternType="solid">
          <fgColor indexed="64"/>
          <bgColor rgb="FF002060"/>
        </patternFill>
      </fill>
      <alignment horizontal="center"/>
    </dxf>
    <dxf>
      <font>
        <color theme="0"/>
      </font>
      <fill>
        <patternFill patternType="solid">
          <fgColor indexed="64"/>
          <bgColor rgb="FF002060"/>
        </patternFill>
      </fill>
      <alignment horizontal="center"/>
    </dxf>
    <dxf>
      <font>
        <b val="0"/>
      </font>
    </dxf>
    <dxf>
      <font>
        <b val="0"/>
      </font>
    </dxf>
    <dxf>
      <font>
        <b val="0"/>
      </font>
    </dxf>
    <dxf>
      <font>
        <b val="0"/>
      </font>
    </dxf>
    <dxf>
      <font>
        <b val="0"/>
      </font>
    </dxf>
    <dxf>
      <font>
        <b val="0"/>
      </font>
    </dxf>
    <dxf>
      <font>
        <color auto="1"/>
      </font>
    </dxf>
    <dxf>
      <font>
        <color auto="1"/>
      </font>
    </dxf>
    <dxf>
      <font>
        <color auto="1"/>
      </font>
    </dxf>
    <dxf>
      <font>
        <color auto="1"/>
      </font>
    </dxf>
    <dxf>
      <alignment wrapText="1"/>
    </dxf>
    <dxf>
      <alignment wrapText="1"/>
    </dxf>
    <dxf>
      <alignment wrapText="1"/>
    </dxf>
    <dxf>
      <alignment wrapText="1"/>
    </dxf>
    <dxf>
      <alignment wrapText="1"/>
    </dxf>
    <dxf>
      <alignment wrapText="1"/>
    </dxf>
    <dxf>
      <font>
        <b val="0"/>
      </font>
    </dxf>
    <dxf>
      <font>
        <b val="0"/>
      </font>
    </dxf>
    <dxf>
      <font>
        <b val="0"/>
      </font>
    </dxf>
    <dxf>
      <font>
        <b val="0"/>
      </font>
    </dxf>
    <dxf>
      <font>
        <b val="0"/>
      </font>
    </dxf>
    <dxf>
      <font>
        <b val="0"/>
      </font>
    </dxf>
    <dxf>
      <font>
        <sz val="10"/>
      </font>
    </dxf>
    <dxf>
      <font>
        <sz val="10"/>
      </font>
    </dxf>
    <dxf>
      <font>
        <sz val="10"/>
      </font>
    </dxf>
    <dxf>
      <font>
        <sz val="10"/>
      </font>
    </dxf>
    <dxf>
      <font>
        <sz val="10"/>
      </font>
    </dxf>
    <dxf>
      <font>
        <sz val="10"/>
      </fon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horizontal="general"/>
    </dxf>
    <dxf>
      <alignment horizontal="general"/>
    </dxf>
    <dxf>
      <alignment horizontal="general"/>
    </dxf>
    <dxf>
      <alignment horizontal="general"/>
    </dxf>
    <dxf>
      <font>
        <sz val="9"/>
      </font>
    </dxf>
    <dxf>
      <font>
        <sz val="9"/>
      </font>
    </dxf>
    <dxf>
      <font>
        <sz val="9"/>
      </font>
    </dxf>
    <dxf>
      <font>
        <sz val="9"/>
      </font>
    </dxf>
    <dxf>
      <font>
        <sz val="9"/>
      </font>
    </dxf>
    <dxf>
      <font>
        <sz val="9"/>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ill>
        <patternFill patternType="solid">
          <fgColor rgb="FFFFFF00"/>
          <bgColor rgb="FF000000"/>
        </patternFill>
      </fill>
    </dxf>
    <dxf>
      <font>
        <b val="0"/>
        <i val="0"/>
        <strike val="0"/>
        <condense val="0"/>
        <extend val="0"/>
        <outline val="0"/>
        <shadow val="0"/>
        <u val="none"/>
        <vertAlign val="baseline"/>
        <sz val="10"/>
        <color rgb="FF333333"/>
        <name val="Verdana"/>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rgb="FF333333"/>
        <name val="Verdana"/>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rgb="FF333333"/>
        <name val="Verdana"/>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rgb="FF333333"/>
        <name val="Verdana"/>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rgb="FF333333"/>
        <name val="Verdana"/>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rgb="FF333333"/>
        <name val="Verdana"/>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rgb="FF333333"/>
        <name val="Verdana"/>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rgb="FF333333"/>
        <name val="Verdana"/>
        <family val="2"/>
        <scheme val="none"/>
      </font>
      <fill>
        <patternFill patternType="none">
          <fgColor indexed="64"/>
          <bgColor auto="1"/>
        </patternFill>
      </fill>
      <alignment horizontal="center" vertical="center" textRotation="0" wrapText="1" indent="0" justifyLastLine="0" shrinkToFit="0" readingOrder="0"/>
    </dxf>
    <dxf>
      <border outline="0">
        <left style="thin">
          <color rgb="FFDDDDDD"/>
        </left>
        <right style="thin">
          <color rgb="FFDDDDDD"/>
        </right>
        <top style="thin">
          <color rgb="FFDDDDDD"/>
        </top>
      </border>
    </dxf>
    <dxf>
      <font>
        <b val="0"/>
        <i val="0"/>
        <strike val="0"/>
        <condense val="0"/>
        <extend val="0"/>
        <outline val="0"/>
        <shadow val="0"/>
        <u val="none"/>
        <vertAlign val="baseline"/>
        <sz val="10"/>
        <color rgb="FF333333"/>
        <name val="Verdana"/>
        <family val="2"/>
        <scheme val="none"/>
      </font>
      <fill>
        <patternFill patternType="none">
          <fgColor indexed="64"/>
          <bgColor auto="1"/>
        </patternFill>
      </fill>
      <alignment horizontal="center" vertical="center" textRotation="0" wrapText="1" indent="0" justifyLastLine="0" shrinkToFit="0" readingOrder="0"/>
    </dxf>
    <dxf>
      <font>
        <b/>
        <i val="0"/>
        <strike val="0"/>
        <condense val="0"/>
        <extend val="0"/>
        <outline val="0"/>
        <shadow val="0"/>
        <u val="none"/>
        <vertAlign val="baseline"/>
        <sz val="10"/>
        <color theme="0"/>
        <name val="Verdana"/>
        <family val="2"/>
        <scheme val="none"/>
      </font>
      <fill>
        <patternFill patternType="solid">
          <fgColor indexed="64"/>
          <bgColor theme="3"/>
        </patternFill>
      </fill>
      <alignment horizontal="center" vertical="center" textRotation="0" wrapText="1" indent="0" justifyLastLine="0" shrinkToFit="0" readingOrder="0"/>
    </dxf>
    <dxf>
      <fill>
        <patternFill patternType="none"/>
      </fill>
      <alignment horizontal="center" vertical="center" wrapText="1"/>
    </dxf>
    <dxf>
      <fill>
        <patternFill patternType="none"/>
      </fill>
      <alignment horizontal="center" vertical="center" wrapText="1"/>
    </dxf>
    <dxf>
      <fill>
        <patternFill patternType="none"/>
      </fill>
      <alignment horizontal="center" vertical="center" wrapText="1"/>
    </dxf>
    <dxf>
      <fill>
        <patternFill patternType="none"/>
      </fill>
      <alignment horizontal="center" vertical="center" wrapText="1"/>
    </dxf>
    <dxf>
      <fill>
        <patternFill patternType="none"/>
      </fill>
      <alignment horizontal="center" vertical="center" wrapText="1"/>
    </dxf>
    <dxf>
      <fill>
        <patternFill patternType="none"/>
      </fill>
      <alignment horizontal="center" vertical="center" wrapText="1"/>
    </dxf>
    <dxf>
      <fill>
        <patternFill patternType="none"/>
      </fill>
      <alignment horizontal="center" vertical="center" wrapText="1"/>
    </dxf>
    <dxf>
      <fill>
        <patternFill patternType="none"/>
      </fill>
      <alignment horizontal="center" vertical="center" wrapText="1"/>
    </dxf>
    <dxf>
      <fill>
        <patternFill patternType="none"/>
      </fill>
      <alignment horizontal="center" vertical="center" wrapText="1"/>
    </dxf>
    <dxf>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none">
          <fgColor indexed="64"/>
          <bgColor indexed="65"/>
        </patternFill>
      </fill>
      <alignment horizontal="center" vertical="center" textRotation="0" wrapText="1" indent="0" justifyLastLine="0" shrinkToFit="0" readingOrder="0"/>
    </dxf>
    <dxf>
      <fill>
        <patternFill patternType="none"/>
      </fill>
      <alignment vertical="center" wrapText="1"/>
    </dxf>
    <dxf>
      <font>
        <b val="0"/>
        <i val="0"/>
        <strike val="0"/>
        <condense val="0"/>
        <extend val="0"/>
        <outline val="0"/>
        <shadow val="0"/>
        <u val="none"/>
        <vertAlign val="baseline"/>
        <sz val="10"/>
        <color theme="1"/>
        <name val="Verdana"/>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none">
          <fgColor theme="9" tint="0.79998168889431442"/>
          <bgColor theme="9" tint="0.79998168889431442"/>
        </patternFill>
      </fill>
      <alignment horizontal="left" vertical="center" textRotation="0" wrapText="1"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0"/>
        <color theme="1"/>
        <name val="Verdana"/>
        <scheme val="none"/>
      </font>
      <fill>
        <patternFill patternType="none">
          <fgColor theme="9" tint="0.79998168889431442"/>
          <bgColor theme="9" tint="0.79998168889431442"/>
        </patternFill>
      </fill>
      <alignment horizontal="center" vertical="center" textRotation="0" wrapText="1" indent="0" justifyLastLine="0" shrinkToFit="0" readingOrder="0"/>
      <border diagonalUp="0" diagonalDown="0">
        <left style="thin">
          <color theme="9"/>
        </left>
        <right style="thin">
          <color theme="9"/>
        </right>
        <top style="thin">
          <color theme="9"/>
        </top>
        <bottom style="thin">
          <color theme="9"/>
        </bottom>
        <vertical/>
        <horizontal/>
      </border>
    </dxf>
    <dxf>
      <fill>
        <patternFill patternType="none"/>
      </fill>
    </dxf>
    <dxf>
      <font>
        <b/>
        <i val="0"/>
        <strike val="0"/>
        <condense val="0"/>
        <extend val="0"/>
        <outline val="0"/>
        <shadow val="0"/>
        <u val="none"/>
        <vertAlign val="baseline"/>
        <sz val="10"/>
        <color theme="0"/>
        <name val="Verdana"/>
        <scheme val="none"/>
      </font>
      <fill>
        <patternFill patternType="solid">
          <fgColor indexed="64"/>
          <bgColor theme="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b val="0"/>
        <i val="0"/>
        <strike val="0"/>
        <condense val="0"/>
        <extend val="0"/>
        <outline val="0"/>
        <shadow val="0"/>
        <u val="none"/>
        <vertAlign val="baseline"/>
        <sz val="10"/>
        <color theme="1"/>
        <name val="Verdana"/>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Verdana"/>
        <family val="2"/>
        <scheme val="none"/>
      </font>
      <alignment horizontal="right" vertical="center"/>
    </dxf>
    <dxf>
      <font>
        <b val="0"/>
        <i val="0"/>
        <strike val="0"/>
        <condense val="0"/>
        <extend val="0"/>
        <outline val="0"/>
        <shadow val="0"/>
        <u val="none"/>
        <vertAlign val="baseline"/>
        <sz val="10"/>
        <color theme="1"/>
        <name val="Verdana"/>
        <family val="2"/>
        <scheme val="none"/>
      </font>
      <alignment horizontal="center" vertical="center"/>
    </dxf>
    <dxf>
      <font>
        <b val="0"/>
        <i val="0"/>
        <strike val="0"/>
        <condense val="0"/>
        <extend val="0"/>
        <outline val="0"/>
        <shadow val="0"/>
        <u val="none"/>
        <vertAlign val="baseline"/>
        <sz val="10"/>
        <color theme="1"/>
        <name val="Verdana"/>
        <family val="2"/>
        <scheme val="none"/>
      </font>
      <alignment horizontal="center" vertical="center"/>
    </dxf>
    <dxf>
      <font>
        <b val="0"/>
        <i val="0"/>
        <strike val="0"/>
        <condense val="0"/>
        <extend val="0"/>
        <outline val="0"/>
        <shadow val="0"/>
        <u val="none"/>
        <vertAlign val="baseline"/>
        <sz val="10"/>
        <color theme="1"/>
        <name val="Verdana"/>
        <family val="2"/>
        <scheme val="none"/>
      </font>
      <alignment vertical="center"/>
    </dxf>
    <dxf>
      <font>
        <b val="0"/>
        <i val="0"/>
        <strike val="0"/>
        <condense val="0"/>
        <extend val="0"/>
        <outline val="0"/>
        <shadow val="0"/>
        <u val="none"/>
        <vertAlign val="baseline"/>
        <sz val="10"/>
        <color theme="1"/>
        <name val="Verdana"/>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Verdana"/>
        <family val="2"/>
        <scheme val="none"/>
      </font>
      <alignment vertical="center"/>
    </dxf>
    <dxf>
      <font>
        <b/>
        <i val="0"/>
        <strike val="0"/>
        <condense val="0"/>
        <extend val="0"/>
        <outline val="0"/>
        <shadow val="0"/>
        <u val="none"/>
        <vertAlign val="baseline"/>
        <sz val="10"/>
        <color theme="0"/>
        <name val="Verdana"/>
        <family val="2"/>
        <scheme val="none"/>
      </font>
      <fill>
        <patternFill patternType="solid">
          <fgColor indexed="64"/>
          <bgColor theme="3"/>
        </patternFill>
      </fill>
    </dxf>
    <dxf>
      <font>
        <b val="0"/>
        <i val="0"/>
        <strike val="0"/>
        <condense val="0"/>
        <extend val="0"/>
        <outline val="0"/>
        <shadow val="0"/>
        <u val="none"/>
        <vertAlign val="baseline"/>
        <sz val="10"/>
        <color rgb="FF333333"/>
        <name val="Verdana"/>
        <family val="2"/>
        <scheme val="none"/>
      </font>
      <fill>
        <patternFill patternType="none">
          <fgColor theme="9" tint="0.79998168889431442"/>
          <bgColor theme="9" tint="0.79998168889431442"/>
        </patternFill>
      </fill>
      <alignment horizontal="center" vertical="center" textRotation="0" wrapText="1" indent="0" justifyLastLine="0" shrinkToFit="0" readingOrder="0"/>
    </dxf>
    <dxf>
      <font>
        <strike val="0"/>
        <outline val="0"/>
        <shadow val="0"/>
        <u val="none"/>
        <vertAlign val="baseline"/>
        <sz val="10"/>
        <name val="Verdana"/>
        <family val="2"/>
        <scheme val="none"/>
      </font>
      <fill>
        <patternFill patternType="none"/>
      </fill>
      <alignment horizontal="center" vertical="center" textRotation="0" indent="0" justifyLastLine="0" shrinkToFit="0" readingOrder="0"/>
    </dxf>
    <dxf>
      <font>
        <b val="0"/>
        <i val="0"/>
        <strike val="0"/>
        <condense val="0"/>
        <extend val="0"/>
        <outline val="0"/>
        <shadow val="0"/>
        <u val="none"/>
        <vertAlign val="baseline"/>
        <sz val="10"/>
        <color rgb="FF333333"/>
        <name val="Verdana"/>
        <family val="2"/>
        <scheme val="none"/>
      </font>
      <fill>
        <patternFill patternType="none">
          <fgColor theme="9" tint="0.79998168889431442"/>
          <bgColor theme="9"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0"/>
        <color rgb="FF333333"/>
        <name val="Verdana"/>
        <family val="2"/>
        <scheme val="none"/>
      </font>
      <fill>
        <patternFill patternType="none">
          <fgColor theme="9" tint="0.79998168889431442"/>
          <bgColor theme="9"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0"/>
        <color rgb="FF333333"/>
        <name val="Verdana"/>
        <family val="2"/>
        <scheme val="none"/>
      </font>
      <fill>
        <patternFill patternType="none">
          <fgColor theme="9" tint="0.79998168889431442"/>
          <bgColor theme="9" tint="0.79998168889431442"/>
        </patternFill>
      </fill>
      <alignment horizontal="general" vertical="center" textRotation="0" wrapText="1" indent="0" justifyLastLine="0" shrinkToFit="0" readingOrder="0"/>
    </dxf>
    <dxf>
      <font>
        <b val="0"/>
        <i val="0"/>
        <strike val="0"/>
        <condense val="0"/>
        <extend val="0"/>
        <outline val="0"/>
        <shadow val="0"/>
        <u val="none"/>
        <vertAlign val="baseline"/>
        <sz val="10"/>
        <color rgb="FF333333"/>
        <name val="Verdana"/>
        <family val="2"/>
        <scheme val="none"/>
      </font>
      <fill>
        <patternFill patternType="none">
          <fgColor theme="9" tint="0.79998168889431442"/>
          <bgColor theme="9" tint="0.79998168889431442"/>
        </patternFill>
      </fill>
      <alignment horizontal="center" vertical="center" textRotation="0" wrapText="1" indent="0" justifyLastLine="0" shrinkToFit="0" readingOrder="0"/>
    </dxf>
    <dxf>
      <border outline="0">
        <left style="thin">
          <color rgb="FFDDDDDD"/>
        </left>
      </border>
    </dxf>
    <dxf>
      <font>
        <strike val="0"/>
        <outline val="0"/>
        <shadow val="0"/>
        <u val="none"/>
        <vertAlign val="baseline"/>
        <sz val="10"/>
        <name val="Verdana"/>
        <family val="2"/>
        <scheme val="none"/>
      </font>
      <fill>
        <patternFill patternType="none"/>
      </fill>
      <alignment vertical="center" textRotation="0" indent="0" justifyLastLine="0" shrinkToFit="0" readingOrder="0"/>
    </dxf>
    <dxf>
      <font>
        <b/>
        <i val="0"/>
        <strike val="0"/>
        <condense val="0"/>
        <extend val="0"/>
        <outline val="0"/>
        <shadow val="0"/>
        <u val="none"/>
        <vertAlign val="baseline"/>
        <sz val="10"/>
        <color theme="0"/>
        <name val="Verdana"/>
        <family val="2"/>
        <scheme val="none"/>
      </font>
      <fill>
        <patternFill patternType="solid">
          <fgColor indexed="64"/>
          <bgColor theme="3"/>
        </patternFill>
      </fill>
      <alignment horizontal="center" vertical="center" textRotation="0" wrapText="1" indent="0" justifyLastLine="0" shrinkToFit="0" readingOrder="0"/>
      <border diagonalUp="0" diagonalDown="0" outline="0">
        <left style="thin">
          <color rgb="FFDDDDDD"/>
        </left>
        <right style="thin">
          <color rgb="FFDDDDDD"/>
        </right>
        <top/>
        <bottom/>
      </border>
    </dxf>
    <dxf>
      <font>
        <b val="0"/>
        <i val="0"/>
        <strike val="0"/>
        <condense val="0"/>
        <extend val="0"/>
        <outline val="0"/>
        <shadow val="0"/>
        <u val="none"/>
        <vertAlign val="baseline"/>
        <sz val="10"/>
        <color rgb="FF333333"/>
        <name val="Verdan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DDDDD"/>
        </left>
        <right style="thin">
          <color rgb="FFDDDDDD"/>
        </right>
        <top style="thin">
          <color rgb="FFDDDDDD"/>
        </top>
        <bottom/>
      </border>
    </dxf>
    <dxf>
      <font>
        <b val="0"/>
        <i val="0"/>
        <strike val="0"/>
        <condense val="0"/>
        <extend val="0"/>
        <outline val="0"/>
        <shadow val="0"/>
        <u val="none"/>
        <vertAlign val="baseline"/>
        <sz val="10"/>
        <color rgb="FF333333"/>
        <name val="Verdan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rgb="FFDDDDDD"/>
        </left>
        <right/>
        <top style="thin">
          <color rgb="FFDDDDDD"/>
        </top>
        <bottom/>
      </border>
    </dxf>
    <dxf>
      <font>
        <b val="0"/>
        <i val="0"/>
        <strike val="0"/>
        <condense val="0"/>
        <extend val="0"/>
        <outline val="0"/>
        <shadow val="0"/>
        <u val="none"/>
        <vertAlign val="baseline"/>
        <sz val="10"/>
        <color rgb="FF333333"/>
        <name val="Verdana"/>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rgb="FFDDDDDD"/>
        </left>
        <right/>
        <top style="thin">
          <color rgb="FFDDDDDD"/>
        </top>
        <bottom/>
      </border>
    </dxf>
    <dxf>
      <font>
        <b val="0"/>
        <i val="0"/>
        <strike val="0"/>
        <condense val="0"/>
        <extend val="0"/>
        <outline val="0"/>
        <shadow val="0"/>
        <u val="none"/>
        <vertAlign val="baseline"/>
        <sz val="10"/>
        <color rgb="FF333333"/>
        <name val="Verdan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thin">
          <color rgb="FFDDDDDD"/>
        </top>
        <bottom/>
      </border>
    </dxf>
    <dxf>
      <border outline="0">
        <left style="thin">
          <color rgb="FFDDDDDD"/>
        </left>
        <top style="thin">
          <color rgb="FFDDDDDD"/>
        </top>
        <bottom style="thin">
          <color rgb="FFDDDDDD"/>
        </bottom>
      </border>
    </dxf>
    <dxf>
      <font>
        <strike val="0"/>
        <outline val="0"/>
        <shadow val="0"/>
        <vertAlign val="baseline"/>
        <sz val="10"/>
        <name val="Verdana"/>
        <family val="2"/>
        <scheme val="none"/>
      </font>
      <fill>
        <patternFill patternType="none">
          <fgColor indexed="64"/>
          <bgColor auto="1"/>
        </patternFill>
      </fill>
    </dxf>
    <dxf>
      <font>
        <b/>
        <i val="0"/>
        <strike val="0"/>
        <condense val="0"/>
        <extend val="0"/>
        <outline val="0"/>
        <shadow val="0"/>
        <u val="none"/>
        <vertAlign val="baseline"/>
        <sz val="10"/>
        <color theme="0"/>
        <name val="Verdana"/>
        <family val="2"/>
        <scheme val="none"/>
      </font>
      <fill>
        <patternFill patternType="solid">
          <fgColor indexed="64"/>
          <bgColor theme="3"/>
        </patternFill>
      </fill>
      <alignment horizontal="center" vertical="center" textRotation="0" wrapText="1" indent="0" justifyLastLine="0" shrinkToFit="0" readingOrder="0"/>
      <border diagonalUp="0" diagonalDown="0" outline="0">
        <left style="thin">
          <color rgb="FFDDDDDD"/>
        </left>
        <right style="thin">
          <color rgb="FFDDDDDD"/>
        </right>
        <top/>
        <bottom/>
      </border>
    </dxf>
    <dxf>
      <font>
        <color theme="0"/>
      </font>
      <fill>
        <patternFill>
          <bgColor theme="9"/>
        </patternFill>
      </fill>
    </dxf>
    <dxf>
      <font>
        <b val="0"/>
        <i val="0"/>
        <strike val="0"/>
        <condense val="0"/>
        <extend val="0"/>
        <outline val="0"/>
        <shadow val="0"/>
        <u val="none"/>
        <vertAlign val="baseline"/>
        <sz val="10"/>
        <color theme="1"/>
        <name val="Verdana"/>
        <family val="2"/>
        <scheme val="none"/>
      </font>
      <alignment vertical="center" wrapText="1"/>
    </dxf>
    <dxf>
      <font>
        <b val="0"/>
        <i val="0"/>
        <strike val="0"/>
        <condense val="0"/>
        <extend val="0"/>
        <outline val="0"/>
        <shadow val="0"/>
        <u val="none"/>
        <vertAlign val="baseline"/>
        <sz val="10"/>
        <color theme="1"/>
        <name val="Verdana"/>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alignment vertical="center" wrapText="1"/>
    </dxf>
    <dxf>
      <font>
        <b val="0"/>
        <i val="0"/>
        <strike val="0"/>
        <condense val="0"/>
        <extend val="0"/>
        <outline val="0"/>
        <shadow val="0"/>
        <u val="none"/>
        <vertAlign val="baseline"/>
        <sz val="10"/>
        <color auto="1"/>
        <name val="Verdana"/>
        <family val="2"/>
        <scheme val="none"/>
      </font>
      <fill>
        <patternFill patternType="solid">
          <fgColor indexed="64"/>
          <bgColor rgb="FFFFF2CC"/>
        </patternFill>
      </fill>
      <alignment horizontal="center" vertical="center" wrapText="1"/>
    </dxf>
    <dxf>
      <font>
        <strike val="0"/>
        <outline val="0"/>
        <shadow val="0"/>
        <u val="none"/>
        <vertAlign val="baseline"/>
        <sz val="10"/>
        <name val="Verdana"/>
        <family val="2"/>
        <scheme val="none"/>
      </font>
      <fill>
        <patternFill patternType="none">
          <fgColor indexed="64"/>
          <bgColor rgb="FFFFF2CC"/>
        </patternFill>
      </fill>
      <alignment horizontal="center"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vertical="center" wrapText="1"/>
    </dxf>
    <dxf>
      <font>
        <b val="0"/>
        <i val="0"/>
        <strike val="0"/>
        <condense val="0"/>
        <extend val="0"/>
        <outline val="0"/>
        <shadow val="0"/>
        <u val="none"/>
        <vertAlign val="baseline"/>
        <sz val="10"/>
        <color theme="1"/>
        <name val="Verdana"/>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horizontal="center" vertical="center" wrapText="1"/>
    </dxf>
    <dxf>
      <font>
        <strike val="0"/>
        <outline val="0"/>
        <shadow val="0"/>
        <u val="none"/>
        <vertAlign val="baseline"/>
        <sz val="10"/>
        <name val="Verdana"/>
        <family val="2"/>
        <scheme val="none"/>
      </font>
      <alignment horizontal="center" vertical="center" wrapText="1"/>
    </dxf>
    <dxf>
      <font>
        <b val="0"/>
        <i val="0"/>
        <strike val="0"/>
        <condense val="0"/>
        <extend val="0"/>
        <outline val="0"/>
        <shadow val="0"/>
        <u val="none"/>
        <vertAlign val="baseline"/>
        <sz val="10"/>
        <color theme="1"/>
        <name val="Verdana"/>
        <family val="2"/>
        <scheme val="none"/>
      </font>
      <fill>
        <patternFill patternType="solid">
          <fgColor indexed="64"/>
          <bgColor rgb="FFFCE4D6"/>
        </patternFill>
      </fill>
      <alignment horizontal="center" vertical="center" textRotation="0" wrapText="1" indent="0" justifyLastLine="0" shrinkToFit="0" readingOrder="0"/>
    </dxf>
    <dxf>
      <alignment horizontal="center" vertical="center"/>
    </dxf>
    <dxf>
      <font>
        <b val="0"/>
        <i val="0"/>
        <strike val="0"/>
        <condense val="0"/>
        <extend val="0"/>
        <outline val="0"/>
        <shadow val="0"/>
        <u val="none"/>
        <vertAlign val="baseline"/>
        <sz val="10"/>
        <color theme="1"/>
        <name val="Verdana"/>
        <family val="2"/>
        <scheme val="none"/>
      </font>
      <fill>
        <patternFill patternType="solid">
          <fgColor indexed="64"/>
          <bgColor rgb="FFFCE4D6"/>
        </patternFill>
      </fill>
      <alignment horizontal="center" vertical="center" textRotation="0" wrapText="1" indent="0" justifyLastLine="0" shrinkToFit="0" readingOrder="0"/>
    </dxf>
    <dxf>
      <alignment horizontal="center" vertical="center"/>
    </dxf>
    <dxf>
      <font>
        <b val="0"/>
        <i val="0"/>
        <strike val="0"/>
        <condense val="0"/>
        <extend val="0"/>
        <outline val="0"/>
        <shadow val="0"/>
        <u val="none"/>
        <vertAlign val="baseline"/>
        <sz val="10"/>
        <color theme="1"/>
        <name val="Verdana"/>
        <family val="2"/>
        <scheme val="none"/>
      </font>
      <alignment horizontal="center" vertical="center" wrapText="1"/>
    </dxf>
    <dxf>
      <alignment horizontal="center" vertical="center"/>
    </dxf>
    <dxf>
      <font>
        <b val="0"/>
        <i val="0"/>
        <strike val="0"/>
        <condense val="0"/>
        <extend val="0"/>
        <outline val="0"/>
        <shadow val="0"/>
        <u val="none"/>
        <vertAlign val="baseline"/>
        <sz val="10"/>
        <color theme="1"/>
        <name val="Verdana"/>
        <family val="2"/>
        <scheme val="none"/>
      </font>
      <fill>
        <patternFill patternType="solid">
          <fgColor indexed="64"/>
          <bgColor rgb="FFFCE4D6"/>
        </patternFill>
      </fill>
      <alignment horizontal="center" vertical="center" textRotation="0" wrapText="1" indent="0" justifyLastLine="0" shrinkToFit="0" readingOrder="0"/>
    </dxf>
    <dxf>
      <alignment horizontal="center" vertical="center"/>
    </dxf>
    <dxf>
      <font>
        <b val="0"/>
        <i val="0"/>
        <strike val="0"/>
        <condense val="0"/>
        <extend val="0"/>
        <outline val="0"/>
        <shadow val="0"/>
        <u val="none"/>
        <vertAlign val="baseline"/>
        <sz val="10"/>
        <color theme="1"/>
        <name val="Verdana"/>
        <family val="2"/>
        <scheme val="none"/>
      </font>
      <alignment horizontal="center" vertical="center" wrapText="1"/>
    </dxf>
    <dxf>
      <alignment horizontal="center" vertical="center"/>
    </dxf>
    <dxf>
      <font>
        <b val="0"/>
        <i val="0"/>
        <strike val="0"/>
        <condense val="0"/>
        <extend val="0"/>
        <outline val="0"/>
        <shadow val="0"/>
        <u val="none"/>
        <vertAlign val="baseline"/>
        <sz val="10"/>
        <color theme="1"/>
        <name val="Verdana"/>
        <family val="2"/>
        <scheme val="none"/>
      </font>
      <alignment horizontal="center" vertical="center" wrapText="1"/>
    </dxf>
    <dxf>
      <font>
        <b val="0"/>
        <i val="0"/>
        <strike val="0"/>
        <condense val="0"/>
        <extend val="0"/>
        <outline val="0"/>
        <shadow val="0"/>
        <u val="none"/>
        <vertAlign val="baseline"/>
        <sz val="10"/>
        <color theme="1"/>
        <name val="Verdana"/>
        <family val="2"/>
        <scheme val="none"/>
      </font>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horizontal="center" vertical="center" wrapText="1"/>
    </dxf>
    <dxf>
      <font>
        <b val="0"/>
        <i val="0"/>
        <strike val="0"/>
        <condense val="0"/>
        <extend val="0"/>
        <outline val="0"/>
        <shadow val="0"/>
        <u val="none"/>
        <vertAlign val="baseline"/>
        <sz val="10"/>
        <color theme="1"/>
        <name val="Verdana"/>
        <family val="2"/>
        <scheme val="none"/>
      </font>
      <alignment horizontal="center" vertical="center" textRotation="0" wrapText="1" indent="0" justifyLastLine="0" shrinkToFit="0" readingOrder="0"/>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alignment horizontal="center" vertical="center" wrapText="1"/>
    </dxf>
    <dxf>
      <font>
        <strike val="0"/>
        <outline val="0"/>
        <shadow val="0"/>
        <u val="none"/>
        <vertAlign val="baseline"/>
        <sz val="10"/>
        <name val="Verdana"/>
        <family val="2"/>
        <scheme val="none"/>
      </font>
      <alignment horizontal="center" vertical="center" textRotation="0" wrapText="1" indent="0" justifyLastLine="0" shrinkToFit="0" readingOrder="0"/>
    </dxf>
    <dxf>
      <font>
        <strike val="0"/>
        <outline val="0"/>
        <shadow val="0"/>
        <u val="none"/>
        <vertAlign val="baseline"/>
        <sz val="10"/>
        <name val="Verdana"/>
        <family val="2"/>
        <scheme val="none"/>
      </font>
      <alignment horizontal="center" vertical="center" wrapText="1"/>
    </dxf>
    <dxf>
      <font>
        <strike val="0"/>
        <outline val="0"/>
        <shadow val="0"/>
        <u val="none"/>
        <vertAlign val="baseline"/>
        <sz val="10"/>
        <name val="Verdana"/>
        <family val="2"/>
        <scheme val="none"/>
      </font>
      <alignment horizontal="center" vertical="center" wrapText="1"/>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alignment horizontal="center" vertical="center" wrapText="1"/>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fill>
        <patternFill patternType="solid">
          <fgColor indexed="64"/>
          <bgColor theme="3"/>
        </patternFill>
      </fill>
      <alignment vertical="center" wrapText="1"/>
    </dxf>
    <dxf>
      <font>
        <strike val="0"/>
        <outline val="0"/>
        <shadow val="0"/>
        <vertAlign val="baseline"/>
        <sz val="9"/>
        <name val="Verdana"/>
        <family val="2"/>
        <scheme val="none"/>
      </font>
      <alignment vertical="center" textRotation="0" wrapText="1" indent="0" justifyLastLine="0" shrinkToFit="0" readingOrder="0"/>
    </dxf>
    <dxf>
      <font>
        <strike val="0"/>
        <outline val="0"/>
        <shadow val="0"/>
        <vertAlign val="baseline"/>
        <sz val="9"/>
        <name val="Verdana"/>
        <family val="2"/>
        <scheme val="none"/>
      </font>
      <alignment vertical="center" textRotation="0" wrapText="1" indent="0" justifyLastLine="0" shrinkToFit="0" readingOrder="0"/>
    </dxf>
    <dxf>
      <font>
        <strike val="0"/>
        <outline val="0"/>
        <shadow val="0"/>
        <vertAlign val="baseline"/>
        <sz val="9"/>
        <name val="Verdana"/>
        <family val="2"/>
        <scheme val="none"/>
      </font>
      <alignment horizontal="center" vertical="center" textRotation="0" wrapText="1" indent="0" justifyLastLine="0" shrinkToFit="0" readingOrder="0"/>
    </dxf>
    <dxf>
      <font>
        <strike val="0"/>
        <outline val="0"/>
        <shadow val="0"/>
        <vertAlign val="baseline"/>
        <sz val="9"/>
        <name val="Verdana"/>
        <family val="2"/>
        <scheme val="none"/>
      </font>
      <alignment horizontal="center" vertical="center" textRotation="0" wrapText="1" indent="0" justifyLastLine="0" shrinkToFit="0" readingOrder="0"/>
    </dxf>
    <dxf>
      <font>
        <strike val="0"/>
        <outline val="0"/>
        <shadow val="0"/>
        <vertAlign val="baseline"/>
        <sz val="9"/>
        <name val="Verdana"/>
        <family val="2"/>
        <scheme val="none"/>
      </font>
      <alignment vertical="center" textRotation="0" wrapText="1" indent="0" justifyLastLine="0" shrinkToFit="0" readingOrder="0"/>
    </dxf>
    <dxf>
      <font>
        <strike val="0"/>
        <outline val="0"/>
        <shadow val="0"/>
        <vertAlign val="baseline"/>
        <sz val="9"/>
        <name val="Verdana"/>
        <family val="2"/>
        <scheme val="none"/>
      </font>
      <alignment vertical="center" textRotation="0" wrapText="1" indent="0" justifyLastLine="0" shrinkToFit="0" readingOrder="0"/>
    </dxf>
    <dxf>
      <font>
        <strike val="0"/>
        <outline val="0"/>
        <shadow val="0"/>
        <vertAlign val="baseline"/>
        <sz val="9"/>
        <name val="Verdana"/>
        <family val="2"/>
        <scheme val="none"/>
      </font>
      <alignment vertical="center" textRotation="0" wrapText="1" indent="0" justifyLastLine="0" shrinkToFit="0" readingOrder="0"/>
    </dxf>
    <dxf>
      <font>
        <strike val="0"/>
        <outline val="0"/>
        <shadow val="0"/>
        <vertAlign val="baseline"/>
        <sz val="9"/>
        <name val="Verdana"/>
        <family val="2"/>
        <scheme val="none"/>
      </font>
      <alignment horizontal="center" vertical="center" textRotation="0" wrapText="1" indent="0" justifyLastLine="0" shrinkToFit="0" readingOrder="0"/>
    </dxf>
    <dxf>
      <font>
        <strike val="0"/>
        <outline val="0"/>
        <shadow val="0"/>
        <vertAlign val="baseline"/>
        <sz val="9"/>
        <name val="Verdana"/>
        <family val="2"/>
        <scheme val="none"/>
      </font>
      <alignment vertical="center" textRotation="0" wrapText="1" indent="0" justifyLastLine="0" shrinkToFit="0" readingOrder="0"/>
    </dxf>
    <dxf>
      <font>
        <b/>
        <strike val="0"/>
        <outline val="0"/>
        <shadow val="0"/>
        <vertAlign val="baseline"/>
        <sz val="9"/>
        <name val="Verdana"/>
        <family val="2"/>
        <scheme val="none"/>
      </font>
      <alignment horizontal="center" vertical="center" textRotation="0" wrapText="1" indent="0" justifyLastLine="0" shrinkToFit="0" readingOrder="0"/>
    </dxf>
    <dxf>
      <font>
        <color theme="0"/>
      </font>
      <fill>
        <patternFill>
          <bgColor rgb="FF00B050"/>
        </patternFill>
      </fill>
    </dxf>
    <dxf>
      <font>
        <b val="0"/>
        <i val="0"/>
        <strike val="0"/>
        <condense val="0"/>
        <extend val="0"/>
        <outline val="0"/>
        <shadow val="0"/>
        <u val="none"/>
        <vertAlign val="baseline"/>
        <sz val="10"/>
        <color theme="1"/>
        <name val="Verdana"/>
        <family val="2"/>
        <scheme val="none"/>
      </font>
      <alignment vertical="center" wrapText="1"/>
    </dxf>
    <dxf>
      <font>
        <b val="0"/>
        <i val="0"/>
        <strike val="0"/>
        <condense val="0"/>
        <extend val="0"/>
        <outline val="0"/>
        <shadow val="0"/>
        <u val="none"/>
        <vertAlign val="baseline"/>
        <sz val="10"/>
        <color theme="1"/>
        <name val="Verdana"/>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horizontal="general" vertical="center" textRotation="0" wrapText="1" indent="0" justifyLastLine="0" shrinkToFit="0" readingOrder="0"/>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alignment horizontal="center" vertical="center" textRotation="0" wrapText="1" indent="0" justifyLastLine="0" shrinkToFit="0" readingOrder="0"/>
    </dxf>
    <dxf>
      <font>
        <strike val="0"/>
        <outline val="0"/>
        <shadow val="0"/>
        <u val="none"/>
        <vertAlign val="baseline"/>
        <sz val="10"/>
        <name val="Verdana"/>
        <family val="2"/>
        <scheme val="none"/>
      </font>
      <alignment horizontal="center" vertical="center" textRotation="0" wrapText="1" indent="0" justifyLastLine="0" shrinkToFit="0" readingOrder="0"/>
    </dxf>
    <dxf>
      <font>
        <strike val="0"/>
        <outline val="0"/>
        <shadow val="0"/>
        <u val="none"/>
        <vertAlign val="baseline"/>
        <sz val="10"/>
        <name val="Verdana"/>
        <family val="2"/>
        <scheme val="none"/>
      </font>
      <alignment horizontal="center" vertical="center" textRotation="0" wrapText="1" indent="0" justifyLastLine="0" shrinkToFit="0" readingOrder="0"/>
    </dxf>
    <dxf>
      <font>
        <strike val="0"/>
        <outline val="0"/>
        <shadow val="0"/>
        <u val="none"/>
        <vertAlign val="baseline"/>
        <sz val="10"/>
        <name val="Verdana"/>
        <family val="2"/>
        <scheme val="none"/>
      </font>
      <alignment horizontal="center" vertical="center" textRotation="0" wrapText="1" indent="0" justifyLastLine="0" shrinkToFit="0" readingOrder="0"/>
    </dxf>
    <dxf>
      <font>
        <strike val="0"/>
        <outline val="0"/>
        <shadow val="0"/>
        <u val="none"/>
        <vertAlign val="baseline"/>
        <sz val="10"/>
        <name val="Verdana"/>
        <family val="2"/>
        <scheme val="none"/>
      </font>
      <alignment horizontal="center" vertical="center" textRotation="0" wrapText="1" indent="0" justifyLastLine="0" shrinkToFit="0" readingOrder="0"/>
    </dxf>
    <dxf>
      <font>
        <strike val="0"/>
        <outline val="0"/>
        <shadow val="0"/>
        <u val="none"/>
        <vertAlign val="baseline"/>
        <sz val="10"/>
        <name val="Verdana"/>
        <family val="2"/>
        <scheme val="none"/>
      </font>
      <alignment horizontal="center" vertical="center" textRotation="0" wrapText="1" indent="0" justifyLastLine="0" shrinkToFit="0" readingOrder="0"/>
    </dxf>
    <dxf>
      <font>
        <strike val="0"/>
        <outline val="0"/>
        <shadow val="0"/>
        <u val="none"/>
        <vertAlign val="baseline"/>
        <sz val="10"/>
        <name val="Verdana"/>
        <family val="2"/>
        <scheme val="none"/>
      </font>
      <alignment horizontal="center" vertical="center" textRotation="0" wrapText="1" indent="0" justifyLastLine="0" shrinkToFit="0" readingOrder="0"/>
    </dxf>
    <dxf>
      <font>
        <strike val="0"/>
        <outline val="0"/>
        <shadow val="0"/>
        <u val="none"/>
        <vertAlign val="baseline"/>
        <sz val="10"/>
        <name val="Verdana"/>
        <family val="2"/>
        <scheme val="none"/>
      </font>
      <alignment horizontal="center" vertical="center" textRotation="0" wrapText="1" indent="0" justifyLastLine="0" shrinkToFit="0" readingOrder="0"/>
    </dxf>
    <dxf>
      <font>
        <strike val="0"/>
        <outline val="0"/>
        <shadow val="0"/>
        <u val="none"/>
        <vertAlign val="baseline"/>
        <sz val="10"/>
        <name val="Verdana"/>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Verdana"/>
        <family val="2"/>
        <scheme val="none"/>
      </font>
      <fill>
        <patternFill patternType="solid">
          <fgColor indexed="64"/>
          <bgColor rgb="FFFFF2CC"/>
        </patternFill>
      </fill>
      <alignment horizontal="center" vertical="center" wrapText="1"/>
    </dxf>
    <dxf>
      <font>
        <strike val="0"/>
        <outline val="0"/>
        <shadow val="0"/>
        <u val="none"/>
        <vertAlign val="baseline"/>
        <sz val="10"/>
        <name val="Verdana"/>
        <family val="2"/>
        <scheme val="none"/>
      </font>
      <fill>
        <patternFill patternType="none">
          <fgColor indexed="64"/>
          <bgColor rgb="FFFFF2CC"/>
        </patternFill>
      </fill>
      <alignment horizontal="center"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strike val="0"/>
        <outline val="0"/>
        <shadow val="0"/>
        <u val="none"/>
        <vertAlign val="baseline"/>
        <sz val="10"/>
        <name val="Verdana"/>
        <family val="2"/>
        <scheme val="none"/>
      </font>
      <alignment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solid">
          <fgColor indexed="64"/>
          <bgColor rgb="FFFCE4D6"/>
        </patternFill>
      </fill>
      <alignment horizontal="center" vertical="center" textRotation="0" wrapText="1" indent="0" justifyLastLine="0" shrinkToFit="0" readingOrder="0"/>
    </dxf>
    <dxf>
      <font>
        <strike val="0"/>
        <outline val="0"/>
        <shadow val="0"/>
        <u val="none"/>
        <vertAlign val="baseline"/>
        <sz val="10"/>
        <name val="Verdana"/>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numFmt numFmtId="14" formatCode="0.00%"/>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vertical="center" wrapText="1"/>
    </dxf>
    <dxf>
      <font>
        <b val="0"/>
        <i val="0"/>
        <strike val="0"/>
        <condense val="0"/>
        <extend val="0"/>
        <outline val="0"/>
        <shadow val="0"/>
        <u val="none"/>
        <vertAlign val="baseline"/>
        <sz val="10"/>
        <color theme="1"/>
        <name val="Verdana"/>
        <scheme val="none"/>
      </font>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horizontal="center" vertical="center" wrapText="1"/>
    </dxf>
    <dxf>
      <font>
        <strike val="0"/>
        <outline val="0"/>
        <shadow val="0"/>
        <u val="none"/>
        <vertAlign val="baseline"/>
        <sz val="10"/>
        <name val="Verdana"/>
        <family val="2"/>
        <scheme val="none"/>
      </font>
      <alignment horizontal="center" vertical="center" wrapText="1"/>
    </dxf>
    <dxf>
      <font>
        <b val="0"/>
        <i val="0"/>
        <strike val="0"/>
        <condense val="0"/>
        <extend val="0"/>
        <outline val="0"/>
        <shadow val="0"/>
        <u val="none"/>
        <vertAlign val="baseline"/>
        <sz val="10"/>
        <color theme="1"/>
        <name val="Verdana"/>
        <family val="2"/>
        <scheme val="none"/>
      </font>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none">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none">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numFmt numFmtId="0" formatCode="General"/>
      <fill>
        <patternFill patternType="solid">
          <fgColor indexed="64"/>
          <bgColor rgb="FFFCE4D6"/>
        </patternFill>
      </fill>
      <alignment horizontal="center" vertical="center" textRotation="0" wrapText="1" indent="0" justifyLastLine="0" shrinkToFit="0" readingOrder="0"/>
    </dxf>
    <dxf>
      <alignment horizontal="center" vertical="center"/>
    </dxf>
    <dxf>
      <font>
        <b val="0"/>
        <i val="0"/>
        <strike val="0"/>
        <condense val="0"/>
        <extend val="0"/>
        <outline val="0"/>
        <shadow val="0"/>
        <u val="none"/>
        <vertAlign val="baseline"/>
        <sz val="10"/>
        <color theme="1"/>
        <name val="Verdana"/>
        <family val="2"/>
        <scheme val="none"/>
      </font>
      <fill>
        <patternFill patternType="solid">
          <fgColor indexed="64"/>
          <bgColor rgb="FFFCE4D6"/>
        </patternFill>
      </fill>
      <alignment horizontal="center" vertical="center" textRotation="0" wrapText="1" indent="0" justifyLastLine="0" shrinkToFit="0" readingOrder="0"/>
    </dxf>
    <dxf>
      <font>
        <strike val="0"/>
        <outline val="0"/>
        <shadow val="0"/>
        <u val="none"/>
        <vertAlign val="baseline"/>
        <sz val="10"/>
        <name val="Verdana"/>
        <family val="2"/>
        <scheme val="none"/>
      </font>
      <alignment horizontal="center" vertical="center"/>
    </dxf>
    <dxf>
      <font>
        <b val="0"/>
        <i val="0"/>
        <strike val="0"/>
        <condense val="0"/>
        <extend val="0"/>
        <outline val="0"/>
        <shadow val="0"/>
        <u val="none"/>
        <vertAlign val="baseline"/>
        <sz val="10"/>
        <color theme="1"/>
        <name val="Verdana"/>
        <family val="2"/>
        <scheme val="none"/>
      </font>
      <alignment horizontal="center" vertical="center" wrapText="1"/>
    </dxf>
    <dxf>
      <alignment horizontal="center" vertical="center"/>
    </dxf>
    <dxf>
      <font>
        <b val="0"/>
        <i val="0"/>
        <strike val="0"/>
        <condense val="0"/>
        <extend val="0"/>
        <outline val="0"/>
        <shadow val="0"/>
        <u val="none"/>
        <vertAlign val="baseline"/>
        <sz val="10"/>
        <color theme="1"/>
        <name val="Verdana"/>
        <family val="2"/>
        <scheme val="none"/>
      </font>
      <fill>
        <patternFill patternType="solid">
          <fgColor indexed="64"/>
          <bgColor rgb="FFFCE4D6"/>
        </patternFill>
      </fill>
      <alignment horizontal="center" vertical="center" textRotation="0" wrapText="1" indent="0" justifyLastLine="0" shrinkToFit="0" readingOrder="0"/>
    </dxf>
    <dxf>
      <font>
        <strike val="0"/>
        <outline val="0"/>
        <shadow val="0"/>
        <u val="none"/>
        <vertAlign val="baseline"/>
        <sz val="10"/>
        <name val="Verdana"/>
        <family val="2"/>
        <scheme val="none"/>
      </font>
      <alignment horizontal="center" vertical="center"/>
    </dxf>
    <dxf>
      <font>
        <b val="0"/>
        <i val="0"/>
        <strike val="0"/>
        <condense val="0"/>
        <extend val="0"/>
        <outline val="0"/>
        <shadow val="0"/>
        <u val="none"/>
        <vertAlign val="baseline"/>
        <sz val="10"/>
        <color theme="1"/>
        <name val="Verdana"/>
        <family val="2"/>
        <scheme val="none"/>
      </font>
      <alignment horizontal="center" vertical="center" wrapText="1"/>
    </dxf>
    <dxf>
      <font>
        <b val="0"/>
        <i val="0"/>
        <strike val="0"/>
        <condense val="0"/>
        <extend val="0"/>
        <outline val="0"/>
        <shadow val="0"/>
        <u val="none"/>
        <vertAlign val="baseline"/>
        <sz val="10"/>
        <color theme="1"/>
        <name val="Verdana"/>
        <scheme val="none"/>
      </font>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scheme val="none"/>
      </font>
      <fill>
        <patternFill patternType="solid">
          <fgColor indexed="64"/>
          <bgColor rgb="FFFCE4D6"/>
        </patternFill>
      </fill>
      <alignment horizontal="center" vertical="center" textRotation="0" wrapText="1" indent="0" justifyLastLine="0" shrinkToFit="0" readingOrder="0"/>
    </dxf>
    <dxf>
      <alignment horizontal="center" vertical="center"/>
    </dxf>
    <dxf>
      <font>
        <b val="0"/>
        <i val="0"/>
        <strike val="0"/>
        <condense val="0"/>
        <extend val="0"/>
        <outline val="0"/>
        <shadow val="0"/>
        <u val="none"/>
        <vertAlign val="baseline"/>
        <sz val="10"/>
        <color theme="1"/>
        <name val="Verdana"/>
        <family val="2"/>
        <scheme val="none"/>
      </font>
      <alignment horizontal="center" vertical="center" wrapText="1"/>
    </dxf>
    <dxf>
      <font>
        <b val="0"/>
        <i val="0"/>
        <strike val="0"/>
        <condense val="0"/>
        <extend val="0"/>
        <outline val="0"/>
        <shadow val="0"/>
        <u val="none"/>
        <vertAlign val="baseline"/>
        <sz val="10"/>
        <color theme="1"/>
        <name val="Verdana"/>
        <family val="2"/>
        <scheme val="none"/>
      </font>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Verdana"/>
        <family val="2"/>
        <scheme val="none"/>
      </font>
      <alignment horizontal="center" vertical="center" wrapText="1"/>
    </dxf>
    <dxf>
      <font>
        <b val="0"/>
        <i val="0"/>
        <strike val="0"/>
        <condense val="0"/>
        <extend val="0"/>
        <outline val="0"/>
        <shadow val="0"/>
        <u val="none"/>
        <vertAlign val="baseline"/>
        <sz val="10"/>
        <color theme="1"/>
        <name val="Verdana"/>
        <family val="2"/>
        <scheme val="none"/>
      </font>
      <alignment horizontal="center" vertical="center" textRotation="0" wrapText="1" indent="0" justifyLastLine="0" shrinkToFit="0" readingOrder="0"/>
    </dxf>
    <dxf>
      <font>
        <strike val="0"/>
        <outline val="0"/>
        <shadow val="0"/>
        <u val="none"/>
        <vertAlign val="baseline"/>
        <sz val="10"/>
        <name val="Verdana"/>
        <family val="2"/>
        <scheme val="none"/>
      </font>
      <alignment horizontal="center" vertical="center" wrapText="1"/>
    </dxf>
    <dxf>
      <font>
        <strike val="0"/>
        <outline val="0"/>
        <shadow val="0"/>
        <u val="none"/>
        <vertAlign val="baseline"/>
        <sz val="10"/>
        <name val="Verdana"/>
        <family val="2"/>
        <scheme val="none"/>
      </font>
      <alignment horizontal="center" vertical="center" wrapText="1"/>
    </dxf>
    <dxf>
      <font>
        <strike val="0"/>
        <outline val="0"/>
        <shadow val="0"/>
        <u val="none"/>
        <vertAlign val="baseline"/>
        <sz val="10"/>
        <name val="Verdana"/>
        <family val="2"/>
        <scheme val="none"/>
      </font>
      <alignment horizontal="center" vertical="center" textRotation="0" wrapText="1" indent="0" justifyLastLine="0" shrinkToFit="0" readingOrder="0"/>
    </dxf>
    <dxf>
      <font>
        <strike val="0"/>
        <outline val="0"/>
        <shadow val="0"/>
        <u val="none"/>
        <vertAlign val="baseline"/>
        <sz val="10"/>
        <name val="Verdana"/>
        <family val="2"/>
        <scheme val="none"/>
      </font>
      <alignment horizontal="center" vertical="center" wrapText="1"/>
    </dxf>
    <dxf>
      <font>
        <strike val="0"/>
        <outline val="0"/>
        <shadow val="0"/>
        <u val="none"/>
        <vertAlign val="baseline"/>
        <sz val="10"/>
        <name val="Verdana"/>
        <family val="2"/>
        <scheme val="none"/>
      </font>
      <alignment horizontal="center" vertical="center" wrapText="1"/>
    </dxf>
    <dxf>
      <font>
        <strike val="0"/>
        <outline val="0"/>
        <shadow val="0"/>
        <u val="none"/>
        <vertAlign val="baseline"/>
        <sz val="10"/>
        <name val="Verdana"/>
        <family val="2"/>
        <scheme val="none"/>
      </font>
      <alignment horizontal="center" vertical="center" wrapText="1"/>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alignment horizontal="center" vertical="center" wrapText="1"/>
    </dxf>
    <dxf>
      <font>
        <strike val="0"/>
        <outline val="0"/>
        <shadow val="0"/>
        <u val="none"/>
        <vertAlign val="baseline"/>
        <sz val="10"/>
        <name val="Verdana"/>
        <family val="2"/>
        <scheme val="none"/>
      </font>
      <alignment vertical="center" wrapText="1"/>
    </dxf>
    <dxf>
      <font>
        <strike val="0"/>
        <outline val="0"/>
        <shadow val="0"/>
        <u val="none"/>
        <vertAlign val="baseline"/>
        <sz val="10"/>
        <name val="Verdana"/>
        <family val="2"/>
        <scheme val="none"/>
      </font>
      <fill>
        <patternFill patternType="solid">
          <fgColor indexed="64"/>
          <bgColor theme="3"/>
        </patternFill>
      </fill>
      <alignment vertical="center" wrapText="1"/>
    </dxf>
    <dxf>
      <font>
        <color rgb="FF9C5700"/>
      </font>
      <fill>
        <patternFill>
          <bgColor rgb="FFFFEB9C"/>
        </patternFill>
      </fill>
    </dxf>
    <dxf>
      <font>
        <color rgb="FF9C0006"/>
      </font>
      <fill>
        <patternFill>
          <bgColor rgb="FFFFC7CE"/>
        </patternFill>
      </fill>
    </dxf>
    <dxf>
      <border>
        <left style="thin">
          <color theme="0" tint="-0.14999847407452621"/>
        </left>
        <right/>
        <top style="thin">
          <color theme="0" tint="-0.14999847407452621"/>
        </top>
        <bottom style="thin">
          <color theme="0" tint="-0.14999847407452621"/>
        </bottom>
        <vertical style="thin">
          <color theme="0" tint="-0.14999847407452621"/>
        </vertical>
        <horizontal style="thin">
          <color theme="0" tint="-0.14999847407452621"/>
        </horizontal>
      </border>
    </dxf>
    <dxf>
      <font>
        <b val="0"/>
        <i val="0"/>
        <strike val="0"/>
        <condense val="0"/>
        <extend val="0"/>
        <outline val="0"/>
        <shadow val="0"/>
        <u val="none"/>
        <vertAlign val="baseline"/>
        <sz val="10"/>
        <color theme="1"/>
        <name val="Verdana"/>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b val="0"/>
        <i val="0"/>
        <strike val="0"/>
        <condense val="0"/>
        <extend val="0"/>
        <outline val="0"/>
        <shadow val="0"/>
        <u val="none"/>
        <vertAlign val="baseline"/>
        <sz val="11"/>
        <color theme="1"/>
        <name val="Verdana"/>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b val="0"/>
        <i val="0"/>
        <strike val="0"/>
        <condense val="0"/>
        <extend val="0"/>
        <outline val="0"/>
        <shadow val="0"/>
        <u val="none"/>
        <vertAlign val="baseline"/>
        <sz val="11"/>
        <color theme="1"/>
        <name val="Verdana"/>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b val="0"/>
        <i val="0"/>
        <strike val="0"/>
        <condense val="0"/>
        <extend val="0"/>
        <outline val="0"/>
        <shadow val="0"/>
        <u val="none"/>
        <vertAlign val="baseline"/>
        <sz val="11"/>
        <color theme="1"/>
        <name val="Verdana"/>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b val="0"/>
        <i val="0"/>
        <strike val="0"/>
        <condense val="0"/>
        <extend val="0"/>
        <outline val="0"/>
        <shadow val="0"/>
        <u val="none"/>
        <vertAlign val="baseline"/>
        <sz val="11"/>
        <color theme="1"/>
        <name val="Verdana"/>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b val="0"/>
        <i val="0"/>
        <strike val="0"/>
        <condense val="0"/>
        <extend val="0"/>
        <outline val="0"/>
        <shadow val="0"/>
        <u val="none"/>
        <vertAlign val="baseline"/>
        <sz val="11"/>
        <color theme="1"/>
        <name val="Verdana"/>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b val="0"/>
        <i val="0"/>
        <strike val="0"/>
        <condense val="0"/>
        <extend val="0"/>
        <outline val="0"/>
        <shadow val="0"/>
        <u val="none"/>
        <vertAlign val="baseline"/>
        <sz val="11"/>
        <color theme="1"/>
        <name val="Verdana"/>
        <family val="2"/>
        <scheme val="none"/>
      </font>
      <fill>
        <patternFill patternType="solid">
          <fgColor theme="9" tint="0.79998168889431442"/>
          <bgColor theme="9" tint="0.79998168889431442"/>
        </patternFill>
      </fill>
      <alignment horizontal="general"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ont>
        <b val="0"/>
        <i val="0"/>
        <strike val="0"/>
        <condense val="0"/>
        <extend val="0"/>
        <outline val="0"/>
        <shadow val="0"/>
        <u val="none"/>
        <vertAlign val="baseline"/>
        <sz val="11"/>
        <color theme="1"/>
        <name val="Verdana"/>
        <family val="2"/>
        <scheme val="none"/>
      </font>
      <fill>
        <patternFill patternType="solid">
          <fgColor theme="9" tint="0.79998168889431442"/>
          <bgColor theme="9" tint="0.79998168889431442"/>
        </patternFill>
      </fill>
      <alignment horizontal="center" vertical="center" textRotation="0" wrapText="1" indent="0" justifyLastLine="0" shrinkToFit="0" readingOrder="0"/>
      <border diagonalUp="0" diagonalDown="0">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border>
        <top style="thin">
          <color theme="0" tint="-0.14999847407452621"/>
        </top>
      </border>
    </dxf>
    <dxf>
      <border>
        <left style="thin">
          <color theme="0" tint="-0.14999847407452621"/>
        </left>
        <right style="thin">
          <color theme="0" tint="-0.14999847407452621"/>
        </right>
        <top style="thin">
          <color theme="0" tint="-0.14999847407452621"/>
        </top>
        <bottom style="thin">
          <color theme="0" tint="-0.14999847407452621"/>
        </bottom>
      </border>
    </dxf>
    <dxf>
      <font>
        <b val="0"/>
        <i val="0"/>
        <strike val="0"/>
        <condense val="0"/>
        <extend val="0"/>
        <outline val="0"/>
        <shadow val="0"/>
        <u val="none"/>
        <vertAlign val="baseline"/>
        <sz val="11"/>
        <color theme="1"/>
        <name val="Verdana"/>
        <family val="2"/>
        <scheme val="none"/>
      </font>
      <fill>
        <patternFill patternType="solid">
          <fgColor theme="9" tint="0.79998168889431442"/>
          <bgColor theme="9" tint="0.79998168889431442"/>
        </patternFill>
      </fill>
      <alignment horizontal="center" vertical="center" textRotation="0" wrapText="1" indent="0" justifyLastLine="0" shrinkToFit="0" readingOrder="0"/>
    </dxf>
    <dxf>
      <border>
        <bottom style="thin">
          <color theme="0" tint="-0.14999847407452621"/>
        </bottom>
      </border>
    </dxf>
    <dxf>
      <font>
        <b/>
        <i val="0"/>
        <strike val="0"/>
        <condense val="0"/>
        <extend val="0"/>
        <outline val="0"/>
        <shadow val="0"/>
        <u val="none"/>
        <vertAlign val="baseline"/>
        <sz val="10"/>
        <color theme="0"/>
        <name val="Verdana"/>
        <family val="2"/>
        <scheme val="none"/>
      </font>
      <fill>
        <patternFill patternType="solid">
          <fgColor indexed="64"/>
          <bgColor theme="3"/>
        </patternFill>
      </fill>
      <alignment horizontal="center" vertical="center" textRotation="0" wrapText="1" indent="0" justifyLastLine="0" shrinkToFit="0" readingOrder="0"/>
      <border>
        <left style="thin">
          <color theme="0" tint="-0.14999847407452621"/>
        </left>
        <right style="thin">
          <color theme="0" tint="-0.14999847407452621"/>
        </right>
        <top/>
        <bottom/>
        <vertical style="thin">
          <color theme="0" tint="-0.14999847407452621"/>
        </vertical>
        <horizontal style="thin">
          <color theme="0" tint="-0.14999847407452621"/>
        </horizontal>
      </border>
    </dxf>
    <dxf>
      <font>
        <b val="0"/>
        <i val="0"/>
        <strike val="0"/>
        <condense val="0"/>
        <extend val="0"/>
        <outline val="0"/>
        <shadow val="0"/>
        <u val="none"/>
        <vertAlign val="baseline"/>
        <sz val="11"/>
        <color rgb="FF000000"/>
        <name val="Verdana"/>
        <family val="2"/>
        <scheme val="none"/>
      </font>
      <fill>
        <patternFill patternType="solid">
          <fgColor rgb="FF000000"/>
          <bgColor rgb="FFFCE4D6"/>
        </patternFill>
      </fill>
      <alignment horizontal="center" vertical="center" textRotation="0" wrapText="1" indent="0" justifyLastLine="0" shrinkToFit="0" readingOrder="0"/>
      <border diagonalUp="0" diagonalDown="0">
        <left/>
        <right/>
        <top/>
        <bottom style="thin">
          <color indexed="64"/>
        </bottom>
        <vertical/>
        <horizontal/>
      </border>
    </dxf>
    <dxf>
      <font>
        <b val="0"/>
        <i val="0"/>
        <strike val="0"/>
        <condense val="0"/>
        <extend val="0"/>
        <outline val="0"/>
        <shadow val="0"/>
        <u val="none"/>
        <vertAlign val="baseline"/>
        <sz val="11"/>
        <color rgb="FF000000"/>
        <name val="Verdana"/>
        <family val="2"/>
        <scheme val="none"/>
      </font>
      <fill>
        <patternFill patternType="solid">
          <fgColor rgb="FF000000"/>
          <bgColor rgb="FFFCE4D6"/>
        </patternFill>
      </fill>
      <alignment horizontal="center" vertical="center" textRotation="0" wrapText="1" indent="0" justifyLastLine="0" shrinkToFit="0" readingOrder="0"/>
      <border diagonalUp="0" diagonalDown="0">
        <left/>
        <right style="thin">
          <color indexed="64"/>
        </right>
        <top/>
        <bottom style="thin">
          <color indexed="64"/>
        </bottom>
        <vertical/>
        <horizontal/>
      </border>
    </dxf>
    <dxf>
      <font>
        <b val="0"/>
        <i val="0"/>
        <strike val="0"/>
        <condense val="0"/>
        <extend val="0"/>
        <outline val="0"/>
        <shadow val="0"/>
        <u val="none"/>
        <vertAlign val="baseline"/>
        <sz val="11"/>
        <color rgb="FF000000"/>
        <name val="Verdana"/>
        <family val="2"/>
        <scheme val="none"/>
      </font>
      <fill>
        <patternFill patternType="solid">
          <fgColor rgb="FF000000"/>
          <bgColor rgb="FFFCE4D6"/>
        </patternFill>
      </fill>
      <alignment horizontal="center" vertical="center" textRotation="0" wrapText="1" indent="0" justifyLastLine="0" shrinkToFit="0" readingOrder="0"/>
      <border diagonalUp="0" diagonalDown="0">
        <left/>
        <right style="thin">
          <color indexed="64"/>
        </right>
        <top/>
        <bottom style="thin">
          <color indexed="64"/>
        </bottom>
        <vertical/>
        <horizontal/>
      </border>
    </dxf>
    <dxf>
      <font>
        <b val="0"/>
        <i val="0"/>
        <strike val="0"/>
        <condense val="0"/>
        <extend val="0"/>
        <outline val="0"/>
        <shadow val="0"/>
        <u val="none"/>
        <vertAlign val="baseline"/>
        <sz val="11"/>
        <color rgb="FF000000"/>
        <name val="Verdana"/>
        <family val="2"/>
        <scheme val="none"/>
      </font>
      <fill>
        <patternFill patternType="solid">
          <fgColor rgb="FF000000"/>
          <bgColor rgb="FFFCE4D6"/>
        </patternFill>
      </fill>
      <alignment horizontal="center" vertical="center" textRotation="0" wrapText="1" indent="0" justifyLastLine="0" shrinkToFit="0" readingOrder="0"/>
      <border diagonalUp="0" diagonalDown="0">
        <left/>
        <right style="thin">
          <color indexed="64"/>
        </right>
        <top/>
        <bottom style="thin">
          <color indexed="64"/>
        </bottom>
        <vertical/>
        <horizontal/>
      </border>
    </dxf>
    <dxf>
      <font>
        <b val="0"/>
        <i val="0"/>
        <strike val="0"/>
        <condense val="0"/>
        <extend val="0"/>
        <outline val="0"/>
        <shadow val="0"/>
        <u val="none"/>
        <vertAlign val="baseline"/>
        <sz val="11"/>
        <color rgb="FF000000"/>
        <name val="Verdana"/>
        <family val="2"/>
        <scheme val="none"/>
      </font>
      <fill>
        <patternFill patternType="none">
          <fgColor rgb="FF000000"/>
          <bgColor rgb="FFFCE4D6"/>
        </patternFill>
      </fill>
      <alignment horizontal="center" vertical="center" textRotation="0" wrapText="0" indent="0" justifyLastLine="0" shrinkToFit="0" readingOrder="0"/>
      <border diagonalUp="0" diagonalDown="0" outline="0">
        <left/>
        <right style="thin">
          <color indexed="64"/>
        </right>
        <top/>
        <bottom style="thin">
          <color indexed="64"/>
        </bottom>
      </border>
    </dxf>
    <dxf>
      <font>
        <b val="0"/>
        <i val="0"/>
        <strike val="0"/>
        <condense val="0"/>
        <extend val="0"/>
        <outline val="0"/>
        <shadow val="0"/>
        <u val="none"/>
        <vertAlign val="baseline"/>
        <sz val="11"/>
        <color rgb="FF000000"/>
        <name val="Verdana"/>
        <family val="2"/>
        <scheme val="none"/>
      </font>
      <fill>
        <patternFill patternType="solid">
          <fgColor rgb="FF000000"/>
          <bgColor rgb="FFFCE4D6"/>
        </patternFill>
      </fill>
      <alignment horizontal="center" vertical="center" textRotation="0" wrapText="1" indent="0" justifyLastLine="0" shrinkToFit="0" readingOrder="0"/>
      <border diagonalUp="0" diagonalDown="0">
        <left/>
        <right style="thin">
          <color indexed="64"/>
        </right>
        <top/>
        <bottom style="thin">
          <color indexed="64"/>
        </bottom>
        <vertical/>
        <horizontal/>
      </border>
    </dxf>
    <dxf>
      <font>
        <b val="0"/>
        <i val="0"/>
        <strike val="0"/>
        <condense val="0"/>
        <extend val="0"/>
        <outline val="0"/>
        <shadow val="0"/>
        <u val="none"/>
        <vertAlign val="baseline"/>
        <sz val="11"/>
        <color rgb="FF000000"/>
        <name val="Verdana"/>
        <family val="2"/>
        <scheme val="none"/>
      </font>
      <fill>
        <patternFill patternType="solid">
          <fgColor rgb="FF000000"/>
          <bgColor rgb="FFFCE4D6"/>
        </patternFill>
      </fill>
      <alignment horizontal="center" vertical="center" textRotation="0" wrapText="1" indent="0" justifyLastLine="0" shrinkToFit="0" readingOrder="0"/>
      <border diagonalUp="0" diagonalDown="0">
        <left/>
        <right style="thin">
          <color indexed="64"/>
        </right>
        <top/>
        <bottom style="thin">
          <color indexed="64"/>
        </bottom>
        <vertical/>
        <horizontal/>
      </border>
    </dxf>
    <dxf>
      <font>
        <b val="0"/>
        <i val="0"/>
        <strike val="0"/>
        <condense val="0"/>
        <extend val="0"/>
        <outline val="0"/>
        <shadow val="0"/>
        <u val="none"/>
        <vertAlign val="baseline"/>
        <sz val="11"/>
        <color rgb="FF000000"/>
        <name val="Verdana"/>
        <family val="2"/>
        <scheme val="none"/>
      </font>
      <fill>
        <patternFill patternType="solid">
          <fgColor rgb="FF000000"/>
          <bgColor rgb="FFFCE4D6"/>
        </patternFill>
      </fill>
      <alignment horizontal="center" vertical="center" textRotation="0" wrapText="1" indent="0" justifyLastLine="0" shrinkToFit="0" readingOrder="0"/>
      <border diagonalUp="0" diagonalDown="0">
        <left style="medium">
          <color rgb="FF000000"/>
        </left>
        <right style="thin">
          <color theme="1" tint="0.499984740745262"/>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rgb="FF000000"/>
        <name val="Verdana"/>
        <family val="2"/>
        <scheme val="none"/>
      </font>
      <fill>
        <patternFill patternType="solid">
          <fgColor rgb="FF000000"/>
          <bgColor rgb="FFFCE4D6"/>
        </patternFill>
      </fill>
      <alignment horizontal="center" vertical="center" textRotation="0" wrapText="1" indent="0" justifyLastLine="0" shrinkToFit="0" readingOrder="0"/>
      <border diagonalUp="0" diagonalDown="0" outline="0">
        <left/>
        <right style="thin">
          <color indexed="64"/>
        </right>
        <top/>
        <bottom style="thin">
          <color indexed="64"/>
        </bottom>
      </border>
    </dxf>
    <dxf>
      <font>
        <b val="0"/>
        <i val="0"/>
        <strike val="0"/>
        <condense val="0"/>
        <extend val="0"/>
        <outline val="0"/>
        <shadow val="0"/>
        <u val="none"/>
        <vertAlign val="baseline"/>
        <sz val="11"/>
        <color rgb="FF000000"/>
        <name val="Verdana"/>
        <family val="2"/>
        <scheme val="none"/>
      </font>
      <fill>
        <patternFill patternType="solid">
          <fgColor rgb="FF000000"/>
          <bgColor rgb="FFFCE4D6"/>
        </patternFill>
      </fill>
      <alignment horizontal="center"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1"/>
        <color rgb="FF000000"/>
        <name val="Verdana"/>
        <family val="2"/>
        <scheme val="none"/>
      </font>
      <fill>
        <patternFill patternType="solid">
          <fgColor rgb="FF000000"/>
          <bgColor rgb="FFFCE4D6"/>
        </patternFill>
      </fill>
      <alignment horizontal="center"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1"/>
        <color rgb="FF000000"/>
        <name val="Verdana"/>
        <family val="2"/>
        <scheme val="none"/>
      </font>
      <fill>
        <patternFill patternType="solid">
          <fgColor rgb="FF000000"/>
          <bgColor rgb="FFFCE4D6"/>
        </patternFill>
      </fill>
      <alignment horizontal="general"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1"/>
        <color rgb="FF000000"/>
        <name val="Verdana"/>
        <family val="2"/>
        <scheme val="none"/>
      </font>
      <fill>
        <patternFill patternType="solid">
          <fgColor rgb="FF000000"/>
          <bgColor rgb="FFFCE4D6"/>
        </patternFill>
      </fill>
      <alignment horizontal="center" vertical="center" textRotation="0" wrapText="1" indent="0" justifyLastLine="0" shrinkToFit="0" readingOrder="0"/>
      <border diagonalUp="0" diagonalDown="0">
        <left/>
        <right style="thin">
          <color indexed="64"/>
        </right>
        <top/>
        <bottom style="thin">
          <color indexed="64"/>
        </bottom>
        <vertical/>
        <horizontal/>
      </border>
    </dxf>
    <dxf>
      <fill>
        <patternFill patternType="solid">
          <fgColor rgb="FF00B0F0"/>
          <bgColor rgb="FF000000"/>
        </patternFill>
      </fill>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Verdana"/>
        <family val="2"/>
        <scheme val="none"/>
      </font>
      <fill>
        <patternFill patternType="solid">
          <fgColor rgb="FF000000"/>
          <bgColor rgb="FFFCE4D6"/>
        </patternFill>
      </fill>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0"/>
        <color rgb="FFFFFFFF"/>
        <name val="Verdana"/>
        <family val="2"/>
        <scheme val="none"/>
      </font>
      <fill>
        <patternFill patternType="solid">
          <fgColor rgb="FF000000"/>
          <bgColor rgb="FF44546A"/>
        </patternFill>
      </fill>
      <alignment horizontal="center" vertical="center" textRotation="0" wrapText="1" indent="0" justifyLastLine="0" shrinkToFit="0" readingOrder="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patternType="none"/>
      </fill>
    </dxf>
    <dxf>
      <alignment horizontal="center"/>
    </dxf>
    <dxf>
      <numFmt numFmtId="2" formatCode="0.00"/>
    </dxf>
    <dxf>
      <alignment horizontal="center"/>
    </dxf>
    <dxf>
      <alignment horizontal="center"/>
    </dxf>
    <dxf>
      <font>
        <color theme="0"/>
      </font>
    </dxf>
    <dxf>
      <fill>
        <patternFill patternType="solid">
          <fgColor indexed="64"/>
          <bgColor rgb="FF44546A"/>
        </patternFill>
      </fill>
    </dxf>
    <dxf>
      <font>
        <b/>
      </font>
    </dxf>
    <dxf>
      <font>
        <b/>
      </font>
    </dxf>
    <dxf>
      <font>
        <b val="0"/>
      </font>
    </dxf>
    <dxf>
      <numFmt numFmtId="2" formatCode="0.00"/>
    </dxf>
    <dxf>
      <numFmt numFmtId="2" formatCode="0.00"/>
    </dxf>
    <dxf>
      <font>
        <color theme="0"/>
      </font>
    </dxf>
    <dxf>
      <fill>
        <patternFill patternType="solid">
          <fgColor indexed="64"/>
          <bgColor theme="3"/>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font>
        <color theme="0"/>
      </font>
    </dxf>
    <dxf>
      <font>
        <color theme="0"/>
      </font>
    </dxf>
    <dxf>
      <font>
        <color theme="0"/>
      </font>
    </dxf>
    <dxf>
      <font>
        <color theme="0"/>
      </font>
    </dxf>
    <dxf>
      <font>
        <color theme="0"/>
      </font>
    </dxf>
    <dxf>
      <font>
        <color theme="0"/>
      </font>
    </dxf>
    <dxf>
      <fill>
        <patternFill patternType="solid">
          <fgColor indexed="64"/>
          <bgColor theme="3"/>
        </patternFill>
      </fill>
    </dxf>
    <dxf>
      <fill>
        <patternFill patternType="solid">
          <fgColor indexed="64"/>
          <bgColor theme="3"/>
        </patternFill>
      </fill>
    </dxf>
    <dxf>
      <fill>
        <patternFill patternType="solid">
          <fgColor indexed="64"/>
          <bgColor theme="3"/>
        </patternFill>
      </fill>
    </dxf>
    <dxf>
      <fill>
        <patternFill patternType="solid">
          <fgColor indexed="64"/>
          <bgColor theme="3"/>
        </patternFill>
      </fill>
    </dxf>
    <dxf>
      <fill>
        <patternFill patternType="solid">
          <fgColor indexed="64"/>
          <bgColor theme="3"/>
        </patternFill>
      </fill>
    </dxf>
    <dxf>
      <fill>
        <patternFill patternType="solid">
          <fgColor indexed="64"/>
          <bgColor theme="3"/>
        </patternFill>
      </fill>
    </dxf>
    <dxf>
      <alignment horizont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horizontal="center"/>
    </dxf>
    <dxf>
      <alignment vertic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font>
        <name val="Verdana"/>
      </font>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color theme="0"/>
      </font>
      <fill>
        <patternFill patternType="solid">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rgb="FF00B050"/>
        </patternFill>
      </fill>
    </dxf>
    <dxf>
      <font>
        <strike val="0"/>
        <outline val="0"/>
        <shadow val="0"/>
        <u val="none"/>
        <vertAlign val="baseline"/>
        <sz val="11"/>
        <name val="Verdana"/>
        <family val="2"/>
        <scheme val="none"/>
      </font>
      <alignment horizontal="center" vertical="center" textRotation="0" wrapText="0" indent="0" justifyLastLine="0" shrinkToFit="0" readingOrder="0"/>
    </dxf>
    <dxf>
      <font>
        <strike val="0"/>
        <outline val="0"/>
        <shadow val="0"/>
        <u val="none"/>
        <vertAlign val="baseline"/>
        <sz val="11"/>
        <name val="Verdana"/>
        <family val="2"/>
        <scheme val="none"/>
      </font>
      <numFmt numFmtId="0" formatCode="General"/>
      <alignment horizontal="center" vertical="center" textRotation="0" indent="0" justifyLastLine="0" shrinkToFit="0" readingOrder="0"/>
    </dxf>
    <dxf>
      <font>
        <strike val="0"/>
        <outline val="0"/>
        <shadow val="0"/>
        <u val="none"/>
        <vertAlign val="baseline"/>
        <sz val="11"/>
        <name val="Verdana"/>
        <family val="2"/>
        <scheme val="none"/>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11"/>
        <color theme="1"/>
        <name val="Verdana"/>
        <family val="2"/>
        <scheme val="none"/>
      </font>
      <numFmt numFmtId="2" formatCode="0.00"/>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2" formatCode="0.00"/>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tint="0.499984740745262"/>
        <name val="Verdana"/>
        <family val="2"/>
        <scheme val="none"/>
      </font>
      <numFmt numFmtId="0" formatCode="General"/>
      <fill>
        <patternFill patternType="solid">
          <fgColor indexed="64"/>
          <bgColor theme="1"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tint="0.499984740745262"/>
        <name val="Verdana"/>
        <family val="2"/>
        <scheme val="none"/>
      </font>
      <numFmt numFmtId="0" formatCode="General"/>
      <fill>
        <patternFill patternType="solid">
          <fgColor indexed="64"/>
          <bgColor theme="1"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tint="0.499984740745262"/>
        <name val="Verdana"/>
        <family val="2"/>
        <scheme val="none"/>
      </font>
      <fill>
        <patternFill patternType="solid">
          <fgColor indexed="64"/>
          <bgColor theme="1"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tint="0.499984740745262"/>
        <name val="Verdana"/>
        <family val="2"/>
        <scheme val="none"/>
      </font>
      <numFmt numFmtId="0" formatCode="General"/>
      <fill>
        <patternFill patternType="solid">
          <fgColor indexed="64"/>
          <bgColor theme="1"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tint="0.499984740745262"/>
        <name val="Verdana"/>
        <family val="2"/>
        <scheme val="none"/>
      </font>
      <numFmt numFmtId="0" formatCode="General"/>
      <fill>
        <patternFill patternType="solid">
          <fgColor indexed="64"/>
          <bgColor theme="1"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tint="0.499984740745262"/>
        <name val="Verdana"/>
        <family val="2"/>
        <scheme val="none"/>
      </font>
      <fill>
        <patternFill patternType="solid">
          <fgColor indexed="64"/>
          <bgColor theme="1"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tint="0.499984740745262"/>
        <name val="Verdana"/>
        <family val="2"/>
        <scheme val="none"/>
      </font>
      <numFmt numFmtId="0" formatCode="General"/>
      <fill>
        <patternFill patternType="solid">
          <fgColor indexed="64"/>
          <bgColor theme="1"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tint="0.499984740745262"/>
        <name val="Verdana"/>
        <family val="2"/>
        <scheme val="none"/>
      </font>
      <numFmt numFmtId="0" formatCode="General"/>
      <fill>
        <patternFill patternType="solid">
          <fgColor indexed="64"/>
          <bgColor theme="1"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tint="0.499984740745262"/>
        <name val="Verdana"/>
        <family val="2"/>
        <scheme val="none"/>
      </font>
      <fill>
        <patternFill patternType="solid">
          <fgColor indexed="64"/>
          <bgColor theme="1"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tint="0.499984740745262"/>
        <name val="Verdana"/>
        <family val="2"/>
        <scheme val="none"/>
      </font>
      <numFmt numFmtId="0" formatCode="General"/>
      <fill>
        <patternFill patternType="solid">
          <fgColor indexed="64"/>
          <bgColor theme="1"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tint="0.499984740745262"/>
        <name val="Verdana"/>
        <family val="2"/>
        <scheme val="none"/>
      </font>
      <numFmt numFmtId="0" formatCode="General"/>
      <fill>
        <patternFill patternType="solid">
          <fgColor indexed="64"/>
          <bgColor theme="1"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tint="0.499984740745262"/>
        <name val="Verdana"/>
        <family val="2"/>
        <scheme val="none"/>
      </font>
      <numFmt numFmtId="0" formatCode="General"/>
      <fill>
        <patternFill patternType="solid">
          <fgColor indexed="64"/>
          <bgColor theme="1"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tint="0.499984740745262"/>
        <name val="Verdana"/>
        <family val="2"/>
        <scheme val="none"/>
      </font>
      <numFmt numFmtId="0" formatCode="General"/>
      <fill>
        <patternFill patternType="solid">
          <fgColor indexed="64"/>
          <bgColor theme="1"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tint="0.499984740745262"/>
        <name val="Verdana"/>
        <family val="2"/>
        <scheme val="none"/>
      </font>
      <numFmt numFmtId="2" formatCode="0.00"/>
      <fill>
        <patternFill patternType="solid">
          <fgColor indexed="64"/>
          <bgColor theme="1"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fill>
        <patternFill patternType="none">
          <fgColor indexed="64"/>
          <bgColor theme="0" tint="-0.249977111117893"/>
        </patternFill>
      </fill>
      <alignment horizontal="center" vertical="center" textRotation="0" wrapText="0" indent="0" justifyLastLine="0" shrinkToFit="0" readingOrder="0"/>
      <border outline="0">
        <left style="medium">
          <color rgb="FF000000"/>
        </left>
      </border>
    </dxf>
    <dxf>
      <font>
        <b/>
        <i val="0"/>
        <strike val="0"/>
        <condense val="0"/>
        <extend val="0"/>
        <outline val="0"/>
        <shadow val="0"/>
        <u val="none"/>
        <vertAlign val="baseline"/>
        <sz val="11"/>
        <color rgb="FF000000"/>
        <name val="Verdana"/>
        <family val="2"/>
        <scheme val="none"/>
      </font>
      <numFmt numFmtId="1" formatCode="0"/>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1"/>
        <color rgb="FF000000"/>
        <name val="Verdana"/>
        <family val="2"/>
        <scheme val="none"/>
      </font>
      <numFmt numFmtId="2" formatCode="0.00"/>
      <alignment horizontal="center" vertical="center" textRotation="0" wrapText="0" indent="0" justifyLastLine="0" shrinkToFit="0" readingOrder="0"/>
      <border outline="0">
        <left style="medium">
          <color rgb="FF000000"/>
        </left>
        <right/>
      </border>
    </dxf>
    <dxf>
      <font>
        <b/>
        <i val="0"/>
        <strike val="0"/>
        <condense val="0"/>
        <extend val="0"/>
        <outline val="0"/>
        <shadow val="0"/>
        <u val="none"/>
        <vertAlign val="baseline"/>
        <sz val="11"/>
        <color rgb="FF000000"/>
        <name val="Verdana"/>
        <family val="2"/>
        <scheme val="none"/>
      </font>
      <numFmt numFmtId="0" formatCode="General"/>
      <alignment horizontal="center" vertical="center" textRotation="0" wrapText="0" indent="0" justifyLastLine="0" shrinkToFit="0" readingOrder="0"/>
      <border outline="0">
        <right style="medium">
          <color rgb="FF000000"/>
        </right>
      </border>
    </dxf>
    <dxf>
      <font>
        <b val="0"/>
        <i val="0"/>
        <strike val="0"/>
        <condense val="0"/>
        <extend val="0"/>
        <outline val="0"/>
        <shadow val="0"/>
        <u val="none"/>
        <vertAlign val="baseline"/>
        <sz val="11"/>
        <color rgb="FF000000"/>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rgb="FF000000"/>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rgb="FF000000"/>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rgb="FF000000"/>
        <name val="Verdana"/>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rgb="FF000000"/>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rgb="FF000000"/>
        <name val="Verdana"/>
        <family val="2"/>
        <scheme val="none"/>
      </font>
      <alignment horizontal="center" vertical="center" textRotation="0" indent="0" justifyLastLine="0" shrinkToFit="0" readingOrder="0"/>
      <border outline="0">
        <left style="medium">
          <color rgb="FF000000"/>
        </left>
      </border>
    </dxf>
    <dxf>
      <font>
        <strike val="0"/>
        <outline val="0"/>
        <shadow val="0"/>
        <u val="none"/>
        <vertAlign val="baseline"/>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11"/>
        <name val="Verdana"/>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Verdana"/>
        <family val="2"/>
        <scheme val="none"/>
      </font>
      <numFmt numFmtId="0" formatCode="General"/>
      <fill>
        <patternFill patternType="solid">
          <fgColor indexed="64"/>
          <bgColor rgb="FFFCE4D6"/>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Verdana"/>
        <family val="2"/>
        <scheme val="none"/>
      </font>
      <fill>
        <patternFill patternType="solid">
          <fgColor indexed="64"/>
          <bgColor rgb="FFFFFF00"/>
        </patternFill>
      </fill>
      <alignment horizontal="center" vertical="center" textRotation="0" wrapText="1" indent="0" justifyLastLine="0" shrinkToFit="0" readingOrder="0"/>
      <border diagonalUp="0" diagonalDown="0">
        <left style="medium">
          <color rgb="FF000000"/>
        </left>
        <right style="thin">
          <color theme="1" tint="0.499984740745262"/>
        </right>
        <top style="thin">
          <color theme="1" tint="0.499984740745262"/>
        </top>
        <bottom style="thin">
          <color theme="1" tint="0.499984740745262"/>
        </bottom>
      </border>
    </dxf>
    <dxf>
      <font>
        <b/>
        <i val="0"/>
        <strike val="0"/>
        <condense val="0"/>
        <extend val="0"/>
        <outline val="0"/>
        <shadow val="0"/>
        <u val="none"/>
        <vertAlign val="baseline"/>
        <sz val="11"/>
        <color theme="1"/>
        <name val="Verdana"/>
        <family val="2"/>
        <scheme val="none"/>
      </font>
      <numFmt numFmtId="165" formatCode="0.0"/>
      <fill>
        <patternFill patternType="solid">
          <fgColor indexed="64"/>
          <bgColor rgb="FFFCE4D6"/>
        </patternFill>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numFmt numFmtId="165" formatCode="0.0"/>
    </dxf>
    <dxf>
      <numFmt numFmtId="165" formatCode="0.0"/>
    </dxf>
    <dxf>
      <numFmt numFmtId="165" formatCode="0.0"/>
    </dxf>
    <dxf>
      <font>
        <b val="0"/>
        <i val="0"/>
        <strike val="0"/>
        <condense val="0"/>
        <extend val="0"/>
        <outline val="0"/>
        <shadow val="0"/>
        <u val="none"/>
        <vertAlign val="baseline"/>
        <sz val="11"/>
        <color theme="1"/>
        <name val="Verdana"/>
        <family val="2"/>
        <scheme val="none"/>
      </font>
      <numFmt numFmtId="165" formatCode="0.0"/>
      <alignment horizontal="center" vertical="center" textRotation="0" wrapText="1" indent="0" justifyLastLine="0" shrinkToFit="0" readingOrder="0"/>
      <border diagonalUp="0" diagonalDown="0">
        <left style="thin">
          <color theme="1" tint="0.499984740745262"/>
        </left>
        <right/>
        <top style="thin">
          <color theme="1" tint="0.499984740745262"/>
        </top>
        <bottom style="thin">
          <color theme="1" tint="0.499984740745262"/>
        </bottom>
        <vertical/>
        <horizontal/>
      </border>
    </dxf>
    <dxf>
      <numFmt numFmtId="165" formatCode="0.0"/>
    </dxf>
    <dxf>
      <numFmt numFmtId="165" formatCode="0.0"/>
    </dxf>
    <dxf>
      <numFmt numFmtId="165" formatCode="0.0"/>
    </dxf>
    <dxf>
      <font>
        <b val="0"/>
        <i val="0"/>
        <strike val="0"/>
        <condense val="0"/>
        <extend val="0"/>
        <outline val="0"/>
        <shadow val="0"/>
        <u val="none"/>
        <vertAlign val="baseline"/>
        <sz val="11"/>
        <color theme="1"/>
        <name val="Verdana"/>
        <family val="2"/>
        <scheme val="none"/>
      </font>
      <numFmt numFmtId="165" formatCode="0.0"/>
      <alignment horizontal="center" vertical="center" textRotation="0" wrapText="1" indent="0" justifyLastLine="0" shrinkToFit="0" readingOrder="0"/>
      <border diagonalUp="0" diagonalDown="0">
        <left style="thin">
          <color theme="1" tint="0.499984740745262"/>
        </left>
        <right/>
        <top style="thin">
          <color theme="1" tint="0.499984740745262"/>
        </top>
        <bottom style="thin">
          <color theme="1" tint="0.499984740745262"/>
        </bottom>
        <vertical/>
        <horizontal/>
      </border>
    </dxf>
    <dxf>
      <font>
        <b val="0"/>
        <i val="0"/>
        <strike val="0"/>
        <condense val="0"/>
        <extend val="0"/>
        <outline val="0"/>
        <shadow val="0"/>
        <u val="none"/>
        <vertAlign val="baseline"/>
        <sz val="11"/>
        <color theme="1"/>
        <name val="Verdana"/>
        <family val="2"/>
        <scheme val="none"/>
      </font>
      <numFmt numFmtId="165" formatCode="0.0"/>
      <fill>
        <patternFill patternType="solid">
          <fgColor indexed="64"/>
          <bgColor rgb="FFFCE4D6"/>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style="thin">
          <color theme="1" tint="0.499984740745262"/>
        </top>
        <bottom style="thin">
          <color theme="1" tint="0.499984740745262"/>
        </bottom>
      </border>
    </dxf>
    <dxf>
      <font>
        <b val="0"/>
        <i val="0"/>
        <strike val="0"/>
        <condense val="0"/>
        <extend val="0"/>
        <outline val="0"/>
        <shadow val="0"/>
        <u val="none"/>
        <vertAlign val="baseline"/>
        <sz val="11"/>
        <color theme="1"/>
        <name val="Verdana"/>
        <family val="2"/>
        <scheme val="none"/>
      </font>
      <numFmt numFmtId="165" formatCode="0.0"/>
      <fill>
        <patternFill patternType="solid">
          <fgColor indexed="64"/>
          <bgColor rgb="FFFCE4D6"/>
        </patternFill>
      </fill>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border>
    </dxf>
    <dxf>
      <font>
        <b val="0"/>
        <i val="0"/>
        <strike val="0"/>
        <condense val="0"/>
        <extend val="0"/>
        <outline val="0"/>
        <shadow val="0"/>
        <u val="none"/>
        <vertAlign val="baseline"/>
        <sz val="11"/>
        <color theme="1"/>
        <name val="Verdana"/>
        <family val="2"/>
        <scheme val="none"/>
      </font>
      <fill>
        <patternFill patternType="solid">
          <fgColor indexed="64"/>
          <bgColor rgb="FFFCE4D6"/>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style="thin">
          <color theme="1" tint="0.499984740745262"/>
        </top>
        <bottom style="thin">
          <color theme="1" tint="0.499984740745262"/>
        </bottom>
      </border>
    </dxf>
    <dxf>
      <font>
        <b val="0"/>
        <i val="0"/>
        <strike val="0"/>
        <condense val="0"/>
        <extend val="0"/>
        <outline val="0"/>
        <shadow val="0"/>
        <u val="none"/>
        <vertAlign val="baseline"/>
        <sz val="11"/>
        <color theme="1"/>
        <name val="Verdana"/>
        <family val="2"/>
        <scheme val="none"/>
      </font>
      <numFmt numFmtId="0" formatCode="General"/>
      <fill>
        <patternFill patternType="solid">
          <fgColor indexed="64"/>
          <bgColor rgb="FFFCE4D6"/>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style="thin">
          <color theme="1" tint="0.499984740745262"/>
        </top>
        <bottom style="thin">
          <color theme="1" tint="0.499984740745262"/>
        </bottom>
      </border>
    </dxf>
    <dxf>
      <font>
        <b val="0"/>
        <i val="0"/>
        <strike val="0"/>
        <condense val="0"/>
        <extend val="0"/>
        <outline val="0"/>
        <shadow val="0"/>
        <u val="none"/>
        <vertAlign val="baseline"/>
        <sz val="11"/>
        <color theme="1"/>
        <name val="Verdana"/>
        <family val="2"/>
        <scheme val="none"/>
      </font>
      <numFmt numFmtId="0" formatCode="General"/>
      <fill>
        <patternFill patternType="solid">
          <fgColor indexed="64"/>
          <bgColor rgb="FFFCE4D6"/>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style="thin">
          <color theme="1" tint="0.499984740745262"/>
        </top>
        <bottom style="thin">
          <color theme="1" tint="0.499984740745262"/>
        </bottom>
      </border>
    </dxf>
    <dxf>
      <font>
        <b val="0"/>
        <i val="0"/>
        <strike val="0"/>
        <condense val="0"/>
        <extend val="0"/>
        <outline val="0"/>
        <shadow val="0"/>
        <u val="none"/>
        <vertAlign val="baseline"/>
        <sz val="11"/>
        <color theme="1"/>
        <name val="Verdana"/>
        <family val="2"/>
        <scheme val="none"/>
      </font>
      <fill>
        <patternFill patternType="none">
          <fgColor indexed="64"/>
          <bgColor rgb="FFFFFF00"/>
        </patternFill>
      </fill>
      <alignment horizontal="center" vertical="center" textRotation="0" wrapText="1" indent="0" justifyLastLine="0" shrinkToFit="0" readingOrder="0"/>
      <border diagonalUp="0" diagonalDown="0">
        <left style="medium">
          <color rgb="FF000000"/>
        </left>
        <right style="thin">
          <color theme="1" tint="0.499984740745262"/>
        </right>
        <top style="thin">
          <color theme="1" tint="0.499984740745262"/>
        </top>
        <bottom style="thin">
          <color theme="1" tint="0.499984740745262"/>
        </bottom>
      </border>
    </dxf>
    <dxf>
      <font>
        <b val="0"/>
        <i val="0"/>
        <strike val="0"/>
        <condense val="0"/>
        <extend val="0"/>
        <outline val="0"/>
        <shadow val="0"/>
        <u val="none"/>
        <vertAlign val="baseline"/>
        <sz val="10"/>
        <color theme="1"/>
        <name val="Verdana"/>
        <family val="2"/>
        <scheme val="none"/>
      </font>
      <fill>
        <patternFill patternType="solid">
          <fgColor indexed="64"/>
          <bgColor rgb="FFFCE4D6"/>
        </patternFill>
      </fill>
      <alignment horizontal="center" vertical="center" textRotation="0" wrapText="1" indent="0" justifyLastLine="0" shrinkToFit="0" readingOrder="0"/>
      <border diagonalUp="0" diagonalDown="0" outline="0">
        <left/>
        <right/>
        <top style="thin">
          <color theme="1" tint="0.499984740745262"/>
        </top>
        <bottom style="thin">
          <color theme="1" tint="0.499984740745262"/>
        </bottom>
      </border>
    </dxf>
    <dxf>
      <font>
        <b val="0"/>
        <i val="0"/>
        <strike val="0"/>
        <condense val="0"/>
        <extend val="0"/>
        <outline val="0"/>
        <shadow val="0"/>
        <u val="none"/>
        <vertAlign val="baseline"/>
        <sz val="11"/>
        <color theme="1"/>
        <name val="Verdana"/>
        <family val="2"/>
        <scheme val="none"/>
      </font>
      <fill>
        <patternFill patternType="solid">
          <fgColor indexed="64"/>
          <bgColor rgb="FFFCE4D6"/>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style="thin">
          <color theme="1" tint="0.499984740745262"/>
        </top>
        <bottom style="thin">
          <color theme="1" tint="0.499984740745262"/>
        </bottom>
      </border>
    </dxf>
    <dxf>
      <font>
        <b val="0"/>
        <i val="0"/>
        <strike val="0"/>
        <condense val="0"/>
        <extend val="0"/>
        <outline val="0"/>
        <shadow val="0"/>
        <u val="none"/>
        <vertAlign val="baseline"/>
        <sz val="11"/>
        <color theme="1"/>
        <name val="Verdana"/>
        <family val="2"/>
        <scheme val="none"/>
      </font>
      <fill>
        <patternFill patternType="solid">
          <fgColor indexed="64"/>
          <bgColor rgb="FFFCE4D6"/>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style="thin">
          <color theme="1" tint="0.499984740745262"/>
        </top>
        <bottom style="thin">
          <color theme="1" tint="0.499984740745262"/>
        </bottom>
      </border>
    </dxf>
    <dxf>
      <font>
        <b val="0"/>
        <i val="0"/>
        <strike val="0"/>
        <condense val="0"/>
        <extend val="0"/>
        <outline val="0"/>
        <shadow val="0"/>
        <u val="none"/>
        <vertAlign val="baseline"/>
        <sz val="11"/>
        <color theme="1"/>
        <name val="Verdana"/>
        <family val="2"/>
        <scheme val="none"/>
      </font>
      <fill>
        <patternFill patternType="solid">
          <fgColor indexed="64"/>
          <bgColor rgb="FFFCE4D6"/>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style="thin">
          <color theme="1" tint="0.499984740745262"/>
        </top>
        <bottom style="thin">
          <color theme="1" tint="0.499984740745262"/>
        </bottom>
      </border>
    </dxf>
    <dxf>
      <font>
        <b val="0"/>
        <i val="0"/>
        <strike val="0"/>
        <condense val="0"/>
        <extend val="0"/>
        <outline val="0"/>
        <shadow val="0"/>
        <u val="none"/>
        <vertAlign val="baseline"/>
        <sz val="11"/>
        <color theme="1"/>
        <name val="Verdana"/>
        <family val="2"/>
        <scheme val="none"/>
      </font>
      <fill>
        <patternFill patternType="solid">
          <fgColor indexed="64"/>
          <bgColor rgb="FFFCE4D6"/>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Verdana"/>
        <family val="2"/>
        <scheme val="none"/>
      </font>
      <alignment vertical="center" textRotation="0" indent="0" justifyLastLine="0" shrinkToFit="0" readingOrder="0"/>
    </dxf>
    <dxf>
      <font>
        <b val="0"/>
        <i val="0"/>
        <strike val="0"/>
        <condense val="0"/>
        <extend val="0"/>
        <outline val="0"/>
        <shadow val="0"/>
        <u val="none"/>
        <vertAlign val="baseline"/>
        <sz val="11"/>
        <color theme="1"/>
        <name val="Verdana"/>
        <family val="2"/>
        <scheme val="none"/>
      </font>
      <fill>
        <patternFill patternType="solid">
          <fgColor indexed="64"/>
          <bgColor rgb="FFFCE4D6"/>
        </patternFill>
      </fill>
      <alignment horizontal="general" vertical="center" textRotation="0" wrapText="1" indent="0" justifyLastLine="0" shrinkToFit="0" readingOrder="0"/>
      <border diagonalUp="0" diagonalDown="0" outline="0">
        <left style="thin">
          <color theme="1" tint="0.499984740745262"/>
        </left>
        <right style="thin">
          <color theme="1" tint="0.499984740745262"/>
        </right>
        <top style="thin">
          <color theme="1" tint="0.499984740745262"/>
        </top>
        <bottom style="thin">
          <color theme="1" tint="0.499984740745262"/>
        </bottom>
      </border>
    </dxf>
    <dxf>
      <font>
        <b val="0"/>
        <i val="0"/>
        <strike val="0"/>
        <condense val="0"/>
        <extend val="0"/>
        <outline val="0"/>
        <shadow val="0"/>
        <u val="none"/>
        <vertAlign val="baseline"/>
        <sz val="11"/>
        <color theme="1"/>
        <name val="Verdana"/>
        <family val="2"/>
        <scheme val="none"/>
      </font>
      <fill>
        <patternFill patternType="solid">
          <fgColor indexed="64"/>
          <bgColor rgb="FFFCE4D6"/>
        </patternFill>
      </fill>
      <alignment horizontal="center" vertical="center" textRotation="0" wrapText="1" indent="0" justifyLastLine="0" shrinkToFit="0" readingOrder="0"/>
      <border diagonalUp="0" diagonalDown="0" outline="0">
        <left style="thin">
          <color theme="1" tint="0.499984740745262"/>
        </left>
        <right style="thin">
          <color theme="1" tint="0.499984740745262"/>
        </right>
        <top style="thin">
          <color theme="1" tint="0.499984740745262"/>
        </top>
        <bottom style="thin">
          <color theme="1" tint="0.499984740745262"/>
        </bottom>
      </border>
    </dxf>
    <dxf>
      <font>
        <strike val="0"/>
        <outline val="0"/>
        <shadow val="0"/>
        <u val="none"/>
        <vertAlign val="baseline"/>
        <sz val="11"/>
        <name val="Verdana"/>
        <family val="2"/>
        <scheme val="none"/>
      </font>
      <alignment vertical="center" textRotation="0" indent="0" justifyLastLine="0" shrinkToFit="0" readingOrder="0"/>
    </dxf>
    <dxf>
      <font>
        <b/>
        <i val="0"/>
        <strike val="0"/>
        <condense val="0"/>
        <extend val="0"/>
        <outline val="0"/>
        <shadow val="0"/>
        <u val="none"/>
        <vertAlign val="baseline"/>
        <sz val="11"/>
        <color rgb="FFFFFFFF"/>
        <name val="Verdana"/>
        <family val="2"/>
        <scheme val="none"/>
      </font>
      <fill>
        <patternFill patternType="solid">
          <fgColor indexed="64"/>
          <bgColor rgb="FF0097A9"/>
        </patternFill>
      </fill>
      <alignment horizontal="center" vertical="center" textRotation="0" wrapText="1" indent="0" justifyLastLine="0" shrinkToFit="0" readingOrder="1"/>
    </dxf>
    <dxf>
      <font>
        <color theme="0"/>
      </font>
      <fill>
        <patternFill patternType="solid">
          <bgColor rgb="FF0097A9"/>
        </patternFill>
      </fill>
    </dxf>
    <dxf>
      <font>
        <color theme="0"/>
      </font>
      <fill>
        <patternFill>
          <bgColor rgb="FF00B050"/>
        </patternFill>
      </fill>
    </dxf>
    <dxf>
      <fill>
        <patternFill patternType="none">
          <fgColor indexed="64"/>
          <bgColor auto="1"/>
        </patternFill>
      </fill>
      <alignment horizontal="center" vertical="center" textRotation="0" indent="0" justifyLastLine="0" shrinkToFit="0" readingOrder="0"/>
    </dxf>
    <dxf>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11"/>
        <color theme="1" tint="0.499984740745262"/>
        <name val="Verdana"/>
        <family val="2"/>
        <scheme val="none"/>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right/>
        <top style="thin">
          <color theme="0" tint="-0.34998626667073579"/>
        </top>
        <bottom style="thin">
          <color theme="0" tint="-0.34998626667073579"/>
        </bottom>
      </border>
    </dxf>
    <dxf>
      <font>
        <b val="0"/>
        <i val="0"/>
        <strike val="0"/>
        <condense val="0"/>
        <extend val="0"/>
        <outline val="0"/>
        <shadow val="0"/>
        <u val="none"/>
        <vertAlign val="baseline"/>
        <sz val="11"/>
        <color theme="1" tint="0.499984740745262"/>
        <name val="Verdana"/>
        <family val="2"/>
        <scheme val="none"/>
      </font>
      <numFmt numFmtId="2" formatCode="0.00"/>
      <fill>
        <patternFill patternType="none">
          <fgColor indexed="64"/>
          <bgColor auto="1"/>
        </patternFill>
      </fill>
      <alignment horizontal="center" vertical="center" textRotation="0" wrapText="0" indent="0" justifyLastLine="0" shrinkToFit="0" readingOrder="0"/>
      <border diagonalUp="0" diagonalDown="0" outline="0">
        <left/>
        <right/>
        <top style="thin">
          <color theme="0" tint="-0.34998626667073579"/>
        </top>
        <bottom style="thin">
          <color theme="0" tint="-0.34998626667073579"/>
        </bottom>
      </border>
    </dxf>
    <dxf>
      <font>
        <b val="0"/>
        <i val="0"/>
        <strike val="0"/>
        <condense val="0"/>
        <extend val="0"/>
        <outline val="0"/>
        <shadow val="0"/>
        <u val="none"/>
        <vertAlign val="baseline"/>
        <sz val="11"/>
        <color theme="1"/>
        <name val="Verdana"/>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n">
          <color theme="0" tint="-0.34998626667073579"/>
        </bottom>
      </border>
    </dxf>
    <dxf>
      <font>
        <b/>
        <i val="0"/>
        <strike val="0"/>
        <condense val="0"/>
        <extend val="0"/>
        <outline val="0"/>
        <shadow val="0"/>
        <u val="none"/>
        <vertAlign val="baseline"/>
        <sz val="11"/>
        <color rgb="FF000000"/>
        <name val="Verdana"/>
        <family val="2"/>
        <scheme val="none"/>
      </font>
      <numFmt numFmtId="2" formatCode="0.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n">
          <color theme="0" tint="-0.34998626667073579"/>
        </bottom>
      </border>
    </dxf>
    <dxf>
      <font>
        <b val="0"/>
        <i val="0"/>
        <strike val="0"/>
        <condense val="0"/>
        <extend val="0"/>
        <outline val="0"/>
        <shadow val="0"/>
        <u val="none"/>
        <vertAlign val="baseline"/>
        <sz val="11"/>
        <color theme="1"/>
        <name val="Verdan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i val="0"/>
        <strike val="0"/>
        <condense val="0"/>
        <extend val="0"/>
        <outline val="0"/>
        <shadow val="0"/>
        <u val="none"/>
        <vertAlign val="baseline"/>
        <sz val="11"/>
        <color theme="1"/>
        <name val="Verdana"/>
        <family val="2"/>
        <scheme val="none"/>
      </font>
      <numFmt numFmtId="165" formatCode="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1"/>
        <color theme="1"/>
        <name val="Verdana"/>
        <family val="2"/>
        <scheme val="none"/>
      </font>
      <numFmt numFmtId="2" formatCode="0.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1"/>
        <color theme="1"/>
        <name val="Verdan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1"/>
        <color theme="1"/>
        <name val="Verdan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1"/>
        <color theme="1"/>
        <name val="Verdan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1"/>
        <color theme="1"/>
        <name val="Verdan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name val="Verdana"/>
        <family val="2"/>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1"/>
        <color theme="1"/>
        <name val="Verdan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border>
    </dxf>
    <dxf>
      <border outline="0">
        <top style="thin">
          <color rgb="FF000000"/>
        </top>
      </border>
    </dxf>
    <dxf>
      <border outline="0">
        <right style="thin">
          <color rgb="FF000000"/>
        </right>
        <top style="thin">
          <color rgb="FF000000"/>
        </top>
        <bottom style="thin">
          <color rgb="FF000000"/>
        </bottom>
      </border>
    </dxf>
    <dxf>
      <fill>
        <patternFill patternType="none">
          <fgColor indexed="64"/>
          <bgColor auto="1"/>
        </patternFill>
      </fill>
    </dxf>
    <dxf>
      <border outline="0">
        <bottom style="thin">
          <color rgb="FF000000"/>
        </bottom>
      </border>
    </dxf>
    <dxf>
      <font>
        <b/>
        <i val="0"/>
        <strike val="0"/>
        <condense val="0"/>
        <extend val="0"/>
        <outline val="0"/>
        <shadow val="0"/>
        <u val="none"/>
        <vertAlign val="baseline"/>
        <sz val="10"/>
        <color theme="0"/>
        <name val="Verdana"/>
        <family val="2"/>
        <scheme val="none"/>
      </font>
      <fill>
        <patternFill patternType="solid">
          <fgColor indexed="64"/>
          <bgColor theme="3"/>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
      <font>
        <color theme="0"/>
      </font>
      <fill>
        <patternFill patternType="solid">
          <bgColor rgb="FF00B050"/>
        </patternFill>
      </fill>
    </dxf>
    <dxf>
      <fill>
        <patternFill patternType="solid">
          <fgColor theme="9" tint="0.79998168889431442"/>
          <bgColor theme="9" tint="0.79998168889431442"/>
        </patternFill>
      </fill>
    </dxf>
    <dxf>
      <font>
        <b/>
        <color theme="1"/>
      </font>
    </dxf>
    <dxf>
      <font>
        <b/>
        <color theme="1"/>
      </font>
    </dxf>
    <dxf>
      <font>
        <b/>
        <color theme="1"/>
      </font>
      <border>
        <top style="double">
          <color theme="9"/>
        </top>
      </border>
    </dxf>
    <dxf>
      <font>
        <color theme="0"/>
      </font>
      <fill>
        <patternFill>
          <bgColor theme="3"/>
        </patternFill>
      </fill>
      <border>
        <left style="medium">
          <color theme="1" tint="0.499984740745262"/>
        </left>
        <right style="medium">
          <color theme="1" tint="0.499984740745262"/>
        </right>
        <top style="medium">
          <color theme="1" tint="0.499984740745262"/>
        </top>
        <bottom style="medium">
          <color theme="1" tint="0.499984740745262"/>
        </bottom>
        <vertical style="medium">
          <color theme="1" tint="0.499984740745262"/>
        </vertical>
        <horizontal style="medium">
          <color theme="1" tint="0.499984740745262"/>
        </horizontal>
      </border>
    </dxf>
    <dxf>
      <font>
        <color theme="1"/>
      </font>
      <border diagonalUp="0" diagonalDown="0">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s>
  <tableStyles count="1" defaultTableStyle="Deloitte" defaultPivotStyle="PivotStyleLight16">
    <tableStyle name="Deloitte" pivot="0" count="6" xr9:uid="{DF297B33-6465-46DC-9281-F498C72CC25A}">
      <tableStyleElement type="wholeTable" dxfId="2952"/>
      <tableStyleElement type="headerRow" dxfId="2951"/>
      <tableStyleElement type="totalRow" dxfId="2950"/>
      <tableStyleElement type="firstColumn" dxfId="2949"/>
      <tableStyleElement type="lastColumn" dxfId="2948"/>
      <tableStyleElement type="firstRowStripe" dxfId="2947"/>
    </tableStyle>
  </tableStyles>
  <colors>
    <mruColors>
      <color rgb="FF66FFCC"/>
      <color rgb="FFFFEB9C"/>
      <color rgb="FFFFFFCC"/>
      <color rgb="FF99FFCC"/>
      <color rgb="FF00CC66"/>
      <color rgb="FF44546A"/>
      <color rgb="FF0097A9"/>
      <color rgb="FF9C0006"/>
      <color rgb="FF002060"/>
      <color rgb="FF9C57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4.xml"/><Relationship Id="rId37"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2.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strRef>
              <c:f>'EZ Radar V3'!$O$3</c:f>
              <c:strCache>
                <c:ptCount val="1"/>
                <c:pt idx="0">
                  <c:v>Nawabganj Economic Zone</c:v>
                </c:pt>
              </c:strCache>
            </c:strRef>
          </c:tx>
          <c:spPr>
            <a:ln w="28575" cap="rnd">
              <a:solidFill>
                <a:srgbClr val="00B050"/>
              </a:solidFill>
              <a:prstDash val="solid"/>
              <a:round/>
            </a:ln>
            <a:effectLst/>
          </c:spPr>
          <c:marker>
            <c:symbol val="none"/>
          </c:marker>
          <c:cat>
            <c:strRef>
              <c:f>'EZ Radar V3'!$N$4:$N$12</c:f>
              <c:strCache>
                <c:ptCount val="9"/>
                <c:pt idx="0">
                  <c:v>1.1. Land Details (20% weightage)</c:v>
                </c:pt>
                <c:pt idx="1">
                  <c:v>1.2. BEZA Existing plans (15% weightage)</c:v>
                </c:pt>
                <c:pt idx="2">
                  <c:v>1.3. Sector Demand (15% weightage):</c:v>
                </c:pt>
                <c:pt idx="3">
                  <c:v>2.1. Connectivity/ Logistics (10% weightage)</c:v>
                </c:pt>
                <c:pt idx="4">
                  <c:v>2.2. Utility (10% weightage)</c:v>
                </c:pt>
                <c:pt idx="5">
                  <c:v>2.3. Agglomeration Effects (10% weightage)</c:v>
                </c:pt>
                <c:pt idx="6">
                  <c:v>2.4. Policy (6% weightage)</c:v>
                </c:pt>
                <c:pt idx="7">
                  <c:v>2.5. Social Infrastructure (8% weightage)</c:v>
                </c:pt>
                <c:pt idx="8">
                  <c:v>2.6. Environment Risk (6% weightage)</c:v>
                </c:pt>
              </c:strCache>
            </c:strRef>
          </c:cat>
          <c:val>
            <c:numRef>
              <c:f>'EZ Radar V3'!$O$4:$O$12</c:f>
              <c:numCache>
                <c:formatCode>0.00</c:formatCode>
                <c:ptCount val="9"/>
                <c:pt idx="0">
                  <c:v>0.37500000000000006</c:v>
                </c:pt>
                <c:pt idx="1">
                  <c:v>1</c:v>
                </c:pt>
                <c:pt idx="2">
                  <c:v>0.5</c:v>
                </c:pt>
                <c:pt idx="3">
                  <c:v>0.84999999999999987</c:v>
                </c:pt>
                <c:pt idx="4">
                  <c:v>1</c:v>
                </c:pt>
                <c:pt idx="5">
                  <c:v>1</c:v>
                </c:pt>
                <c:pt idx="6">
                  <c:v>0</c:v>
                </c:pt>
                <c:pt idx="7">
                  <c:v>0.90000000000000013</c:v>
                </c:pt>
                <c:pt idx="8">
                  <c:v>0.45000000000000007</c:v>
                </c:pt>
              </c:numCache>
            </c:numRef>
          </c:val>
          <c:extLst>
            <c:ext xmlns:c16="http://schemas.microsoft.com/office/drawing/2014/chart" uri="{C3380CC4-5D6E-409C-BE32-E72D297353CC}">
              <c16:uniqueId val="{00000000-9D2A-4D71-BF00-A6E973C4EF47}"/>
            </c:ext>
          </c:extLst>
        </c:ser>
        <c:ser>
          <c:idx val="1"/>
          <c:order val="1"/>
          <c:tx>
            <c:strRef>
              <c:f>'EZ Radar V3'!$P$3</c:f>
              <c:strCache>
                <c:ptCount val="1"/>
                <c:pt idx="0">
                  <c:v>Anowara Economic Zone - 2</c:v>
                </c:pt>
              </c:strCache>
            </c:strRef>
          </c:tx>
          <c:spPr>
            <a:ln w="28575" cap="rnd">
              <a:solidFill>
                <a:srgbClr val="92D050"/>
              </a:solidFill>
              <a:prstDash val="solid"/>
              <a:round/>
            </a:ln>
            <a:effectLst/>
          </c:spPr>
          <c:marker>
            <c:symbol val="none"/>
          </c:marker>
          <c:cat>
            <c:strRef>
              <c:f>'EZ Radar V3'!$N$4:$N$12</c:f>
              <c:strCache>
                <c:ptCount val="9"/>
                <c:pt idx="0">
                  <c:v>1.1. Land Details (20% weightage)</c:v>
                </c:pt>
                <c:pt idx="1">
                  <c:v>1.2. BEZA Existing plans (15% weightage)</c:v>
                </c:pt>
                <c:pt idx="2">
                  <c:v>1.3. Sector Demand (15% weightage):</c:v>
                </c:pt>
                <c:pt idx="3">
                  <c:v>2.1. Connectivity/ Logistics (10% weightage)</c:v>
                </c:pt>
                <c:pt idx="4">
                  <c:v>2.2. Utility (10% weightage)</c:v>
                </c:pt>
                <c:pt idx="5">
                  <c:v>2.3. Agglomeration Effects (10% weightage)</c:v>
                </c:pt>
                <c:pt idx="6">
                  <c:v>2.4. Policy (6% weightage)</c:v>
                </c:pt>
                <c:pt idx="7">
                  <c:v>2.5. Social Infrastructure (8% weightage)</c:v>
                </c:pt>
                <c:pt idx="8">
                  <c:v>2.6. Environment Risk (6% weightage)</c:v>
                </c:pt>
              </c:strCache>
            </c:strRef>
          </c:cat>
          <c:val>
            <c:numRef>
              <c:f>'EZ Radar V3'!$P$4:$P$12</c:f>
              <c:numCache>
                <c:formatCode>0.00</c:formatCode>
                <c:ptCount val="9"/>
                <c:pt idx="0">
                  <c:v>0.77500000000000013</c:v>
                </c:pt>
                <c:pt idx="1">
                  <c:v>1</c:v>
                </c:pt>
                <c:pt idx="2">
                  <c:v>0.5</c:v>
                </c:pt>
                <c:pt idx="3">
                  <c:v>1</c:v>
                </c:pt>
                <c:pt idx="4">
                  <c:v>0.60000000000000009</c:v>
                </c:pt>
                <c:pt idx="5">
                  <c:v>1</c:v>
                </c:pt>
                <c:pt idx="6">
                  <c:v>0</c:v>
                </c:pt>
                <c:pt idx="7">
                  <c:v>1</c:v>
                </c:pt>
                <c:pt idx="8">
                  <c:v>0.25</c:v>
                </c:pt>
              </c:numCache>
            </c:numRef>
          </c:val>
          <c:extLst>
            <c:ext xmlns:c16="http://schemas.microsoft.com/office/drawing/2014/chart" uri="{C3380CC4-5D6E-409C-BE32-E72D297353CC}">
              <c16:uniqueId val="{00000001-9D2A-4D71-BF00-A6E973C4EF47}"/>
            </c:ext>
          </c:extLst>
        </c:ser>
        <c:ser>
          <c:idx val="2"/>
          <c:order val="2"/>
          <c:tx>
            <c:strRef>
              <c:f>'EZ Radar V3'!$Q$3</c:f>
              <c:strCache>
                <c:ptCount val="1"/>
                <c:pt idx="0">
                  <c:v>Gopalganj Economic Zone</c:v>
                </c:pt>
              </c:strCache>
            </c:strRef>
          </c:tx>
          <c:spPr>
            <a:ln w="28575" cap="rnd">
              <a:solidFill>
                <a:srgbClr val="808080"/>
              </a:solidFill>
              <a:prstDash val="solid"/>
              <a:round/>
            </a:ln>
            <a:effectLst/>
          </c:spPr>
          <c:marker>
            <c:symbol val="none"/>
          </c:marker>
          <c:cat>
            <c:strRef>
              <c:f>'EZ Radar V3'!$N$4:$N$12</c:f>
              <c:strCache>
                <c:ptCount val="9"/>
                <c:pt idx="0">
                  <c:v>1.1. Land Details (20% weightage)</c:v>
                </c:pt>
                <c:pt idx="1">
                  <c:v>1.2. BEZA Existing plans (15% weightage)</c:v>
                </c:pt>
                <c:pt idx="2">
                  <c:v>1.3. Sector Demand (15% weightage):</c:v>
                </c:pt>
                <c:pt idx="3">
                  <c:v>2.1. Connectivity/ Logistics (10% weightage)</c:v>
                </c:pt>
                <c:pt idx="4">
                  <c:v>2.2. Utility (10% weightage)</c:v>
                </c:pt>
                <c:pt idx="5">
                  <c:v>2.3. Agglomeration Effects (10% weightage)</c:v>
                </c:pt>
                <c:pt idx="6">
                  <c:v>2.4. Policy (6% weightage)</c:v>
                </c:pt>
                <c:pt idx="7">
                  <c:v>2.5. Social Infrastructure (8% weightage)</c:v>
                </c:pt>
                <c:pt idx="8">
                  <c:v>2.6. Environment Risk (6% weightage)</c:v>
                </c:pt>
              </c:strCache>
            </c:strRef>
          </c:cat>
          <c:val>
            <c:numRef>
              <c:f>'EZ Radar V3'!$Q$4:$Q$12</c:f>
              <c:numCache>
                <c:formatCode>0.00</c:formatCode>
                <c:ptCount val="9"/>
                <c:pt idx="0">
                  <c:v>0.125</c:v>
                </c:pt>
                <c:pt idx="1">
                  <c:v>1</c:v>
                </c:pt>
                <c:pt idx="2">
                  <c:v>0.25</c:v>
                </c:pt>
                <c:pt idx="3">
                  <c:v>0.89999999999999991</c:v>
                </c:pt>
                <c:pt idx="4">
                  <c:v>0.8</c:v>
                </c:pt>
                <c:pt idx="5">
                  <c:v>0.80000000000000016</c:v>
                </c:pt>
                <c:pt idx="6">
                  <c:v>1</c:v>
                </c:pt>
                <c:pt idx="7">
                  <c:v>0.70000000000000007</c:v>
                </c:pt>
                <c:pt idx="8">
                  <c:v>0.3</c:v>
                </c:pt>
              </c:numCache>
            </c:numRef>
          </c:val>
          <c:extLst>
            <c:ext xmlns:c16="http://schemas.microsoft.com/office/drawing/2014/chart" uri="{C3380CC4-5D6E-409C-BE32-E72D297353CC}">
              <c16:uniqueId val="{00000002-9D2A-4D71-BF00-A6E973C4EF47}"/>
            </c:ext>
          </c:extLst>
        </c:ser>
        <c:ser>
          <c:idx val="3"/>
          <c:order val="3"/>
          <c:tx>
            <c:strRef>
              <c:f>'EZ Radar V3'!$R$3</c:f>
              <c:strCache>
                <c:ptCount val="1"/>
                <c:pt idx="0">
                  <c:v>Kushtia Economic Zone</c:v>
                </c:pt>
              </c:strCache>
            </c:strRef>
          </c:tx>
          <c:spPr>
            <a:ln w="28575" cap="rnd">
              <a:solidFill>
                <a:srgbClr val="002060"/>
              </a:solidFill>
              <a:prstDash val="solid"/>
              <a:round/>
            </a:ln>
            <a:effectLst/>
          </c:spPr>
          <c:marker>
            <c:symbol val="none"/>
          </c:marker>
          <c:cat>
            <c:strRef>
              <c:f>'EZ Radar V3'!$N$4:$N$12</c:f>
              <c:strCache>
                <c:ptCount val="9"/>
                <c:pt idx="0">
                  <c:v>1.1. Land Details (20% weightage)</c:v>
                </c:pt>
                <c:pt idx="1">
                  <c:v>1.2. BEZA Existing plans (15% weightage)</c:v>
                </c:pt>
                <c:pt idx="2">
                  <c:v>1.3. Sector Demand (15% weightage):</c:v>
                </c:pt>
                <c:pt idx="3">
                  <c:v>2.1. Connectivity/ Logistics (10% weightage)</c:v>
                </c:pt>
                <c:pt idx="4">
                  <c:v>2.2. Utility (10% weightage)</c:v>
                </c:pt>
                <c:pt idx="5">
                  <c:v>2.3. Agglomeration Effects (10% weightage)</c:v>
                </c:pt>
                <c:pt idx="6">
                  <c:v>2.4. Policy (6% weightage)</c:v>
                </c:pt>
                <c:pt idx="7">
                  <c:v>2.5. Social Infrastructure (8% weightage)</c:v>
                </c:pt>
                <c:pt idx="8">
                  <c:v>2.6. Environment Risk (6% weightage)</c:v>
                </c:pt>
              </c:strCache>
            </c:strRef>
          </c:cat>
          <c:val>
            <c:numRef>
              <c:f>'EZ Radar V3'!$R$4:$R$12</c:f>
              <c:numCache>
                <c:formatCode>0.00</c:formatCode>
                <c:ptCount val="9"/>
                <c:pt idx="0">
                  <c:v>0.79999999999999993</c:v>
                </c:pt>
                <c:pt idx="1">
                  <c:v>1</c:v>
                </c:pt>
                <c:pt idx="2">
                  <c:v>0</c:v>
                </c:pt>
                <c:pt idx="3">
                  <c:v>0.85</c:v>
                </c:pt>
                <c:pt idx="4">
                  <c:v>1</c:v>
                </c:pt>
                <c:pt idx="5">
                  <c:v>0.70000000000000007</c:v>
                </c:pt>
                <c:pt idx="6">
                  <c:v>1</c:v>
                </c:pt>
                <c:pt idx="7">
                  <c:v>0.95000000000000018</c:v>
                </c:pt>
                <c:pt idx="8">
                  <c:v>0.54999999999999993</c:v>
                </c:pt>
              </c:numCache>
            </c:numRef>
          </c:val>
          <c:extLst>
            <c:ext xmlns:c16="http://schemas.microsoft.com/office/drawing/2014/chart" uri="{C3380CC4-5D6E-409C-BE32-E72D297353CC}">
              <c16:uniqueId val="{00000003-9D2A-4D71-BF00-A6E973C4EF47}"/>
            </c:ext>
          </c:extLst>
        </c:ser>
        <c:ser>
          <c:idx val="4"/>
          <c:order val="4"/>
          <c:tx>
            <c:strRef>
              <c:f>'EZ Radar V3'!$S$3</c:f>
              <c:strCache>
                <c:ptCount val="1"/>
                <c:pt idx="0">
                  <c:v>Shreehatta Economic Zone</c:v>
                </c:pt>
              </c:strCache>
            </c:strRef>
          </c:tx>
          <c:spPr>
            <a:ln w="28575" cap="rnd">
              <a:solidFill>
                <a:srgbClr val="0070C0"/>
              </a:solidFill>
              <a:prstDash val="solid"/>
              <a:round/>
            </a:ln>
            <a:effectLst/>
          </c:spPr>
          <c:marker>
            <c:symbol val="none"/>
          </c:marker>
          <c:cat>
            <c:strRef>
              <c:f>'EZ Radar V3'!$N$4:$N$12</c:f>
              <c:strCache>
                <c:ptCount val="9"/>
                <c:pt idx="0">
                  <c:v>1.1. Land Details (20% weightage)</c:v>
                </c:pt>
                <c:pt idx="1">
                  <c:v>1.2. BEZA Existing plans (15% weightage)</c:v>
                </c:pt>
                <c:pt idx="2">
                  <c:v>1.3. Sector Demand (15% weightage):</c:v>
                </c:pt>
                <c:pt idx="3">
                  <c:v>2.1. Connectivity/ Logistics (10% weightage)</c:v>
                </c:pt>
                <c:pt idx="4">
                  <c:v>2.2. Utility (10% weightage)</c:v>
                </c:pt>
                <c:pt idx="5">
                  <c:v>2.3. Agglomeration Effects (10% weightage)</c:v>
                </c:pt>
                <c:pt idx="6">
                  <c:v>2.4. Policy (6% weightage)</c:v>
                </c:pt>
                <c:pt idx="7">
                  <c:v>2.5. Social Infrastructure (8% weightage)</c:v>
                </c:pt>
                <c:pt idx="8">
                  <c:v>2.6. Environment Risk (6% weightage)</c:v>
                </c:pt>
              </c:strCache>
            </c:strRef>
          </c:cat>
          <c:val>
            <c:numRef>
              <c:f>'EZ Radar V3'!$S$4:$S$12</c:f>
              <c:numCache>
                <c:formatCode>0.00</c:formatCode>
                <c:ptCount val="9"/>
                <c:pt idx="0">
                  <c:v>0.79999999999999993</c:v>
                </c:pt>
                <c:pt idx="1">
                  <c:v>1</c:v>
                </c:pt>
                <c:pt idx="2">
                  <c:v>0.25</c:v>
                </c:pt>
                <c:pt idx="3">
                  <c:v>0.5</c:v>
                </c:pt>
                <c:pt idx="4">
                  <c:v>1</c:v>
                </c:pt>
                <c:pt idx="5">
                  <c:v>0.70000000000000007</c:v>
                </c:pt>
                <c:pt idx="6">
                  <c:v>1</c:v>
                </c:pt>
                <c:pt idx="7">
                  <c:v>1</c:v>
                </c:pt>
                <c:pt idx="8">
                  <c:v>0.79999999999999993</c:v>
                </c:pt>
              </c:numCache>
            </c:numRef>
          </c:val>
          <c:extLst>
            <c:ext xmlns:c16="http://schemas.microsoft.com/office/drawing/2014/chart" uri="{C3380CC4-5D6E-409C-BE32-E72D297353CC}">
              <c16:uniqueId val="{00000004-9D2A-4D71-BF00-A6E973C4EF47}"/>
            </c:ext>
          </c:extLst>
        </c:ser>
        <c:dLbls>
          <c:showLegendKey val="0"/>
          <c:showVal val="0"/>
          <c:showCatName val="0"/>
          <c:showSerName val="0"/>
          <c:showPercent val="0"/>
          <c:showBubbleSize val="0"/>
        </c:dLbls>
        <c:axId val="816175495"/>
        <c:axId val="816151495"/>
      </c:radarChart>
      <c:catAx>
        <c:axId val="8161754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Verdana"/>
                <a:ea typeface="Verdana"/>
                <a:cs typeface="Verdana"/>
              </a:defRPr>
            </a:pPr>
            <a:endParaRPr lang="en-US"/>
          </a:p>
        </c:txPr>
        <c:crossAx val="816151495"/>
        <c:crosses val="autoZero"/>
        <c:auto val="1"/>
        <c:lblAlgn val="ctr"/>
        <c:lblOffset val="100"/>
        <c:noMultiLvlLbl val="0"/>
      </c:catAx>
      <c:valAx>
        <c:axId val="816151495"/>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8161754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Verdana"/>
              <a:ea typeface="Verdana"/>
              <a:cs typeface="Verdan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strRef>
              <c:f>'EZ Radar V1'!$E$24</c:f>
              <c:strCache>
                <c:ptCount val="1"/>
                <c:pt idx="0">
                  <c:v>Anowara Economic Zone</c:v>
                </c:pt>
              </c:strCache>
            </c:strRef>
          </c:tx>
          <c:spPr>
            <a:ln w="28575" cap="rnd">
              <a:solidFill>
                <a:srgbClr val="00B050"/>
              </a:solidFill>
              <a:prstDash val="solid"/>
              <a:round/>
            </a:ln>
            <a:effectLst/>
          </c:spPr>
          <c:marker>
            <c:symbol val="none"/>
          </c:marker>
          <c:cat>
            <c:strRef>
              <c:f>'EZ Radar V1'!$B$25:$B$33</c:f>
              <c:strCache>
                <c:ptCount val="9"/>
                <c:pt idx="0">
                  <c:v>1.1. Land Details (20% weightage)</c:v>
                </c:pt>
                <c:pt idx="1">
                  <c:v>1.2. BEZA Existing plans (15% weightage)</c:v>
                </c:pt>
                <c:pt idx="2">
                  <c:v>1.3. Sector Demand (15% weightage):</c:v>
                </c:pt>
                <c:pt idx="3">
                  <c:v>2.1. Connectivity/ Logistics (10% weightage)</c:v>
                </c:pt>
                <c:pt idx="4">
                  <c:v>2.2. Utility (10% weightage)</c:v>
                </c:pt>
                <c:pt idx="5">
                  <c:v>2.3. Agglomeration Effects (10% weightage)</c:v>
                </c:pt>
                <c:pt idx="6">
                  <c:v>2.4. Regional Policy (6% weightage)</c:v>
                </c:pt>
                <c:pt idx="7">
                  <c:v>2.5. Social (8% weightage)</c:v>
                </c:pt>
                <c:pt idx="8">
                  <c:v>2.6. Environment (6% weightage)</c:v>
                </c:pt>
              </c:strCache>
            </c:strRef>
          </c:cat>
          <c:val>
            <c:numRef>
              <c:f>'EZ Radar V1'!$E$25:$E$33</c:f>
              <c:numCache>
                <c:formatCode>0.00</c:formatCode>
                <c:ptCount val="9"/>
                <c:pt idx="0">
                  <c:v>0.15</c:v>
                </c:pt>
                <c:pt idx="1">
                  <c:v>1</c:v>
                </c:pt>
                <c:pt idx="2">
                  <c:v>0.5</c:v>
                </c:pt>
                <c:pt idx="3">
                  <c:v>1</c:v>
                </c:pt>
                <c:pt idx="4">
                  <c:v>1.2</c:v>
                </c:pt>
                <c:pt idx="5">
                  <c:v>1</c:v>
                </c:pt>
                <c:pt idx="6">
                  <c:v>0</c:v>
                </c:pt>
                <c:pt idx="7">
                  <c:v>1</c:v>
                </c:pt>
                <c:pt idx="8">
                  <c:v>0.25</c:v>
                </c:pt>
              </c:numCache>
            </c:numRef>
          </c:val>
          <c:extLst>
            <c:ext xmlns:c16="http://schemas.microsoft.com/office/drawing/2014/chart" uri="{C3380CC4-5D6E-409C-BE32-E72D297353CC}">
              <c16:uniqueId val="{00000001-77F8-4900-802E-2CC2E46E482C}"/>
            </c:ext>
          </c:extLst>
        </c:ser>
        <c:ser>
          <c:idx val="1"/>
          <c:order val="1"/>
          <c:tx>
            <c:strRef>
              <c:f>'EZ Radar V1'!$F$24</c:f>
              <c:strCache>
                <c:ptCount val="1"/>
                <c:pt idx="0">
                  <c:v>Gopalganj Economic Zone</c:v>
                </c:pt>
              </c:strCache>
            </c:strRef>
          </c:tx>
          <c:spPr>
            <a:ln w="28575" cap="rnd">
              <a:solidFill>
                <a:srgbClr val="92D050"/>
              </a:solidFill>
              <a:prstDash val="solid"/>
              <a:round/>
            </a:ln>
            <a:effectLst/>
          </c:spPr>
          <c:marker>
            <c:symbol val="none"/>
          </c:marker>
          <c:cat>
            <c:strRef>
              <c:f>'EZ Radar V1'!$B$25:$B$33</c:f>
              <c:strCache>
                <c:ptCount val="9"/>
                <c:pt idx="0">
                  <c:v>1.1. Land Details (20% weightage)</c:v>
                </c:pt>
                <c:pt idx="1">
                  <c:v>1.2. BEZA Existing plans (15% weightage)</c:v>
                </c:pt>
                <c:pt idx="2">
                  <c:v>1.3. Sector Demand (15% weightage):</c:v>
                </c:pt>
                <c:pt idx="3">
                  <c:v>2.1. Connectivity/ Logistics (10% weightage)</c:v>
                </c:pt>
                <c:pt idx="4">
                  <c:v>2.2. Utility (10% weightage)</c:v>
                </c:pt>
                <c:pt idx="5">
                  <c:v>2.3. Agglomeration Effects (10% weightage)</c:v>
                </c:pt>
                <c:pt idx="6">
                  <c:v>2.4. Regional Policy (6% weightage)</c:v>
                </c:pt>
                <c:pt idx="7">
                  <c:v>2.5. Social (8% weightage)</c:v>
                </c:pt>
                <c:pt idx="8">
                  <c:v>2.6. Environment (6% weightage)</c:v>
                </c:pt>
              </c:strCache>
            </c:strRef>
          </c:cat>
          <c:val>
            <c:numRef>
              <c:f>'EZ Radar V1'!$F$25:$F$33</c:f>
              <c:numCache>
                <c:formatCode>0.00</c:formatCode>
                <c:ptCount val="9"/>
                <c:pt idx="0">
                  <c:v>0.125</c:v>
                </c:pt>
                <c:pt idx="1">
                  <c:v>1</c:v>
                </c:pt>
                <c:pt idx="2">
                  <c:v>0.25</c:v>
                </c:pt>
                <c:pt idx="3">
                  <c:v>0.89999999999999991</c:v>
                </c:pt>
                <c:pt idx="4">
                  <c:v>0.96</c:v>
                </c:pt>
                <c:pt idx="5">
                  <c:v>0.80000000000000016</c:v>
                </c:pt>
                <c:pt idx="6">
                  <c:v>0.66666666666666674</c:v>
                </c:pt>
                <c:pt idx="7">
                  <c:v>0.70000000000000007</c:v>
                </c:pt>
                <c:pt idx="8">
                  <c:v>0.3</c:v>
                </c:pt>
              </c:numCache>
            </c:numRef>
          </c:val>
          <c:extLst>
            <c:ext xmlns:c16="http://schemas.microsoft.com/office/drawing/2014/chart" uri="{C3380CC4-5D6E-409C-BE32-E72D297353CC}">
              <c16:uniqueId val="{00000003-77F8-4900-802E-2CC2E46E482C}"/>
            </c:ext>
          </c:extLst>
        </c:ser>
        <c:ser>
          <c:idx val="2"/>
          <c:order val="2"/>
          <c:tx>
            <c:strRef>
              <c:f>'EZ Radar V1'!$G$24</c:f>
              <c:strCache>
                <c:ptCount val="1"/>
                <c:pt idx="0">
                  <c:v>Araihazar Economic Zone</c:v>
                </c:pt>
              </c:strCache>
            </c:strRef>
          </c:tx>
          <c:spPr>
            <a:ln w="28575" cap="rnd">
              <a:solidFill>
                <a:srgbClr val="808080"/>
              </a:solidFill>
              <a:prstDash val="solid"/>
              <a:round/>
            </a:ln>
            <a:effectLst/>
          </c:spPr>
          <c:marker>
            <c:symbol val="none"/>
          </c:marker>
          <c:cat>
            <c:strRef>
              <c:f>'EZ Radar V1'!$B$25:$B$33</c:f>
              <c:strCache>
                <c:ptCount val="9"/>
                <c:pt idx="0">
                  <c:v>1.1. Land Details (20% weightage)</c:v>
                </c:pt>
                <c:pt idx="1">
                  <c:v>1.2. BEZA Existing plans (15% weightage)</c:v>
                </c:pt>
                <c:pt idx="2">
                  <c:v>1.3. Sector Demand (15% weightage):</c:v>
                </c:pt>
                <c:pt idx="3">
                  <c:v>2.1. Connectivity/ Logistics (10% weightage)</c:v>
                </c:pt>
                <c:pt idx="4">
                  <c:v>2.2. Utility (10% weightage)</c:v>
                </c:pt>
                <c:pt idx="5">
                  <c:v>2.3. Agglomeration Effects (10% weightage)</c:v>
                </c:pt>
                <c:pt idx="6">
                  <c:v>2.4. Regional Policy (6% weightage)</c:v>
                </c:pt>
                <c:pt idx="7">
                  <c:v>2.5. Social (8% weightage)</c:v>
                </c:pt>
                <c:pt idx="8">
                  <c:v>2.6. Environment (6% weightage)</c:v>
                </c:pt>
              </c:strCache>
            </c:strRef>
          </c:cat>
          <c:val>
            <c:numRef>
              <c:f>'EZ Radar V1'!$G$25:$G$33</c:f>
              <c:numCache>
                <c:formatCode>0.00</c:formatCode>
                <c:ptCount val="9"/>
                <c:pt idx="0">
                  <c:v>1</c:v>
                </c:pt>
                <c:pt idx="1">
                  <c:v>1</c:v>
                </c:pt>
                <c:pt idx="2">
                  <c:v>0.5</c:v>
                </c:pt>
                <c:pt idx="3">
                  <c:v>0.67499999999999982</c:v>
                </c:pt>
                <c:pt idx="4">
                  <c:v>1.2</c:v>
                </c:pt>
                <c:pt idx="5">
                  <c:v>1</c:v>
                </c:pt>
                <c:pt idx="6">
                  <c:v>0</c:v>
                </c:pt>
                <c:pt idx="7">
                  <c:v>0.90000000000000013</c:v>
                </c:pt>
                <c:pt idx="8">
                  <c:v>0.5</c:v>
                </c:pt>
              </c:numCache>
            </c:numRef>
          </c:val>
          <c:extLst>
            <c:ext xmlns:c16="http://schemas.microsoft.com/office/drawing/2014/chart" uri="{C3380CC4-5D6E-409C-BE32-E72D297353CC}">
              <c16:uniqueId val="{00000005-77F8-4900-802E-2CC2E46E482C}"/>
            </c:ext>
          </c:extLst>
        </c:ser>
        <c:ser>
          <c:idx val="3"/>
          <c:order val="3"/>
          <c:tx>
            <c:strRef>
              <c:f>'EZ Radar V1'!$H$24</c:f>
              <c:strCache>
                <c:ptCount val="1"/>
                <c:pt idx="0">
                  <c:v>Mirsarai Economic Zone</c:v>
                </c:pt>
              </c:strCache>
            </c:strRef>
          </c:tx>
          <c:spPr>
            <a:ln w="28575" cap="rnd">
              <a:solidFill>
                <a:srgbClr val="002060"/>
              </a:solidFill>
              <a:prstDash val="solid"/>
              <a:round/>
            </a:ln>
            <a:effectLst/>
          </c:spPr>
          <c:marker>
            <c:symbol val="none"/>
          </c:marker>
          <c:cat>
            <c:strRef>
              <c:f>'EZ Radar V1'!$B$25:$B$33</c:f>
              <c:strCache>
                <c:ptCount val="9"/>
                <c:pt idx="0">
                  <c:v>1.1. Land Details (20% weightage)</c:v>
                </c:pt>
                <c:pt idx="1">
                  <c:v>1.2. BEZA Existing plans (15% weightage)</c:v>
                </c:pt>
                <c:pt idx="2">
                  <c:v>1.3. Sector Demand (15% weightage):</c:v>
                </c:pt>
                <c:pt idx="3">
                  <c:v>2.1. Connectivity/ Logistics (10% weightage)</c:v>
                </c:pt>
                <c:pt idx="4">
                  <c:v>2.2. Utility (10% weightage)</c:v>
                </c:pt>
                <c:pt idx="5">
                  <c:v>2.3. Agglomeration Effects (10% weightage)</c:v>
                </c:pt>
                <c:pt idx="6">
                  <c:v>2.4. Regional Policy (6% weightage)</c:v>
                </c:pt>
                <c:pt idx="7">
                  <c:v>2.5. Social (8% weightage)</c:v>
                </c:pt>
                <c:pt idx="8">
                  <c:v>2.6. Environment (6% weightage)</c:v>
                </c:pt>
              </c:strCache>
            </c:strRef>
          </c:cat>
          <c:val>
            <c:numRef>
              <c:f>'EZ Radar V1'!$H$25:$H$33</c:f>
              <c:numCache>
                <c:formatCode>0.00</c:formatCode>
                <c:ptCount val="9"/>
                <c:pt idx="0">
                  <c:v>0.95000000000000007</c:v>
                </c:pt>
                <c:pt idx="1">
                  <c:v>1</c:v>
                </c:pt>
                <c:pt idx="2">
                  <c:v>0.5</c:v>
                </c:pt>
                <c:pt idx="3">
                  <c:v>1</c:v>
                </c:pt>
                <c:pt idx="4">
                  <c:v>1.2</c:v>
                </c:pt>
                <c:pt idx="5">
                  <c:v>1</c:v>
                </c:pt>
                <c:pt idx="6">
                  <c:v>0</c:v>
                </c:pt>
                <c:pt idx="7">
                  <c:v>1</c:v>
                </c:pt>
                <c:pt idx="8">
                  <c:v>0.54999999999999993</c:v>
                </c:pt>
              </c:numCache>
            </c:numRef>
          </c:val>
          <c:extLst>
            <c:ext xmlns:c16="http://schemas.microsoft.com/office/drawing/2014/chart" uri="{C3380CC4-5D6E-409C-BE32-E72D297353CC}">
              <c16:uniqueId val="{00000007-77F8-4900-802E-2CC2E46E482C}"/>
            </c:ext>
          </c:extLst>
        </c:ser>
        <c:ser>
          <c:idx val="4"/>
          <c:order val="4"/>
          <c:tx>
            <c:strRef>
              <c:f>'EZ Radar V1'!$I$24</c:f>
              <c:strCache>
                <c:ptCount val="1"/>
                <c:pt idx="0">
                  <c:v>Sabrang Tourism Park</c:v>
                </c:pt>
              </c:strCache>
            </c:strRef>
          </c:tx>
          <c:spPr>
            <a:ln w="28575" cap="rnd">
              <a:solidFill>
                <a:srgbClr val="0070C0"/>
              </a:solidFill>
              <a:prstDash val="solid"/>
              <a:round/>
            </a:ln>
            <a:effectLst/>
          </c:spPr>
          <c:marker>
            <c:symbol val="none"/>
          </c:marker>
          <c:cat>
            <c:strRef>
              <c:f>'EZ Radar V1'!$B$25:$B$33</c:f>
              <c:strCache>
                <c:ptCount val="9"/>
                <c:pt idx="0">
                  <c:v>1.1. Land Details (20% weightage)</c:v>
                </c:pt>
                <c:pt idx="1">
                  <c:v>1.2. BEZA Existing plans (15% weightage)</c:v>
                </c:pt>
                <c:pt idx="2">
                  <c:v>1.3. Sector Demand (15% weightage):</c:v>
                </c:pt>
                <c:pt idx="3">
                  <c:v>2.1. Connectivity/ Logistics (10% weightage)</c:v>
                </c:pt>
                <c:pt idx="4">
                  <c:v>2.2. Utility (10% weightage)</c:v>
                </c:pt>
                <c:pt idx="5">
                  <c:v>2.3. Agglomeration Effects (10% weightage)</c:v>
                </c:pt>
                <c:pt idx="6">
                  <c:v>2.4. Regional Policy (6% weightage)</c:v>
                </c:pt>
                <c:pt idx="7">
                  <c:v>2.5. Social (8% weightage)</c:v>
                </c:pt>
                <c:pt idx="8">
                  <c:v>2.6. Environment (6% weightage)</c:v>
                </c:pt>
              </c:strCache>
            </c:strRef>
          </c:cat>
          <c:val>
            <c:numRef>
              <c:f>'EZ Radar V1'!$I$25:$I$33</c:f>
              <c:numCache>
                <c:formatCode>0.00</c:formatCode>
                <c:ptCount val="9"/>
                <c:pt idx="0">
                  <c:v>0.82500000000000018</c:v>
                </c:pt>
                <c:pt idx="1">
                  <c:v>1</c:v>
                </c:pt>
                <c:pt idx="2">
                  <c:v>0.25</c:v>
                </c:pt>
                <c:pt idx="3">
                  <c:v>1</c:v>
                </c:pt>
                <c:pt idx="4">
                  <c:v>1.2</c:v>
                </c:pt>
                <c:pt idx="5">
                  <c:v>0.80000000000000016</c:v>
                </c:pt>
                <c:pt idx="6">
                  <c:v>0.66666666666666674</c:v>
                </c:pt>
                <c:pt idx="7">
                  <c:v>1</c:v>
                </c:pt>
                <c:pt idx="8">
                  <c:v>0.6</c:v>
                </c:pt>
              </c:numCache>
            </c:numRef>
          </c:val>
          <c:extLst>
            <c:ext xmlns:c16="http://schemas.microsoft.com/office/drawing/2014/chart" uri="{C3380CC4-5D6E-409C-BE32-E72D297353CC}">
              <c16:uniqueId val="{00000009-77F8-4900-802E-2CC2E46E482C}"/>
            </c:ext>
          </c:extLst>
        </c:ser>
        <c:dLbls>
          <c:showLegendKey val="0"/>
          <c:showVal val="0"/>
          <c:showCatName val="0"/>
          <c:showSerName val="0"/>
          <c:showPercent val="0"/>
          <c:showBubbleSize val="0"/>
        </c:dLbls>
        <c:axId val="816175495"/>
        <c:axId val="816151495"/>
      </c:radarChart>
      <c:catAx>
        <c:axId val="8161754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Verdana"/>
                <a:ea typeface="Verdana"/>
                <a:cs typeface="Verdana"/>
              </a:defRPr>
            </a:pPr>
            <a:endParaRPr lang="en-US"/>
          </a:p>
        </c:txPr>
        <c:crossAx val="816151495"/>
        <c:crosses val="autoZero"/>
        <c:auto val="1"/>
        <c:lblAlgn val="ctr"/>
        <c:lblOffset val="100"/>
        <c:noMultiLvlLbl val="0"/>
      </c:catAx>
      <c:valAx>
        <c:axId val="816151495"/>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8161754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Verdana"/>
              <a:ea typeface="Verdana"/>
              <a:cs typeface="Verdan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ocumenttasks/documenttask1.xml><?xml version="1.0" encoding="utf-8"?>
<Tasks xmlns="http://schemas.microsoft.com/office/tasks/2019/documenttasks">
  <Task id="{5311BC4B-019E-4731-8A77-19AABB6B2358}">
    <Anchor>
      <Comment id="{36FDDEC7-CE05-4E34-9580-D12FA7A71725}"/>
    </Anchor>
    <History>
      <Event time="2023-07-23T19:12:57.84" id="{4D06E08F-CFC2-4D99-B642-90EB3F656942}">
        <Attribution userId="S::tmustaque@deloitte.com::47ee1bd0-5780-4cec-a10c-b499df56785f" userName="Mustaque, Tasnim" userProvider="AD"/>
        <Anchor>
          <Comment id="{36FDDEC7-CE05-4E34-9580-D12FA7A71725}"/>
        </Anchor>
        <Create/>
      </Event>
      <Event time="2023-07-23T19:12:57.84" id="{84A411F0-F78E-421B-ADF8-880C9902BCE5}">
        <Attribution userId="S::tmustaque@deloitte.com::47ee1bd0-5780-4cec-a10c-b499df56785f" userName="Mustaque, Tasnim" userProvider="AD"/>
        <Anchor>
          <Comment id="{36FDDEC7-CE05-4E34-9580-D12FA7A71725}"/>
        </Anchor>
        <Assign userId="S::pkumar32@deloitte.com::35cad789-f52f-4e27-b126-a23a62dbefdb" userName="Kumar, Praveen" userProvider="AD"/>
      </Event>
      <Event time="2023-07-23T19:12:57.84" id="{9FADEE81-5C72-430A-8F52-0DDE7F875BBC}">
        <Attribution userId="S::tmustaque@deloitte.com::47ee1bd0-5780-4cec-a10c-b499df56785f" userName="Mustaque, Tasnim" userProvider="AD"/>
        <Anchor>
          <Comment id="{36FDDEC7-CE05-4E34-9580-D12FA7A71725}"/>
        </Anchor>
        <SetTitle title="@Kumar, Praveen Kindly complete Level 2 scoring for this EZ. Thanks"/>
      </Event>
    </History>
  </Task>
</Tasks>
</file>

<file path=xl/documenttasks/documenttask2.xml><?xml version="1.0" encoding="utf-8"?>
<Tasks xmlns="http://schemas.microsoft.com/office/tasks/2019/documenttasks">
  <Task id="{E61E12FF-EDEB-4FEE-956F-F54734F0E277}">
    <Anchor>
      <Comment id="{34CD15AF-A621-461B-8C6B-AB3ECD195A4D}"/>
    </Anchor>
    <History>
      <Event time="2023-07-23T19:12:57.84" id="{4D06E08F-CFC2-4D99-B642-90EB3F656942}">
        <Attribution userId="S::tmustaque@deloitte.com::47ee1bd0-5780-4cec-a10c-b499df56785f" userName="Mustaque, Tasnim" userProvider="AD"/>
        <Anchor>
          <Comment id="{34CD15AF-A621-461B-8C6B-AB3ECD195A4D}"/>
        </Anchor>
        <Create/>
      </Event>
      <Event time="2023-07-23T19:12:57.84" id="{84A411F0-F78E-421B-ADF8-880C9902BCE5}">
        <Attribution userId="S::tmustaque@deloitte.com::47ee1bd0-5780-4cec-a10c-b499df56785f" userName="Mustaque, Tasnim" userProvider="AD"/>
        <Anchor>
          <Comment id="{34CD15AF-A621-461B-8C6B-AB3ECD195A4D}"/>
        </Anchor>
        <Assign userId="S::pkumar32@deloitte.com::35cad789-f52f-4e27-b126-a23a62dbefdb" userName="Kumar, Praveen" userProvider="AD"/>
      </Event>
      <Event time="2023-07-23T19:12:57.84" id="{9FADEE81-5C72-430A-8F52-0DDE7F875BBC}">
        <Attribution userId="S::tmustaque@deloitte.com::47ee1bd0-5780-4cec-a10c-b499df56785f" userName="Mustaque, Tasnim" userProvider="AD"/>
        <Anchor>
          <Comment id="{34CD15AF-A621-461B-8C6B-AB3ECD195A4D}"/>
        </Anchor>
        <SetTitle title="@Kumar, Praveen Kindly complete Level 2 scoring for this EZ. Thanks"/>
      </Event>
    </History>
  </Task>
</Tasks>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13</xdr:col>
      <xdr:colOff>2790825</xdr:colOff>
      <xdr:row>12</xdr:row>
      <xdr:rowOff>390525</xdr:rowOff>
    </xdr:from>
    <xdr:to>
      <xdr:col>19</xdr:col>
      <xdr:colOff>1428750</xdr:colOff>
      <xdr:row>33</xdr:row>
      <xdr:rowOff>76200</xdr:rowOff>
    </xdr:to>
    <xdr:graphicFrame macro="">
      <xdr:nvGraphicFramePr>
        <xdr:cNvPr id="2" name="Chart 2">
          <a:extLst>
            <a:ext uri="{FF2B5EF4-FFF2-40B4-BE49-F238E27FC236}">
              <a16:creationId xmlns:a16="http://schemas.microsoft.com/office/drawing/2014/main" id="{5871E132-AD5F-4BC7-A48F-F3A64BA3A3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238125</xdr:colOff>
      <xdr:row>33</xdr:row>
      <xdr:rowOff>180975</xdr:rowOff>
    </xdr:from>
    <xdr:to>
      <xdr:col>6</xdr:col>
      <xdr:colOff>1476375</xdr:colOff>
      <xdr:row>64</xdr:row>
      <xdr:rowOff>85725</xdr:rowOff>
    </xdr:to>
    <xdr:graphicFrame macro="">
      <xdr:nvGraphicFramePr>
        <xdr:cNvPr id="3" name="Chart 2">
          <a:extLst>
            <a:ext uri="{FF2B5EF4-FFF2-40B4-BE49-F238E27FC236}">
              <a16:creationId xmlns:a16="http://schemas.microsoft.com/office/drawing/2014/main" id="{06E42264-22F9-064F-E40B-60BD3FC5570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Kumar, Praveen" id="{31C81459-CB75-406D-9164-A542AF7EECD7}" userId="pkumar32@deloitte.com" providerId="PeoplePicker"/>
  <person displayName="Asif, Waquar" id="{8A902376-238F-4767-99A9-BB73493DA08B}" userId="S::wasif@deloitte.com::af8ace9e-c344-4ccf-aaea-8a8f088371d0" providerId="AD"/>
  <person displayName="Ekram, Arshad" id="{9941B7A2-037E-4E05-A06D-DE802FAC8CB9}" userId="S::aekram@deloitte.com::7afdaf95-fe6d-4cfb-8e56-637c62da2f00" providerId="AD"/>
  <person displayName="Baksi, Pankaj" id="{9EE717EA-2F58-4964-B6CF-EAACC1A37F1D}" userId="S::pbaksi@deloitte.com::17799383-56c4-4ca4-a3ee-5923a1e192fd" providerId="AD"/>
  <person displayName="Ayeshik, Faiyaz" id="{1A3674AE-958B-466C-93C4-2778B9CE543F}" userId="S::fayeshik@deloitte.com::0f544cac-cd56-444a-900b-73b8effb34d1" providerId="AD"/>
  <person displayName="Mustaque, Tasnim" id="{113783B0-C81B-4AB7-B9D4-9A614A753D51}" userId="S::tmustaque@deloitte.com::47ee1bd0-5780-4cec-a10c-b499df56785f" providerId="AD"/>
</personList>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EZ%20Data%20Mapping%20-%2014%20Jun%202023.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EZ%20Data%20Mapping%20-%2014%20Jun%202023.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EZ%20Data%20Mapping%20-%209%20Jul%202023.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yeshik, Faiyaz" refreshedDate="45095.564241087966" createdVersion="8" refreshedVersion="8" minRefreshableVersion="3" recordCount="102" xr:uid="{F209C7A3-BC8B-4EA8-9131-0BE53C6EBBB5}">
  <cacheSource type="worksheet">
    <worksheetSource name="Table14" r:id="rId2"/>
  </cacheSource>
  <cacheFields count="74">
    <cacheField name="SN" numFmtId="0">
      <sharedItems containsMixedTypes="1" containsNumber="1" containsInteger="1" minValue="1" maxValue="97" count="102">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s v="A"/>
        <s v="B"/>
        <s v="C"/>
        <s v="D"/>
        <s v="E"/>
      </sharedItems>
    </cacheField>
    <cacheField name="Name" numFmtId="0">
      <sharedItems count="102">
        <s v="Agoiljhara Economic Zone"/>
        <s v="Alutila Special Tourism Zone"/>
        <s v="Anowara Economic Zone – 2"/>
        <s v="Araihazar Economic Zone"/>
        <s v="Ashuganj Economic Zone"/>
        <s v="Bhola Economic Zone"/>
        <s v="Bogura Economic Zone – 1"/>
        <s v="Chandpur Economic Zone – 1"/>
        <s v="Chandpur Economic Zone – 2"/>
        <s v="Chor Megha Economic Zone"/>
        <s v="Cox’s Bazar Special Economic Zone, Moheshkhali"/>
        <s v="Dhaka Economic Zone, Dohar"/>
        <s v="Dhaka SEZ, Keraniganj"/>
        <s v="Dinajpur Economic Zone"/>
        <s v="Faridpur Economic Zone"/>
        <s v="Feni Economic Zone"/>
        <s v="Gajaria Economic Zone"/>
        <s v="Gopalganj Economic Zone"/>
        <s v="Gopalganj Economic Zone – 2"/>
        <s v="Habiganj Economic Zone"/>
        <s v="Jamalpur Economic Zone"/>
        <s v="Khulna Economic Zone – 1"/>
        <s v="Khulna Economic Zone – 2"/>
        <s v="Kurigram Economic Zone – 1"/>
        <s v="Madaripur Economic Zone"/>
        <s v="Manikganj Economic Zone (Unused land beside old Aricha ferighat BIWTA)"/>
        <s v="Mirsarai Economic Zone"/>
        <s v="Moheshkhali Economic Zone – 1, Cox’s Bazar"/>
        <s v="Moheshkhali Economic Zone – 2, Kalarmarchara, Cox’s Bazar"/>
        <s v="Moheshkhali Economic Zone – 3, Dhalghata, Cox’s Bazar"/>
        <s v="Moheshkhali Economic Zone, Kalarmarchara"/>
        <s v="Moheshkhali Special Economic Zone Cox’s Bazar"/>
        <s v="Moheshkhali Special Economic Zone, Ghativanga-Sonadia"/>
        <s v="Mongla Economic Zone"/>
        <s v="Mymensingh Economic Zone"/>
        <s v="Mymensingh Economic Zone, Ishwarganj"/>
        <s v="Naf Tourism Park"/>
        <s v="Narayanganj Economic Zone"/>
        <s v="Narayanganj Economic Zone, Sonargaon"/>
        <s v="Natore Economic Zone"/>
        <s v="Natore Economic Zone – 2"/>
        <s v="Nawabganj Economic Zone"/>
        <s v="Netrakona Economic Zone – 1"/>
        <s v="Nilphamari Economic Zone"/>
        <s v="Noakhali Economic Zone, Companiganj"/>
        <s v="Narsingdi Economic Zone"/>
        <s v="Pabna Economic Zone"/>
        <s v="Panchagarh Economic Zone"/>
        <s v="Patia Economic Zone"/>
        <s v="Rajshahi Economic Zone"/>
        <s v="Rampal Economic Zone"/>
        <s v="Sabrang Tourism Park"/>
        <s v="Sandwip Economic Zone"/>
        <s v="Sapahar Economic Zone, Naogaon"/>
        <s v="Shariatpur Economic Zone, Gosairhat"/>
        <s v="Shariatpur Economic Zone, Jajira"/>
        <s v="Sherpur Economic Zone"/>
        <s v="Shreehatta Economic Zone"/>
        <s v="Shreepur Economic Zone"/>
        <s v="Sitakundo Economic Zone"/>
        <s v="Sunamganj Economic Zone, Chhatak"/>
        <s v="Sundarban Tourism Park"/>
        <s v="Sylhet Special Economic Zone"/>
        <s v="Tangail Economic Zone"/>
        <s v="Anowara Economic Zone"/>
        <s v="Araihazar Economic Zone – 2"/>
        <s v="Kushtia Economic Zone"/>
        <s v="Mongla Special Economic Zone (Indian SEZ)"/>
        <s v="‘Garments Industries Park’ proposed by BGMEA"/>
        <s v="A.K.Khan and Comapny Ltd. Economic Zone,"/>
        <s v="Abdul Monem Economic Zone"/>
        <s v="Abul Khair Economic Zone"/>
        <s v="Akij Economic Zone"/>
        <s v="Aliance Economic Zone"/>
        <s v="Aman Economic Zone"/>
        <s v="Anowar Economic Zone"/>
        <s v="Arisha Economic Zone"/>
        <s v="Bashundhara Economic Zone"/>
        <s v="Bay Economic Zone"/>
        <s v="Chatak Economic Zone"/>
        <s v="City Economic Zone"/>
        <s v="City Special Economic Zone"/>
        <s v="Cumilla Economic Zone"/>
        <s v="East-Coast Group Economic Zone"/>
        <s v="East-West Special Economic Zone"/>
        <s v="Famkam Economic Zone"/>
        <s v="Hamid Economic Zone"/>
        <s v="Hoshendi Economic Zone"/>
        <s v="Karnaphuli Dry Dock Special Economic Zone"/>
        <s v="Kazi Farms Economic Zone Ltd."/>
        <s v="Kishoreganj Economic Zone (Nitol Motors Ltd.)"/>
        <s v="Meghna Economic Zone"/>
        <s v="Meghna Industrial Economic Zone"/>
        <s v="Sirajganj Economic Zone"/>
        <s v="Sonargaon Economic Zone"/>
        <s v="Standard Global Economic Zone"/>
        <s v="United City IT Park Ltd."/>
        <s v="Mirershorai 2 Economic Zone"/>
        <s v="Bhola (Bagmara) Economic Zone"/>
        <s v="Lakshmipur Economic Zone"/>
        <s v="Magura Economic Zone"/>
        <s v="Sathkira Economic Zone"/>
      </sharedItems>
    </cacheField>
    <cacheField name="Division" numFmtId="0">
      <sharedItems count="8">
        <s v="Barishal"/>
        <s v="Chattogram"/>
        <s v="Dhaka"/>
        <s v="Rajshahi"/>
        <s v="Rangpur"/>
        <s v="Sylhet"/>
        <s v="Mymensingh"/>
        <s v="Khulna"/>
      </sharedItems>
    </cacheField>
    <cacheField name="District" numFmtId="0">
      <sharedItems/>
    </cacheField>
    <cacheField name="Upazila" numFmtId="0">
      <sharedItems containsBlank="1"/>
    </cacheField>
    <cacheField name="Type" numFmtId="0">
      <sharedItems containsBlank="1"/>
    </cacheField>
    <cacheField name="Development Status (In-principle/Pre-planning/Planning/In Development)" numFmtId="0">
      <sharedItems containsBlank="1" count="5">
        <s v="Planning Stage"/>
        <s v="In-Principle Approval"/>
        <s v="Pre-Planning Stage"/>
        <s v="Under Development"/>
        <m/>
      </sharedItems>
    </cacheField>
    <cacheField name="License Status" numFmtId="0">
      <sharedItems containsBlank="1" count="5">
        <s v="N/A"/>
        <s v="In-Principal Approval"/>
        <s v="Pre-Qualification License"/>
        <s v="License Awarded"/>
        <m/>
      </sharedItems>
    </cacheField>
    <cacheField name="Zone Priority" numFmtId="0">
      <sharedItems containsBlank="1" count="5">
        <s v="Priority 3"/>
        <s v="Priority 1"/>
        <s v="Priority 2"/>
        <m/>
        <s v="N/A"/>
      </sharedItems>
    </cacheField>
    <cacheField name="Website (Y/N)" numFmtId="0">
      <sharedItems containsBlank="1"/>
    </cacheField>
    <cacheField name="Website Link" numFmtId="0">
      <sharedItems containsBlank="1"/>
    </cacheField>
    <cacheField name="Site Visit" numFmtId="0">
      <sharedItems containsBlank="1"/>
    </cacheField>
    <cacheField name="Site Visit Year" numFmtId="0">
      <sharedItems containsString="0" containsBlank="1" containsNumber="1" containsInteger="1" minValue="2015" maxValue="2022"/>
    </cacheField>
    <cacheField name="Site Assessment Report" numFmtId="0">
      <sharedItems containsBlank="1"/>
    </cacheField>
    <cacheField name="Site Assessment Report Year" numFmtId="0">
      <sharedItems containsString="0" containsBlank="1" containsNumber="1" containsInteger="1" minValue="2015" maxValue="2015"/>
    </cacheField>
    <cacheField name="Pre-Feasibility" numFmtId="0">
      <sharedItems containsBlank="1"/>
    </cacheField>
    <cacheField name="Pre-Feasibility Year" numFmtId="0">
      <sharedItems containsString="0" containsBlank="1" containsNumber="1" containsInteger="1" minValue="2016" maxValue="2021"/>
    </cacheField>
    <cacheField name="Pre-Feasibility 2" numFmtId="0">
      <sharedItems containsBlank="1"/>
    </cacheField>
    <cacheField name="Pre-Feasibility 2 Year" numFmtId="0">
      <sharedItems containsString="0" containsBlank="1" containsNumber="1" containsInteger="1" minValue="2016" maxValue="2016"/>
    </cacheField>
    <cacheField name="Feasibility" numFmtId="0">
      <sharedItems containsBlank="1"/>
    </cacheField>
    <cacheField name="Feasibility Year" numFmtId="0">
      <sharedItems containsString="0" containsBlank="1" containsNumber="1" containsInteger="1" minValue="2014" maxValue="2022"/>
    </cacheField>
    <cacheField name="Feasibility 2" numFmtId="0">
      <sharedItems containsBlank="1"/>
    </cacheField>
    <cacheField name="Feasibility 2 Year" numFmtId="0">
      <sharedItems containsString="0" containsBlank="1" containsNumber="1" containsInteger="1" minValue="2014" maxValue="2014"/>
    </cacheField>
    <cacheField name="Pre-Feasibility/Feasibility (Y/N)" numFmtId="0">
      <sharedItems count="2">
        <s v="Yes"/>
        <s v="No"/>
      </sharedItems>
    </cacheField>
    <cacheField name="OSS PEZ Data (Y/N)" numFmtId="0">
      <sharedItems containsBlank="1"/>
    </cacheField>
    <cacheField name="PEZ Brochure 2018_x000a_(Y/N)" numFmtId="0">
      <sharedItems containsBlank="1"/>
    </cacheField>
    <cacheField name="Feasibility/Pre-Feasibility in Progress (Y/N)" numFmtId="0">
      <sharedItems containsNonDate="0" containsString="0" containsBlank="1"/>
    </cacheField>
    <cacheField name="Data Status" numFmtId="0">
      <sharedItems containsBlank="1"/>
    </cacheField>
    <cacheField name="Website Area (Acres)" numFmtId="0">
      <sharedItems containsString="0" containsBlank="1" containsNumber="1" minValue="97.98" maxValue="13117.78"/>
    </cacheField>
    <cacheField name="Site Visit Area (Acres)" numFmtId="0">
      <sharedItems containsBlank="1" containsMixedTypes="1" containsNumber="1" minValue="113.54" maxValue="4755"/>
    </cacheField>
    <cacheField name="Site Assessment Report (Acres)" numFmtId="0">
      <sharedItems containsString="0" containsBlank="1" containsNumber="1" minValue="105" maxValue="1027"/>
    </cacheField>
    <cacheField name="Pre-Feasibility Area (Acres)" numFmtId="0">
      <sharedItems containsBlank="1" containsMixedTypes="1" containsNumber="1" minValue="105" maxValue="7000"/>
    </cacheField>
    <cacheField name="Feasibility Area (Acres)" numFmtId="0">
      <sharedItems containsBlank="1" containsMixedTypes="1" containsNumber="1" minValue="205" maxValue="8967"/>
    </cacheField>
    <cacheField name="OSS PEZ Data (Acres)" numFmtId="0">
      <sharedItems containsBlank="1" containsMixedTypes="1" containsNumber="1" minValue="67.916300000000007" maxValue="2463515"/>
    </cacheField>
    <cacheField name="PEZ Brochure 2018 (Acre)" numFmtId="0">
      <sharedItems containsBlank="1" containsMixedTypes="1" containsNumber="1" minValue="60" maxValue="216"/>
    </cacheField>
    <cacheField name="PEZ Other Source (Acre)" numFmtId="0">
      <sharedItems containsBlank="1" containsMixedTypes="1" containsNumber="1" minValue="2.5" maxValue="1035.93"/>
    </cacheField>
    <cacheField name="Standard Deviation/Mean (%)" numFmtId="10">
      <sharedItems containsMixedTypes="1" containsNumber="1" minValue="0" maxValue="1.4137218448603279"/>
    </cacheField>
    <cacheField name="Area Discrepency (Y/N)" numFmtId="0">
      <sharedItems count="3">
        <s v="Yes"/>
        <s v="Area Not Found"/>
        <s v="No"/>
      </sharedItems>
    </cacheField>
    <cacheField name="Remarks" numFmtId="0">
      <sharedItems containsBlank="1" count="13">
        <m/>
        <s v="Is Jamalpur EZ-2 an approved EZ? Discrepency in BEZA website."/>
        <s v="Does this have a feasibility study?"/>
        <s v="No information about Narayanganj on the pre feasibility report"/>
        <s v="Not Found in Planning Wing Priority List. Is this project active? What is the priority?"/>
        <s v="There is a feasibility report but it has no quantitative data"/>
        <s v="Is feasibility report available?"/>
        <s v="Report is from 2014_x000a_Utility demands are projected data for 2022"/>
        <s v="Is this project still active?"/>
        <s v="OSS data needs to be checked"/>
        <s v="Discrepancy between website PEZ status list and 2018 brochure"/>
        <s v="Possible Duplicate. Mirsarai 1 and 2 considered same zone or seperate?"/>
        <s v="Is this a duplicate of 6?_x000a_EZ in Planning Wing Priority List but not in Website List. Does this have a feasibility study?"/>
      </sharedItems>
    </cacheField>
    <cacheField name="Location on map" numFmtId="0">
      <sharedItems containsNonDate="0" containsString="0" containsBlank="1"/>
    </cacheField>
    <cacheField name="Avg. Plot Size (Acres)" numFmtId="0">
      <sharedItems containsString="0" containsBlank="1" containsNumber="1" minValue="1" maxValue="4.9065420560747661"/>
    </cacheField>
    <cacheField name="Area Available (Acres)_x000a_Industry" numFmtId="0">
      <sharedItems containsString="0" containsBlank="1" containsNumber="1" minValue="119.66" maxValue="3110.31"/>
    </cacheField>
    <cacheField name="Area Available (Acres)_x000a_Govt." numFmtId="0">
      <sharedItems containsNonDate="0" containsString="0" containsBlank="1"/>
    </cacheField>
    <cacheField name="Area Available (Acres)_x000a_Road" numFmtId="0">
      <sharedItems containsString="0" containsBlank="1" containsNumber="1" minValue="27.66" maxValue="547.40000000000009"/>
    </cacheField>
    <cacheField name="Area Available (Acres)_x000a_Utility" numFmtId="0">
      <sharedItems containsString="0" containsBlank="1" containsNumber="1" minValue="4.0199999999999996" maxValue="189.57"/>
    </cacheField>
    <cacheField name="Area Available (Acres)_x000a_Public Support" numFmtId="0">
      <sharedItems containsString="0" containsBlank="1" containsNumber="1" minValue="3.79" maxValue="54.78"/>
    </cacheField>
    <cacheField name="Area Available (Acres)_x000a_Greenzone" numFmtId="0">
      <sharedItems containsString="0" containsBlank="1" containsNumber="1" minValue="10.94" maxValue="365.67"/>
    </cacheField>
    <cacheField name="Area Available (Acres)_x000a_Others" numFmtId="0">
      <sharedItems containsString="0" containsBlank="1" containsNumber="1" minValue="2.97" maxValue="165.56"/>
    </cacheField>
    <cacheField name="Total Area Available (Acres)_x000a__x000a_For Reference" numFmtId="0">
      <sharedItems containsString="0" containsBlank="1" containsNumber="1" minValue="104.985" maxValue="8967"/>
    </cacheField>
    <cacheField name="Sector 1" numFmtId="0">
      <sharedItems containsBlank="1"/>
    </cacheField>
    <cacheField name="Sector 2" numFmtId="0">
      <sharedItems containsBlank="1"/>
    </cacheField>
    <cacheField name="Sector 3" numFmtId="0">
      <sharedItems containsBlank="1"/>
    </cacheField>
    <cacheField name="Sector 4" numFmtId="0">
      <sharedItems containsBlank="1"/>
    </cacheField>
    <cacheField name="Sector 5" numFmtId="0">
      <sharedItems containsBlank="1"/>
    </cacheField>
    <cacheField name="Sector 6" numFmtId="0">
      <sharedItems containsBlank="1"/>
    </cacheField>
    <cacheField name="Sector 7" numFmtId="0">
      <sharedItems containsBlank="1"/>
    </cacheField>
    <cacheField name="Sector 8" numFmtId="0">
      <sharedItems containsBlank="1"/>
    </cacheField>
    <cacheField name="Sector 9" numFmtId="0">
      <sharedItems containsBlank="1"/>
    </cacheField>
    <cacheField name="Sector 10" numFmtId="0">
      <sharedItems containsBlank="1"/>
    </cacheField>
    <cacheField name="Others" numFmtId="0">
      <sharedItems containsNonDate="0" containsString="0" containsBlank="1"/>
    </cacheField>
    <cacheField name="Airport" numFmtId="0">
      <sharedItems containsBlank="1"/>
    </cacheField>
    <cacheField name="Rail" numFmtId="0">
      <sharedItems containsBlank="1"/>
    </cacheField>
    <cacheField name="Port" numFmtId="0">
      <sharedItems containsBlank="1"/>
    </cacheField>
    <cacheField name="Land" numFmtId="0">
      <sharedItems containsBlank="1"/>
    </cacheField>
    <cacheField name="Power _x000a_(MVA)/(MW)" numFmtId="0">
      <sharedItems containsString="0" containsBlank="1" containsNumber="1" minValue="10" maxValue="600"/>
    </cacheField>
    <cacheField name="Water (m3/day)" numFmtId="0">
      <sharedItems containsString="0" containsBlank="1" containsNumber="1" minValue="3303.82" maxValue="280000"/>
    </cacheField>
    <cacheField name="Gas (m3/day)" numFmtId="0">
      <sharedItems containsString="0" containsBlank="1" containsNumber="1" containsInteger="1" minValue="8199" maxValue="2385698"/>
    </cacheField>
    <cacheField name="Wastewater (m3/day)" numFmtId="0">
      <sharedItems containsString="0" containsBlank="1" containsNumber="1" minValue="629.75" maxValue="224000"/>
    </cacheField>
    <cacheField name="Others2" numFmtId="0">
      <sharedItems containsBlank="1"/>
    </cacheField>
    <cacheField name="No. of Tenants" numFmtId="0">
      <sharedItems containsNonDate="0" containsString="0" containsBlank="1"/>
    </cacheField>
    <cacheField name="No. of Companies Operational" numFmtId="0">
      <sharedItems containsNonDate="0" containsString="0" containsBlank="1"/>
    </cacheField>
    <cacheField name="Off-site Infrastructure/Utility/Upgrade Term" numFmtId="0">
      <sharedItems containsBlank="1"/>
    </cacheField>
    <cacheField name="Estimated Cost for Improvement/_x000a_Upgrade (+-15%)" numFmtId="0">
      <sharedItems containsNonDate="0" containsString="0" containsBlank="1"/>
    </cacheField>
    <cacheField name="Expected Date of Completion"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yeshik, Faiyaz" refreshedDate="45095.564242129629" createdVersion="7" refreshedVersion="8" minRefreshableVersion="3" recordCount="103" xr:uid="{969BD622-9303-4224-B6B9-16B7D0361BAF}">
  <cacheSource type="worksheet">
    <worksheetSource name="Table1" r:id="rId2"/>
  </cacheSource>
  <cacheFields count="63">
    <cacheField name="SN" numFmtId="0">
      <sharedItems containsBlank="1" containsMixedTypes="1" containsNumber="1" containsInteger="1" minValue="1" maxValue="97"/>
    </cacheField>
    <cacheField name="Name" numFmtId="0">
      <sharedItems containsBlank="1"/>
    </cacheField>
    <cacheField name="Division" numFmtId="0">
      <sharedItems containsBlank="1" count="9">
        <s v="Barishal"/>
        <s v="Chattogram"/>
        <s v="Mymensingh"/>
        <s v="Rajshahi"/>
        <s v="Dhaka"/>
        <s v="Rangpur"/>
        <s v="Khulna"/>
        <s v="Sylhet"/>
        <m/>
      </sharedItems>
    </cacheField>
    <cacheField name="District" numFmtId="0">
      <sharedItems containsBlank="1"/>
    </cacheField>
    <cacheField name="Upazila" numFmtId="0">
      <sharedItems containsBlank="1"/>
    </cacheField>
    <cacheField name="Type" numFmtId="0">
      <sharedItems containsBlank="1" count="4">
        <s v="Government"/>
        <s v="G2G"/>
        <s v="Private"/>
        <m/>
      </sharedItems>
    </cacheField>
    <cacheField name="Status (In-principle/Pre-planning/Planning/In Development)" numFmtId="0">
      <sharedItems containsBlank="1"/>
    </cacheField>
    <cacheField name="Column1" numFmtId="0">
      <sharedItems containsBlank="1"/>
    </cacheField>
    <cacheField name="Zone Priority" numFmtId="0">
      <sharedItems containsBlank="1" count="5">
        <s v="Priority 3"/>
        <s v="Priority 1"/>
        <s v="Priority 2"/>
        <m/>
        <s v="N/A"/>
      </sharedItems>
    </cacheField>
    <cacheField name="Website (Y/N)" numFmtId="0">
      <sharedItems containsBlank="1"/>
    </cacheField>
    <cacheField name="Website Link" numFmtId="0">
      <sharedItems containsNonDate="0" containsString="0" containsBlank="1"/>
    </cacheField>
    <cacheField name="Site Visit" numFmtId="0">
      <sharedItems containsBlank="1"/>
    </cacheField>
    <cacheField name="Site Visit Year" numFmtId="0">
      <sharedItems containsString="0" containsBlank="1" containsNumber="1" containsInteger="1" minValue="2015" maxValue="2022"/>
    </cacheField>
    <cacheField name="Pre-Feasibility" numFmtId="0">
      <sharedItems containsBlank="1"/>
    </cacheField>
    <cacheField name="Pre-Feasibility Year" numFmtId="0">
      <sharedItems containsString="0" containsBlank="1" containsNumber="1" containsInteger="1" minValue="2016" maxValue="2021"/>
    </cacheField>
    <cacheField name="Pre-Feasibility 2" numFmtId="0">
      <sharedItems containsBlank="1"/>
    </cacheField>
    <cacheField name="Pre-Feasibility 2 Year" numFmtId="0">
      <sharedItems containsString="0" containsBlank="1" containsNumber="1" containsInteger="1" minValue="2016" maxValue="2016"/>
    </cacheField>
    <cacheField name="Feasibility" numFmtId="0">
      <sharedItems containsBlank="1"/>
    </cacheField>
    <cacheField name="Feasibility Year" numFmtId="0">
      <sharedItems containsString="0" containsBlank="1" containsNumber="1" containsInteger="1" minValue="2014" maxValue="2022"/>
    </cacheField>
    <cacheField name="Feasibility 2" numFmtId="0">
      <sharedItems containsBlank="1"/>
    </cacheField>
    <cacheField name="Feasibility 2 Year" numFmtId="0">
      <sharedItems containsString="0" containsBlank="1" containsNumber="1" containsInteger="1" minValue="2014" maxValue="2014"/>
    </cacheField>
    <cacheField name="Feasibility/Pre-Feasibility in Progress (Y/N)" numFmtId="0">
      <sharedItems containsNonDate="0" containsString="0" containsBlank="1"/>
    </cacheField>
    <cacheField name="Data Status" numFmtId="0">
      <sharedItems containsBlank="1"/>
    </cacheField>
    <cacheField name="Website Area (Acres)" numFmtId="0">
      <sharedItems containsString="0" containsBlank="1" containsNumber="1" minValue="105" maxValue="12962.22"/>
    </cacheField>
    <cacheField name="Site Visit Area (Acres)" numFmtId="0">
      <sharedItems containsBlank="1" containsMixedTypes="1" containsNumber="1" minValue="113.54" maxValue="4755"/>
    </cacheField>
    <cacheField name="Pre-Feasibility Area (Acres)" numFmtId="0">
      <sharedItems containsBlank="1" containsMixedTypes="1" containsNumber="1" minValue="105" maxValue="7000"/>
    </cacheField>
    <cacheField name="Feasibility Area (Acres)" numFmtId="0">
      <sharedItems containsBlank="1" containsMixedTypes="1" containsNumber="1" minValue="205" maxValue="8967"/>
    </cacheField>
    <cacheField name="Remarks" numFmtId="0">
      <sharedItems containsBlank="1"/>
    </cacheField>
    <cacheField name="Location on map" numFmtId="0">
      <sharedItems containsNonDate="0" containsString="0" containsBlank="1"/>
    </cacheField>
    <cacheField name="Avg. Plot Size (Acres)" numFmtId="0">
      <sharedItems containsString="0" containsBlank="1" containsNumber="1" minValue="1" maxValue="4.9065420560747661"/>
    </cacheField>
    <cacheField name="Area Available (Acres)_x000a_Industry" numFmtId="0">
      <sharedItems containsString="0" containsBlank="1" containsNumber="1" minValue="119.66" maxValue="3110.31"/>
    </cacheField>
    <cacheField name="Area Available (Acres)_x000a_Govt." numFmtId="0">
      <sharedItems containsNonDate="0" containsString="0" containsBlank="1"/>
    </cacheField>
    <cacheField name="Area Available (Acres)_x000a_Road" numFmtId="0">
      <sharedItems containsString="0" containsBlank="1" containsNumber="1" minValue="27.66" maxValue="547.40000000000009"/>
    </cacheField>
    <cacheField name="Area Available (Acres)_x000a_Utility" numFmtId="0">
      <sharedItems containsString="0" containsBlank="1" containsNumber="1" minValue="4.0199999999999996" maxValue="189.57"/>
    </cacheField>
    <cacheField name="Area Available (Acres)_x000a_Public Support" numFmtId="0">
      <sharedItems containsString="0" containsBlank="1" containsNumber="1" minValue="3.79" maxValue="54.78"/>
    </cacheField>
    <cacheField name="Area Available (Acres)_x000a_Greenzone" numFmtId="0">
      <sharedItems containsString="0" containsBlank="1" containsNumber="1" minValue="10.94" maxValue="365.67"/>
    </cacheField>
    <cacheField name="Area Available (Acres)_x000a_Others" numFmtId="0">
      <sharedItems containsString="0" containsBlank="1" containsNumber="1" minValue="2.97" maxValue="165.56"/>
    </cacheField>
    <cacheField name="Total Area Available (Acres)" numFmtId="0">
      <sharedItems containsString="0" containsBlank="1" containsNumber="1" minValue="104.985" maxValue="8967"/>
    </cacheField>
    <cacheField name="Sector 1" numFmtId="0">
      <sharedItems containsBlank="1"/>
    </cacheField>
    <cacheField name="Sector 2" numFmtId="0">
      <sharedItems containsBlank="1"/>
    </cacheField>
    <cacheField name="Sector 3" numFmtId="0">
      <sharedItems containsBlank="1"/>
    </cacheField>
    <cacheField name="Sector 4" numFmtId="0">
      <sharedItems containsBlank="1"/>
    </cacheField>
    <cacheField name="Sector 5" numFmtId="0">
      <sharedItems containsBlank="1"/>
    </cacheField>
    <cacheField name="Sector 6" numFmtId="0">
      <sharedItems containsBlank="1"/>
    </cacheField>
    <cacheField name="Sector 7" numFmtId="0">
      <sharedItems containsBlank="1"/>
    </cacheField>
    <cacheField name="Sector 8" numFmtId="0">
      <sharedItems containsBlank="1"/>
    </cacheField>
    <cacheField name="Sector 9" numFmtId="0">
      <sharedItems containsBlank="1"/>
    </cacheField>
    <cacheField name="Sector 10" numFmtId="0">
      <sharedItems containsBlank="1"/>
    </cacheField>
    <cacheField name="Others" numFmtId="0">
      <sharedItems containsNonDate="0" containsString="0" containsBlank="1"/>
    </cacheField>
    <cacheField name="Airport" numFmtId="0">
      <sharedItems containsBlank="1"/>
    </cacheField>
    <cacheField name="Rail" numFmtId="0">
      <sharedItems containsBlank="1"/>
    </cacheField>
    <cacheField name="Port" numFmtId="0">
      <sharedItems containsBlank="1"/>
    </cacheField>
    <cacheField name="Land" numFmtId="0">
      <sharedItems containsBlank="1"/>
    </cacheField>
    <cacheField name="Power _x000a_(MVA)/(MW)" numFmtId="0">
      <sharedItems containsString="0" containsBlank="1" containsNumber="1" minValue="10" maxValue="600"/>
    </cacheField>
    <cacheField name="Water (m3/day)" numFmtId="0">
      <sharedItems containsString="0" containsBlank="1" containsNumber="1" minValue="3303.82" maxValue="280000"/>
    </cacheField>
    <cacheField name="Gas (m3/day)" numFmtId="0">
      <sharedItems containsString="0" containsBlank="1" containsNumber="1" containsInteger="1" minValue="8199" maxValue="2385698"/>
    </cacheField>
    <cacheField name="Wastewater (m3/day)" numFmtId="0">
      <sharedItems containsString="0" containsBlank="1" containsNumber="1" minValue="629.75" maxValue="224000"/>
    </cacheField>
    <cacheField name="Others2" numFmtId="0">
      <sharedItems containsBlank="1"/>
    </cacheField>
    <cacheField name="No. of Tenants" numFmtId="0">
      <sharedItems containsNonDate="0" containsString="0" containsBlank="1"/>
    </cacheField>
    <cacheField name="No. of Companies Operational" numFmtId="0">
      <sharedItems containsNonDate="0" containsString="0" containsBlank="1"/>
    </cacheField>
    <cacheField name="Off-site Infrastructure/Utility/Upgrade Term" numFmtId="0">
      <sharedItems containsBlank="1"/>
    </cacheField>
    <cacheField name="Estimated Cost for Improvement/_x000a_Upgrade (+-15%)" numFmtId="0">
      <sharedItems containsNonDate="0" containsString="0" containsBlank="1"/>
    </cacheField>
    <cacheField name="Expected Date of Completion"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yeshik, Faiyaz" refreshedDate="45099.557024421294" createdVersion="8" refreshedVersion="8" minRefreshableVersion="3" recordCount="100" xr:uid="{3D2D16A3-368C-44A8-9FF6-F820A6EABFE1}">
  <cacheSource type="worksheet">
    <worksheetSource name="Table14" r:id="rId2"/>
  </cacheSource>
  <cacheFields count="78">
    <cacheField name="SN" numFmtId="0">
      <sharedItems containsMixedTypes="1" containsNumber="1" containsInteger="1" minValue="1" maxValue="97"/>
    </cacheField>
    <cacheField name="Name" numFmtId="0">
      <sharedItems count="100">
        <s v="Agoiljhara Economic Zone"/>
        <s v="Alutila Special Tourism Zone"/>
        <s v="Anowara Economic Zone – 2"/>
        <s v="Araihazar Economic Zone"/>
        <s v="Ashuganj Economic Zone"/>
        <s v="Bhola Economic Zone"/>
        <s v="Bogura Economic Zone – 1"/>
        <s v="Chandpur Economic Zone – 1"/>
        <s v="Chandpur Economic Zone – 2"/>
        <s v="Chor Megha Economic Zone"/>
        <s v="Cox’s Bazar Special Economic Zone, Moheshkhali"/>
        <s v="Dhaka Economic Zone, Dohar"/>
        <s v="Dhaka SEZ, Keraniganj"/>
        <s v="Dinajpur Economic Zone"/>
        <s v="Faridpur Economic Zone"/>
        <s v="Feni Economic Zone"/>
        <s v="Gajaria Economic Zone"/>
        <s v="Gopalganj Economic Zone"/>
        <s v="Gopalganj Economic Zone – 2"/>
        <s v="Habiganj Economic Zone"/>
        <s v="Jamalpur Economic Zone"/>
        <s v="Khulna Economic Zone – 1"/>
        <s v="Khulna Economic Zone – 2"/>
        <s v="Kurigram Economic Zone – 1"/>
        <s v="Madaripur Economic Zone"/>
        <s v="Manikganj Economic Zone (Unused land beside old Aricha ferighat BIWTA)"/>
        <s v="Mirsarai Economic Zone"/>
        <s v="Moheshkhali Economic Zone – 1, Cox’s Bazar"/>
        <s v="Moheshkhali Economic Zone – 2, Kalarmarchara, Cox’s Bazar"/>
        <s v="Moheshkhali Economic Zone – 3, Dhalghata, Cox’s Bazar"/>
        <s v="Moheshkhali Economic Zone, Kalarmarchara"/>
        <s v="Moheshkhali Special Economic Zone Cox’s Bazar"/>
        <s v="Sonadia Eco Tourism Park"/>
        <s v="Mongla Economic Zone"/>
        <s v="Mymensingh Economic Zone"/>
        <s v="Mymensingh Economic Zone, Ishwarganj"/>
        <s v="Naf Tourism Park"/>
        <s v="Narayanganj Economic Zone"/>
        <s v="Narayanganj Economic Zone, Sonargaon"/>
        <s v="Natore Economic Zone"/>
        <s v="Natore Economic Zone – 2"/>
        <s v="Nawabganj Economic Zone"/>
        <s v="Netrakona Economic Zone – 1"/>
        <s v="Nilphamari Economic Zone"/>
        <s v="Noakhali Economic Zone, Companiganj"/>
        <s v="Narsingdi Economic Zone"/>
        <s v="Pabna Economic Zone"/>
        <s v="Panchagarh Economic Zone"/>
        <s v="Patia Economic Zone"/>
        <s v="Rajshahi Economic Zone"/>
        <s v="Rampal Economic Zone"/>
        <s v="Sabrang Tourism Park"/>
        <s v="Sandwip Economic Zone"/>
        <s v="Sapahar Economic Zone, Naogaon"/>
        <s v="Shariatpur Economic Zone, Gosairhat"/>
        <s v="Shariatpur Economic Zone, Jajira"/>
        <s v="Sherpur Economic Zone"/>
        <s v="Shreehatta Economic Zone"/>
        <s v="Shreepur Economic Zone"/>
        <s v="Sitakundo Economic Zone"/>
        <s v="Sunamganj Economic Zone, Chhatak"/>
        <s v="Sundarban Tourism Park"/>
        <s v="Sylhet Special Economic Zone"/>
        <s v="Tangail Economic Zone"/>
        <s v="Anowara Economic Zone"/>
        <s v="Araihazar Economic Zone – 2"/>
        <s v="Kushtia Economic Zone"/>
        <s v="Mongla Special Economic Zone (Indian SEZ)"/>
        <s v="‘Garments Industries Park’ proposed by BGMEA"/>
        <s v="A.K.Khan and Comapny Ltd. Economic Zone,"/>
        <s v="Abdul Monem Economic Zone"/>
        <s v="Abul Khair Economic Zone"/>
        <s v="Akij Economic Zone"/>
        <s v="Aliance Economic Zone"/>
        <s v="Aman Economic Zone"/>
        <s v="Anowar Economic Zone"/>
        <s v="Arisha Economic Zone"/>
        <s v="Bashundhara Economic Zone"/>
        <s v="Bay Economic Zone"/>
        <s v="Chatak Economic Zone"/>
        <s v="City Economic Zone"/>
        <s v="City Special Economic Zone"/>
        <s v="Cumilla Economic Zone"/>
        <s v="East-Coast Group Economic Zone"/>
        <s v="East-West Special Economic Zone"/>
        <s v="Famkam Economic Zone"/>
        <s v="Hamid Economic Zone"/>
        <s v="Hoshendi Economic Zone"/>
        <s v="Karnaphuli Dry Dock Special Economic Zone"/>
        <s v="Kazi Farms Economic Zone Ltd."/>
        <s v="Kishoreganj Economic Zone (Nitol Motors Ltd.)"/>
        <s v="Meghna Economic Zone"/>
        <s v="Meghna Industrial Economic Zone"/>
        <s v="Sirajganj Economic Zone"/>
        <s v="Sonargaon Economic Zone"/>
        <s v="Standard Global Economic Zone"/>
        <s v="United City IT Park Ltd."/>
        <s v="Lakshmipur Economic Zone"/>
        <s v="Magura Economic Zone"/>
        <s v="Sathkira Economic Zone"/>
      </sharedItems>
    </cacheField>
    <cacheField name="Division" numFmtId="0">
      <sharedItems/>
    </cacheField>
    <cacheField name="District" numFmtId="0">
      <sharedItems/>
    </cacheField>
    <cacheField name="Upazila" numFmtId="0">
      <sharedItems containsBlank="1"/>
    </cacheField>
    <cacheField name="Type" numFmtId="0">
      <sharedItems containsBlank="1"/>
    </cacheField>
    <cacheField name="Development Status (In-principle/Pre-planning/Planning/In Development)" numFmtId="0">
      <sharedItems containsBlank="1"/>
    </cacheField>
    <cacheField name="License Status" numFmtId="0">
      <sharedItems containsBlank="1"/>
    </cacheField>
    <cacheField name="Zone Priority" numFmtId="0">
      <sharedItems containsBlank="1" count="5">
        <s v="Priority 3"/>
        <s v="Priority 1"/>
        <s v="Priority 2"/>
        <m/>
        <s v="N/A"/>
      </sharedItems>
    </cacheField>
    <cacheField name="Website (Y/N)" numFmtId="0">
      <sharedItems containsBlank="1"/>
    </cacheField>
    <cacheField name="Website Link" numFmtId="0">
      <sharedItems containsBlank="1"/>
    </cacheField>
    <cacheField name="Site Visit" numFmtId="0">
      <sharedItems containsBlank="1"/>
    </cacheField>
    <cacheField name="Site Visit Year" numFmtId="0">
      <sharedItems containsString="0" containsBlank="1" containsNumber="1" containsInteger="1" minValue="2015" maxValue="2022"/>
    </cacheField>
    <cacheField name="Site Assessment Report" numFmtId="0">
      <sharedItems containsBlank="1"/>
    </cacheField>
    <cacheField name="Site Assessment Report Year" numFmtId="0">
      <sharedItems containsString="0" containsBlank="1" containsNumber="1" containsInteger="1" minValue="2015" maxValue="2015"/>
    </cacheField>
    <cacheField name="Pre-Feasibility" numFmtId="0">
      <sharedItems containsBlank="1"/>
    </cacheField>
    <cacheField name="Pre-Feasibility Year" numFmtId="0">
      <sharedItems containsString="0" containsBlank="1" containsNumber="1" containsInteger="1" minValue="2016" maxValue="2021"/>
    </cacheField>
    <cacheField name="Pre-Feasibility 2" numFmtId="0">
      <sharedItems containsBlank="1"/>
    </cacheField>
    <cacheField name="Pre-Feasibility 2 Year" numFmtId="0">
      <sharedItems containsString="0" containsBlank="1" containsNumber="1" containsInteger="1" minValue="2016" maxValue="2016"/>
    </cacheField>
    <cacheField name="Feasibility" numFmtId="0">
      <sharedItems containsBlank="1"/>
    </cacheField>
    <cacheField name="Feasibility Year" numFmtId="0">
      <sharedItems containsString="0" containsBlank="1" containsNumber="1" containsInteger="1" minValue="2014" maxValue="2022"/>
    </cacheField>
    <cacheField name="Feasibility 2" numFmtId="0">
      <sharedItems containsBlank="1"/>
    </cacheField>
    <cacheField name="Feasibility 2 Year" numFmtId="0">
      <sharedItems containsString="0" containsBlank="1" containsNumber="1" containsInteger="1" minValue="2014" maxValue="2014"/>
    </cacheField>
    <cacheField name="Pre-Feasibility/Feasibility (Y/N)" numFmtId="0">
      <sharedItems/>
    </cacheField>
    <cacheField name="OSS PEZ Data (Y/N)" numFmtId="0">
      <sharedItems containsBlank="1"/>
    </cacheField>
    <cacheField name="PEZ Brochure 2018_x000a_(Y/N)" numFmtId="0">
      <sharedItems containsBlank="1"/>
    </cacheField>
    <cacheField name="Feasibility/Pre-Feasibility in Progress (Y/N)" numFmtId="0">
      <sharedItems containsNonDate="0" containsString="0" containsBlank="1"/>
    </cacheField>
    <cacheField name="Data Status" numFmtId="0">
      <sharedItems containsBlank="1"/>
    </cacheField>
    <cacheField name="Website Area (Acres)" numFmtId="0">
      <sharedItems containsString="0" containsBlank="1" containsNumber="1" minValue="97.98" maxValue="13117.78"/>
    </cacheField>
    <cacheField name="Site Visit Area (Acres)" numFmtId="0">
      <sharedItems containsBlank="1" containsMixedTypes="1" containsNumber="1" minValue="113.54" maxValue="4755"/>
    </cacheField>
    <cacheField name="Site Assessment Report (Acres)" numFmtId="0">
      <sharedItems containsString="0" containsBlank="1" containsNumber="1" minValue="105" maxValue="1027"/>
    </cacheField>
    <cacheField name="Pre-Feasibility Area (Acres)" numFmtId="0">
      <sharedItems containsBlank="1" containsMixedTypes="1" containsNumber="1" minValue="105" maxValue="7000"/>
    </cacheField>
    <cacheField name="Feasibility Area (Acres)" numFmtId="0">
      <sharedItems containsBlank="1" containsMixedTypes="1" containsNumber="1" minValue="205" maxValue="8967"/>
    </cacheField>
    <cacheField name="OSS PEZ Data (Acres)" numFmtId="0">
      <sharedItems containsBlank="1" containsMixedTypes="1" containsNumber="1" minValue="67.916300000000007" maxValue="2463515"/>
    </cacheField>
    <cacheField name="PEZ Brochure 2018 (Acre)" numFmtId="0">
      <sharedItems containsBlank="1" containsMixedTypes="1" containsNumber="1" minValue="60" maxValue="216"/>
    </cacheField>
    <cacheField name="PEZ Other Source (Acre)" numFmtId="0">
      <sharedItems containsBlank="1" containsMixedTypes="1" containsNumber="1" minValue="2.5" maxValue="1035.93"/>
    </cacheField>
    <cacheField name="Standard Deviation/Mean (%)" numFmtId="10">
      <sharedItems containsMixedTypes="1" containsNumber="1" minValue="0" maxValue="1.4137218448603279"/>
    </cacheField>
    <cacheField name="Area Discrepency (Y/N)" numFmtId="0">
      <sharedItems/>
    </cacheField>
    <cacheField name="Remarks" numFmtId="0">
      <sharedItems containsBlank="1"/>
    </cacheField>
    <cacheField name="Resolution" numFmtId="0">
      <sharedItems containsBlank="1" containsMixedTypes="1" containsNumber="1" minValue="1240.72" maxValue="1438.52"/>
    </cacheField>
    <cacheField name="Validated Area (Acres)" numFmtId="0">
      <sharedItems containsBlank="1" containsMixedTypes="1" containsNumber="1" minValue="2.5" maxValue="20315.8"/>
    </cacheField>
    <cacheField name="State of EZ" numFmtId="0">
      <sharedItems containsBlank="1"/>
    </cacheField>
    <cacheField name="Grade" numFmtId="0">
      <sharedItems containsBlank="1" count="5">
        <s v="D Grade"/>
        <s v="A Grade"/>
        <s v="B Grade"/>
        <s v="C Grade"/>
        <m/>
      </sharedItems>
    </cacheField>
    <cacheField name="Location on map" numFmtId="0">
      <sharedItems containsNonDate="0" containsString="0" containsBlank="1"/>
    </cacheField>
    <cacheField name="Avg. Plot Size (Acres)" numFmtId="0">
      <sharedItems containsString="0" containsBlank="1" containsNumber="1" minValue="1" maxValue="4.9065420560747661"/>
    </cacheField>
    <cacheField name="Area Available (Acres)_x000a_Industry" numFmtId="0">
      <sharedItems containsString="0" containsBlank="1" containsNumber="1" minValue="119.66" maxValue="3110.31"/>
    </cacheField>
    <cacheField name="Area Available (Acres)_x000a_Govt." numFmtId="0">
      <sharedItems containsNonDate="0" containsString="0" containsBlank="1"/>
    </cacheField>
    <cacheField name="Area Available (Acres)_x000a_Road" numFmtId="0">
      <sharedItems containsString="0" containsBlank="1" containsNumber="1" minValue="27.66" maxValue="547.40000000000009"/>
    </cacheField>
    <cacheField name="Area Available (Acres)_x000a_Utility" numFmtId="0">
      <sharedItems containsString="0" containsBlank="1" containsNumber="1" minValue="4.0199999999999996" maxValue="189.57"/>
    </cacheField>
    <cacheField name="Area Available (Acres)_x000a_Public Support" numFmtId="0">
      <sharedItems containsString="0" containsBlank="1" containsNumber="1" minValue="3.79" maxValue="54.78"/>
    </cacheField>
    <cacheField name="Area Available (Acres)_x000a_Greenzone" numFmtId="0">
      <sharedItems containsString="0" containsBlank="1" containsNumber="1" minValue="10.94" maxValue="365.67"/>
    </cacheField>
    <cacheField name="Area Available (Acres)_x000a_Others" numFmtId="0">
      <sharedItems containsString="0" containsBlank="1" containsNumber="1" minValue="2.97" maxValue="165.56"/>
    </cacheField>
    <cacheField name="Total Area Available (Acres)_x000a__x000a_For Reference" numFmtId="0">
      <sharedItems containsString="0" containsBlank="1" containsNumber="1" minValue="104.985" maxValue="8967"/>
    </cacheField>
    <cacheField name="Sector 1" numFmtId="0">
      <sharedItems containsBlank="1"/>
    </cacheField>
    <cacheField name="Sector 2" numFmtId="0">
      <sharedItems containsBlank="1"/>
    </cacheField>
    <cacheField name="Sector 3" numFmtId="0">
      <sharedItems containsBlank="1"/>
    </cacheField>
    <cacheField name="Sector 4" numFmtId="0">
      <sharedItems containsBlank="1"/>
    </cacheField>
    <cacheField name="Sector 5" numFmtId="0">
      <sharedItems containsBlank="1"/>
    </cacheField>
    <cacheField name="Sector 6" numFmtId="0">
      <sharedItems containsBlank="1"/>
    </cacheField>
    <cacheField name="Sector 7" numFmtId="0">
      <sharedItems containsBlank="1"/>
    </cacheField>
    <cacheField name="Sector 8" numFmtId="0">
      <sharedItems containsBlank="1"/>
    </cacheField>
    <cacheField name="Sector 9" numFmtId="0">
      <sharedItems containsBlank="1"/>
    </cacheField>
    <cacheField name="Sector 10" numFmtId="0">
      <sharedItems containsBlank="1"/>
    </cacheField>
    <cacheField name="Others" numFmtId="0">
      <sharedItems containsNonDate="0" containsString="0" containsBlank="1"/>
    </cacheField>
    <cacheField name="Airport" numFmtId="0">
      <sharedItems containsBlank="1"/>
    </cacheField>
    <cacheField name="Rail" numFmtId="0">
      <sharedItems containsBlank="1"/>
    </cacheField>
    <cacheField name="Port" numFmtId="0">
      <sharedItems containsBlank="1"/>
    </cacheField>
    <cacheField name="Land" numFmtId="0">
      <sharedItems containsBlank="1"/>
    </cacheField>
    <cacheField name="Power _x000a_(MVA)/(MW)" numFmtId="0">
      <sharedItems containsString="0" containsBlank="1" containsNumber="1" minValue="10" maxValue="600"/>
    </cacheField>
    <cacheField name="Water (m3/day)" numFmtId="0">
      <sharedItems containsString="0" containsBlank="1" containsNumber="1" minValue="3303.82" maxValue="280000"/>
    </cacheField>
    <cacheField name="Gas (m3/day)" numFmtId="0">
      <sharedItems containsString="0" containsBlank="1" containsNumber="1" containsInteger="1" minValue="8199" maxValue="2385698"/>
    </cacheField>
    <cacheField name="Wastewater (m3/day)" numFmtId="0">
      <sharedItems containsString="0" containsBlank="1" containsNumber="1" minValue="629.75" maxValue="224000"/>
    </cacheField>
    <cacheField name="Others2" numFmtId="0">
      <sharedItems containsBlank="1"/>
    </cacheField>
    <cacheField name="No. of Tenants" numFmtId="0">
      <sharedItems containsNonDate="0" containsString="0" containsBlank="1"/>
    </cacheField>
    <cacheField name="No. of Companies Operational" numFmtId="0">
      <sharedItems containsNonDate="0" containsString="0" containsBlank="1"/>
    </cacheField>
    <cacheField name="Off-site Infrastructure/Utility/Upgrade Term" numFmtId="0">
      <sharedItems containsBlank="1"/>
    </cacheField>
    <cacheField name="Estimated Cost for Improvement/_x000a_Upgrade (+-15%)" numFmtId="0">
      <sharedItems containsNonDate="0" containsString="0" containsBlank="1"/>
    </cacheField>
    <cacheField name="Expected Date of Completion"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ustaque, Tasnim" refreshedDate="45154.472660300926" createdVersion="8" refreshedVersion="8" minRefreshableVersion="3" recordCount="101" xr:uid="{0D08C453-1B30-4E6E-A361-E74C778B22B6}">
  <cacheSource type="worksheet">
    <worksheetSource name="Table9"/>
  </cacheSource>
  <cacheFields count="130">
    <cacheField name="SN" numFmtId="0">
      <sharedItems containsMixedTypes="1" containsNumber="1" containsInteger="1" minValue="1" maxValue="97" count="101">
        <n v="27"/>
        <n v="52"/>
        <n v="66"/>
        <n v="42"/>
        <n v="65"/>
        <n v="18"/>
        <n v="67"/>
        <n v="13"/>
        <n v="30"/>
        <n v="37"/>
        <n v="38"/>
        <n v="33"/>
        <n v="8"/>
        <n v="89"/>
        <n v="75"/>
        <n v="85"/>
        <n v="93"/>
        <n v="58"/>
        <n v="34"/>
        <n v="81"/>
        <n v="92"/>
        <n v="83"/>
        <n v="64"/>
        <n v="3"/>
        <n v="21"/>
        <n v="79"/>
        <n v="12"/>
        <n v="16"/>
        <n v="60"/>
        <n v="87"/>
        <n v="90"/>
        <n v="82"/>
        <n v="7"/>
        <n v="63"/>
        <n v="95"/>
        <n v="71"/>
        <n v="1"/>
        <n v="88"/>
        <n v="48"/>
        <n v="28"/>
        <n v="26"/>
        <n v="43"/>
        <n v="44"/>
        <n v="40"/>
        <n v="56"/>
        <n v="6"/>
        <n v="57"/>
        <n v="68"/>
        <n v="55"/>
        <n v="9"/>
        <n v="77"/>
        <n v="78"/>
        <n v="94"/>
        <n v="4"/>
        <n v="22"/>
        <n v="20"/>
        <n v="45"/>
        <n v="11"/>
        <n v="32"/>
        <n v="76"/>
        <n v="96"/>
        <n v="73"/>
        <n v="10"/>
        <n v="39"/>
        <n v="97"/>
        <n v="35"/>
        <n v="70"/>
        <n v="24"/>
        <n v="59"/>
        <s v="C"/>
        <n v="41"/>
        <n v="84"/>
        <n v="23"/>
        <n v="91"/>
        <n v="69"/>
        <n v="72"/>
        <n v="74"/>
        <n v="36"/>
        <n v="49"/>
        <n v="53"/>
        <n v="80"/>
        <n v="25"/>
        <n v="14"/>
        <n v="15"/>
        <n v="86"/>
        <n v="29"/>
        <n v="31"/>
        <n v="19"/>
        <n v="2"/>
        <n v="61"/>
        <s v="D"/>
        <n v="62"/>
        <s v="B"/>
        <n v="46"/>
        <n v="17"/>
        <n v="47"/>
        <n v="51"/>
        <n v="54"/>
        <n v="5"/>
        <s v="A"/>
        <n v="50"/>
      </sharedItems>
    </cacheField>
    <cacheField name="Name" numFmtId="0">
      <sharedItems count="101">
        <s v="Mirsarai Economic Zone"/>
        <s v="Sabrang Tourism Park"/>
        <s v="Araihazar Economic Zone"/>
        <s v="Nawabganj Economic Zone"/>
        <s v="Anowara Economic Zone - 2"/>
        <s v="Gopalganj Economic Zone"/>
        <s v="Kushtia Economic Zone"/>
        <s v="Dhaka SEZ, Keraniganj"/>
        <s v="Moheshkhali Economic Zone – 3, Dhalghata, Cox’s Bazar"/>
        <s v="Naf Tourism Park"/>
        <s v="Narayanganj Economic Zone"/>
        <s v="Sonadia Eco Tourism Park"/>
        <s v="Chandpur Economic Zone – 1"/>
        <s v="Karnaphuli Dry Dock Special Economic Zone"/>
        <s v="Aman Economic Zone"/>
        <s v="East-West Special Economic Zone"/>
        <s v="Meghna Industrial Economic Zone"/>
        <s v="Shreehatta Economic Zone"/>
        <s v="Mongla Economic Zone"/>
        <s v="City Economic Zone"/>
        <s v="Meghna Economic Zone"/>
        <s v="Cumilla Economic Zone"/>
        <s v="Tangail Economic Zone"/>
        <s v="Anowara Economic Zone"/>
        <s v="Jamalpur Economic Zone"/>
        <s v="Bay Economic Zone"/>
        <s v="Dhaka Economic Zone, Dohar"/>
        <s v="Feni Economic Zone"/>
        <s v="Sitakundo Economic Zone"/>
        <s v="Hamid Economic Zone"/>
        <s v="Kazi Farms Economic Zone Ltd."/>
        <s v="City Special Economic Zone"/>
        <s v="Bogura Economic Zone – 1"/>
        <s v="Sylhet Special Economic Zone"/>
        <s v="Sonargaon Economic Zone"/>
        <s v="Abdul Monem Economic Zone"/>
        <s v="Agoiljhara Economic Zone"/>
        <s v="Hoshendi Economic Zone"/>
        <s v="Panchagarh Economic Zone"/>
        <s v="Moheshkhali Economic Zone – 1, Cox’s Bazar"/>
        <s v="Manikganj Economic Zone"/>
        <s v="Netrakona Economic Zone – 1"/>
        <s v="Nilphamari Economic Zone"/>
        <s v="Natore Economic Zone"/>
        <s v="Shariatpur Economic Zone, Jajira"/>
        <s v="Bhola Economic Zone"/>
        <s v="Sherpur-Jamalpur Economic Zone"/>
        <s v="Mongla Special Economic Zone (Indian SEZ)"/>
        <s v="Shariatpur Economic Zone, Gosairhat"/>
        <s v="Chandpur Economic Zone – 2"/>
        <s v="Arisha Economic Zone"/>
        <s v="Bashundhara Economic Zone"/>
        <s v="Sirajganj Economic Zone"/>
        <s v="Araihazar Economic Zone - 2"/>
        <s v="Khulna Economic Zone – 1"/>
        <s v="Habiganj Economic Zone"/>
        <s v="Noakhali Economic Zone, Companiganj"/>
        <s v="Cox’s Bazar Special Economic Zone, Moheshkhali"/>
        <s v="Moheshkhali Special Economic Zone Cox’s Bazar"/>
        <s v="Anowar Economic Zone"/>
        <s v="Standard Global Economic Zone"/>
        <s v="Akij Economic Zone"/>
        <s v="Chor Megha Economic Zone"/>
        <s v="Narayanganj Economic Zone, Sonargaon"/>
        <s v="United City IT Park Ltd."/>
        <s v="Mymensingh Economic Zone"/>
        <s v="A.K.Khan and Comapny Ltd. Economic Zone,"/>
        <s v="Kurigram Economic Zone – 1"/>
        <s v="Shreepur Economic Zone"/>
        <s v="Sathkira Economic Zone"/>
        <s v="Natore Economic Zone – 2"/>
        <s v="East-Coast Group Economic Zone"/>
        <s v="Khulna Economic Zone – 2"/>
        <s v="Kishoreganj Economic Zone (Nitol Motors Ltd.)"/>
        <s v="‘Garments Industries Park’ proposed by BGMEA"/>
        <s v="Abul Khair Economic Zone"/>
        <s v="Aliance Economic Zone"/>
        <s v="Mymensingh Economic Zone, Ishwarganj"/>
        <s v="Patia Economic Zone"/>
        <s v="Sandwip Economic Zone"/>
        <s v="Chatak Economic Zone"/>
        <s v="Madaripur Economic Zone"/>
        <s v="Dinajpur Economic Zone"/>
        <s v="Faridpur Economic Zone"/>
        <s v="Famkam Economic Zone"/>
        <s v="Moheshkhali Economic Zone – 2, Kalarmarchara, Cox’s Bazar"/>
        <s v="Moheshkhali Economic Zone, Kalarmarchara"/>
        <s v="Gopalganj Economic Zone – 2"/>
        <s v="Alutila Special Tourism Zone"/>
        <s v="Sunamganj Economic Zone, Chhatak"/>
        <s v="Moheshkhali Special Economic Zone (Sonadia &amp; Ghatibhanga)"/>
        <s v="Sundarban Tourism Park"/>
        <s v="Magura Economic Zone"/>
        <s v="Narsingdi Economic Zone"/>
        <s v="Gajaria Economic Zone"/>
        <s v="Pabna Economic Zone"/>
        <s v="Rampal Economic Zone"/>
        <s v="Sapahar Economic Zone, Naogaon"/>
        <s v="Ashuganj Economic Zone"/>
        <s v="Lakshmipur Economic Zone"/>
        <s v="Rajshahi Economic Zone"/>
      </sharedItems>
    </cacheField>
    <cacheField name="Division" numFmtId="0">
      <sharedItems count="9">
        <s v="Chattogram"/>
        <s v="Dhaka"/>
        <s v="Khulna"/>
        <s v="Sylhet"/>
        <s v="Mymensingh"/>
        <s v="Rajshahi"/>
        <s v="Barishal"/>
        <s v="Rangpur"/>
        <s v="-"/>
      </sharedItems>
    </cacheField>
    <cacheField name="District" numFmtId="0">
      <sharedItems count="47">
        <s v="Chattogram"/>
        <s v="Cox’s Bazar"/>
        <s v="Narayanganj"/>
        <s v="Dhaka"/>
        <s v="Gopalganj"/>
        <s v="Kushtia"/>
        <s v="Chandpur"/>
        <s v="Moulvibazar"/>
        <s v="Bagerhat"/>
        <s v="Cumilla"/>
        <s v="Tangail"/>
        <s v="Jamalpur"/>
        <s v="Gazipur"/>
        <s v="Feni"/>
        <s v="Mymensingh"/>
        <s v="Bogura"/>
        <s v="Sylhet"/>
        <s v="Munshiganj"/>
        <s v="Barishal"/>
        <s v="Panchagarh"/>
        <s v="Manikganj"/>
        <s v="Netrakona"/>
        <s v="Nilphamari"/>
        <s v="Natore"/>
        <s v="Shariatpur"/>
        <s v="Bhola"/>
        <s v="Sherpur"/>
        <s v="Sirajganj"/>
        <s v="Khulna"/>
        <s v="Habiganj"/>
        <s v="Noakhali"/>
        <s v="Narsingdi"/>
        <s v="Kurigram"/>
        <s v="Sathkira"/>
        <s v="Kishoreganj"/>
        <s v="Sunamganj"/>
        <s v="Madaripur"/>
        <s v="Dinajpur"/>
        <s v="Faridpur"/>
        <s v="Khagrachari Hill Tracts"/>
        <s v="-"/>
        <s v="Magura"/>
        <s v="Pabna"/>
        <s v="Naogaon"/>
        <s v="Brahmanbaria"/>
        <s v="Lakshmipur"/>
        <s v="Rajshahi"/>
      </sharedItems>
    </cacheField>
    <cacheField name="Upazila" numFmtId="0">
      <sharedItems count="74">
        <s v="Mirsarai"/>
        <s v="Teknaf"/>
        <s v="Araihazar"/>
        <s v="Nawabganj"/>
        <s v="Anowara"/>
        <s v="Kotalipara"/>
        <s v="Bheramara"/>
        <s v="Keraniganj"/>
        <s v="Moheshkhali"/>
        <s v="Bandar and Sonargaon"/>
        <s v="Matlab Uttar"/>
        <s v="Sonargaon"/>
        <s v="Moulvibazar Sadar"/>
        <s v="Mongla"/>
        <s v="Rupganj"/>
        <s v="Meghna"/>
        <s v="Bhuapur"/>
        <s v="Jamalpur Sadar"/>
        <s v="Konabari"/>
        <s v="Dohar"/>
        <s v="Sonagazi"/>
        <s v="Sitakundo"/>
        <s v="Trishal"/>
        <s v="Chandanaish"/>
        <s v="Demra"/>
        <s v="Shahajahanpur"/>
        <s v="Gowainghat"/>
        <s v="Gajaria"/>
        <s v="Agoiljhara"/>
        <s v="Debiganj"/>
        <s v="Shibaloy"/>
        <s v="Netrakona Sadar"/>
        <s v="Nilphamari Sadar"/>
        <s v="Lalpur"/>
        <s v="Jajira"/>
        <s v="Bhola Sadar"/>
        <s v="Sherpur Sadar"/>
        <s v="Gosairhat"/>
        <s v="Haimchar"/>
        <s v="Savar, Keraniganj"/>
        <s v="Sirajganj Sadar, Belkuchi"/>
        <s v="Batiaghata"/>
        <s v="Chunarughat"/>
        <s v="Companiganj"/>
        <s v="Hizla"/>
        <s v="Vatara &amp; Badda"/>
        <s v="Mymensingh Sadar"/>
        <s v="Palash"/>
        <s v="Kurigram Sadar"/>
        <s v="Shreepur"/>
        <s v="-"/>
        <s v="Nator Sadar"/>
        <s v="Bahubal"/>
        <s v="Terokhada"/>
        <s v="Pakundia"/>
        <s v="Daudkandi"/>
        <s v="Ishwarganj"/>
        <s v="Patia"/>
        <s v="Sandwip"/>
        <s v="Chatak"/>
        <s v="Rajoir"/>
        <s v="Dinajpur Sadar"/>
        <s v="Faridpur Sadar"/>
        <s v="Rampal"/>
        <s v="Kalarmarchara"/>
        <s v="Gopalganj Sadar"/>
        <s v="Matiranga &amp; Khagrachari"/>
        <s v=" Chhatak"/>
        <s v="Sharankhola"/>
        <s v="Narsingdi Sadar"/>
        <s v="Bera"/>
        <s v="Sapahar"/>
        <s v="Ashuganj"/>
        <s v="Paba"/>
      </sharedItems>
    </cacheField>
    <cacheField name="Type" numFmtId="0">
      <sharedItems containsBlank="1" count="4">
        <s v="Government"/>
        <s v="G2G"/>
        <s v="Private"/>
        <m/>
      </sharedItems>
    </cacheField>
    <cacheField name="Development Status (In-principle/Pre-planning/Planning/In Development)" numFmtId="0">
      <sharedItems containsBlank="1"/>
    </cacheField>
    <cacheField name="State of EZ" numFmtId="0">
      <sharedItems containsBlank="1"/>
    </cacheField>
    <cacheField name="Land Availability (Grade)​_x000a_(50%)" numFmtId="0">
      <sharedItems/>
    </cacheField>
    <cacheField name="Land Availability (Grade)​ Score" numFmtId="0">
      <sharedItems containsSemiMixedTypes="0" containsString="0" containsNumber="1" containsInteger="1" minValue="0" maxValue="4"/>
    </cacheField>
    <cacheField name="Land Availability (Grade)​ Weighted Score" numFmtId="0">
      <sharedItems containsSemiMixedTypes="0" containsString="0" containsNumber="1" containsInteger="1" minValue="0" maxValue="2"/>
    </cacheField>
    <cacheField name="Land Size (Acres)_x000a_(15%)" numFmtId="0">
      <sharedItems containsString="0" containsBlank="1" containsNumber="1" minValue="2.4300000000000002" maxValue="20315.810000000001"/>
    </cacheField>
    <cacheField name="Land Size (Acres) Score" numFmtId="165">
      <sharedItems containsSemiMixedTypes="0" containsString="0" containsNumber="1" containsInteger="1" minValue="0" maxValue="4"/>
    </cacheField>
    <cacheField name="Land Size (Acres) Weighted Score" numFmtId="165">
      <sharedItems containsSemiMixedTypes="0" containsString="0" containsNumber="1" minValue="0" maxValue="0.6"/>
    </cacheField>
    <cacheField name="Land Suitability for Construction" numFmtId="165">
      <sharedItems/>
    </cacheField>
    <cacheField name="Land Suitability_x000a_(Cost of Land Filling in Million BDT per acre)_x000a_(25%)" numFmtId="165">
      <sharedItems containsString="0" containsBlank="1" containsNumber="1" minValue="1.3265283404810595" maxValue="6.9204994468152368"/>
    </cacheField>
    <cacheField name="Land Suitability for Construction Score" numFmtId="165">
      <sharedItems containsSemiMixedTypes="0" containsString="0" containsNumber="1" containsInteger="1" minValue="0" maxValue="4"/>
    </cacheField>
    <cacheField name="Land Suitability for Construction Weighted Score" numFmtId="165">
      <sharedItems containsSemiMixedTypes="0" containsString="0" containsNumber="1" minValue="0" maxValue="1"/>
    </cacheField>
    <cacheField name="Requirement for Distaster Risk Reduction &amp; Resilience Infrastructure" numFmtId="165">
      <sharedItems/>
    </cacheField>
    <cacheField name="Cost of DRRI Infrastructure in million BDT per acre_x000a_(10%)" numFmtId="165">
      <sharedItems containsString="0" containsBlank="1" containsNumber="1" minValue="7.8484900187681284E-2" maxValue="17.800385118037983"/>
    </cacheField>
    <cacheField name="Requirement for Distaster Risk Reduction &amp; Resilience Infrastructure Score" numFmtId="165">
      <sharedItems containsSemiMixedTypes="0" containsString="0" containsNumber="1" containsInteger="1" minValue="0" maxValue="4"/>
    </cacheField>
    <cacheField name="Requirement for Distaster Risk Reduction &amp; Resilience Infrastructure Weighted Score" numFmtId="165">
      <sharedItems containsSemiMixedTypes="0" containsString="0" containsNumber="1" minValue="0" maxValue="0.4"/>
    </cacheField>
    <cacheField name="1.1. Land Details (20% weightage)" numFmtId="165">
      <sharedItems containsSemiMixedTypes="0" containsString="0" containsNumber="1" minValue="0" maxValue="0.8"/>
    </cacheField>
    <cacheField name="Zone Priority_x000a_(40%)" numFmtId="0">
      <sharedItems/>
    </cacheField>
    <cacheField name="Zone Priority Score" numFmtId="0">
      <sharedItems containsSemiMixedTypes="0" containsString="0" containsNumber="1" containsInteger="1" minValue="0" maxValue="4"/>
    </cacheField>
    <cacheField name="Zone Priority Weighted Score" numFmtId="0">
      <sharedItems containsSemiMixedTypes="0" containsString="0" containsNumber="1" minValue="0" maxValue="1.6"/>
    </cacheField>
    <cacheField name="Existing BEZA Report_x000a_(60%)" numFmtId="0">
      <sharedItems/>
    </cacheField>
    <cacheField name="Existing BEZA Report Score" numFmtId="0">
      <sharedItems containsSemiMixedTypes="0" containsString="0" containsNumber="1" containsInteger="1" minValue="0" maxValue="4"/>
    </cacheField>
    <cacheField name="Existing BEZA Report Weighted Score" numFmtId="0">
      <sharedItems containsSemiMixedTypes="0" containsString="0" containsNumber="1" minValue="0" maxValue="2.4"/>
    </cacheField>
    <cacheField name="1.2. BEZA Existing plans (15% weightage)" numFmtId="0">
      <sharedItems containsSemiMixedTypes="0" containsString="0" containsNumber="1" minValue="0" maxValue="0.6"/>
    </cacheField>
    <cacheField name="Existing Sectors_x000a_(50%)" numFmtId="0">
      <sharedItems containsSemiMixedTypes="0" containsString="0" containsNumber="1" containsInteger="1" minValue="0" maxValue="19"/>
    </cacheField>
    <cacheField name="Existing Sectors Score" numFmtId="0">
      <sharedItems containsSemiMixedTypes="0" containsString="0" containsNumber="1" containsInteger="1" minValue="0" maxValue="4"/>
    </cacheField>
    <cacheField name="Existing Sectors Weighted Score" numFmtId="0">
      <sharedItems containsSemiMixedTypes="0" containsString="0" containsNumber="1" containsInteger="1" minValue="0" maxValue="2"/>
    </cacheField>
    <cacheField name="Total Sectors" numFmtId="0">
      <sharedItems containsSemiMixedTypes="0" containsString="0" containsNumber="1" containsInteger="1" minValue="0" maxValue="19"/>
    </cacheField>
    <cacheField name="Potential New Sectors_x000a_(50%)" numFmtId="0">
      <sharedItems containsSemiMixedTypes="0" containsString="0" containsNumber="1" containsInteger="1" minValue="0" maxValue="7"/>
    </cacheField>
    <cacheField name="Potential New Sectors Score" numFmtId="0">
      <sharedItems containsSemiMixedTypes="0" containsString="0" containsNumber="1" containsInteger="1" minValue="0" maxValue="4"/>
    </cacheField>
    <cacheField name="Potential New Sectors Weighted Score" numFmtId="0">
      <sharedItems containsSemiMixedTypes="0" containsString="0" containsNumber="1" containsInteger="1" minValue="0" maxValue="2"/>
    </cacheField>
    <cacheField name="1.3. Sector Demand (15% weightage):" numFmtId="0">
      <sharedItems containsSemiMixedTypes="0" containsString="0" containsNumber="1" minValue="0" maxValue="0.3"/>
    </cacheField>
    <cacheField name="Level 1 Score" numFmtId="2">
      <sharedItems containsSemiMixedTypes="0" containsString="0" containsNumber="1" minValue="0.06" maxValue="1.7"/>
    </cacheField>
    <cacheField name="Level 1 Score Rank" numFmtId="1">
      <sharedItems containsSemiMixedTypes="0" containsString="0" containsNumber="1" containsInteger="1" minValue="1" maxValue="98"/>
    </cacheField>
    <cacheField name="National Highway Connectivity (km)_x000a_(15%)" numFmtId="0">
      <sharedItems containsString="0" containsBlank="1" containsNumber="1" minValue="0" maxValue="53"/>
    </cacheField>
    <cacheField name="National Highway Connectivity Score" numFmtId="0">
      <sharedItems containsSemiMixedTypes="0" containsString="0" containsNumber="1" containsInteger="1" minValue="0" maxValue="4"/>
    </cacheField>
    <cacheField name="National Highway Connectivity Weighted Score" numFmtId="0">
      <sharedItems containsSemiMixedTypes="0" containsString="0" containsNumber="1" minValue="0" maxValue="0.6"/>
    </cacheField>
    <cacheField name="Connecting Road to Highway (km)_x000a_(15%)" numFmtId="0">
      <sharedItems containsBlank="1"/>
    </cacheField>
    <cacheField name="Connecting Road to Highway Score" numFmtId="0">
      <sharedItems containsSemiMixedTypes="0" containsString="0" containsNumber="1" containsInteger="1" minValue="0" maxValue="4"/>
    </cacheField>
    <cacheField name="Connecting Road to Highway Weighted Score" numFmtId="0">
      <sharedItems containsSemiMixedTypes="0" containsString="0" containsNumber="1" minValue="0" maxValue="0.6"/>
    </cacheField>
    <cacheField name="Seaport Connectivity (km)_x000a_(30%)" numFmtId="0">
      <sharedItems containsString="0" containsBlank="1" containsNumber="1" minValue="0.2" maxValue="522"/>
    </cacheField>
    <cacheField name="Seaport Connectivity Score" numFmtId="0">
      <sharedItems containsSemiMixedTypes="0" containsString="0" containsNumber="1" containsInteger="1" minValue="0" maxValue="4"/>
    </cacheField>
    <cacheField name="Seaport Connectivity Weighted Score" numFmtId="0">
      <sharedItems containsSemiMixedTypes="0" containsString="0" containsNumber="1" minValue="0" maxValue="1.2"/>
    </cacheField>
    <cacheField name="Airport Connectivity (km)_x000a_(10%)" numFmtId="0">
      <sharedItems containsString="0" containsBlank="1" containsNumber="1" minValue="10" maxValue="150"/>
    </cacheField>
    <cacheField name="Airport Connectivity Score" numFmtId="0">
      <sharedItems containsSemiMixedTypes="0" containsString="0" containsNumber="1" containsInteger="1" minValue="0" maxValue="4"/>
    </cacheField>
    <cacheField name="Airport Connectivity Weighted Score" numFmtId="0">
      <sharedItems containsSemiMixedTypes="0" containsString="0" containsNumber="1" minValue="0" maxValue="0.4"/>
    </cacheField>
    <cacheField name="Railway Station (km)_x000a_(10%)" numFmtId="0">
      <sharedItems containsBlank="1" containsMixedTypes="1" containsNumber="1" minValue="3" maxValue="160"/>
    </cacheField>
    <cacheField name="Railway Station Score" numFmtId="0">
      <sharedItems containsSemiMixedTypes="0" containsString="0" containsNumber="1" containsInteger="1" minValue="0" maxValue="4"/>
    </cacheField>
    <cacheField name="Railway Station Weighted Score" numFmtId="0">
      <sharedItems containsSemiMixedTypes="0" containsString="0" containsNumber="1" minValue="0" maxValue="0.4"/>
    </cacheField>
    <cacheField name="Inland waterway/ Land port (km)_x000a_(20%)" numFmtId="0">
      <sharedItems containsString="0" containsBlank="1" containsNumber="1" minValue="0" maxValue="400"/>
    </cacheField>
    <cacheField name="Inland waterway/ Land port Score" numFmtId="0">
      <sharedItems containsSemiMixedTypes="0" containsString="0" containsNumber="1" containsInteger="1" minValue="0" maxValue="4"/>
    </cacheField>
    <cacheField name="Inland waterway/ Land port Weighted Score" numFmtId="0">
      <sharedItems containsSemiMixedTypes="0" containsString="0" containsNumber="1" minValue="0" maxValue="0.8"/>
    </cacheField>
    <cacheField name="2.1. Connectivity/ Logistics (10% weightage)" numFmtId="2">
      <sharedItems containsSemiMixedTypes="0" containsString="0" containsNumber="1" minValue="0" maxValue="0.4"/>
    </cacheField>
    <cacheField name="Power Station (40%)" numFmtId="0">
      <sharedItems containsString="0" containsBlank="1" containsNumber="1" minValue="0" maxValue="115"/>
    </cacheField>
    <cacheField name="Power Station Score" numFmtId="0">
      <sharedItems containsSemiMixedTypes="0" containsString="0" containsNumber="1" containsInteger="1" minValue="0" maxValue="4"/>
    </cacheField>
    <cacheField name="Power Station Weighted Score" numFmtId="0">
      <sharedItems containsSemiMixedTypes="0" containsString="0" containsNumber="1" minValue="0" maxValue="1.6"/>
    </cacheField>
    <cacheField name="Gas Station (20%)" numFmtId="0">
      <sharedItems containsBlank="1" containsMixedTypes="1" containsNumber="1" minValue="2" maxValue="260"/>
    </cacheField>
    <cacheField name="Gas Station Score" numFmtId="0">
      <sharedItems containsSemiMixedTypes="0" containsString="0" containsNumber="1" containsInteger="1" minValue="0" maxValue="4"/>
    </cacheField>
    <cacheField name="Gas Station Weighted Score" numFmtId="0">
      <sharedItems containsSemiMixedTypes="0" containsString="0" containsNumber="1" minValue="0" maxValue="0.8"/>
    </cacheField>
    <cacheField name="Source of Surface Water (40%)" numFmtId="0">
      <sharedItems containsBlank="1" containsMixedTypes="1" containsNumber="1" minValue="0" maxValue="85"/>
    </cacheField>
    <cacheField name="Source of Surface Water Score" numFmtId="0">
      <sharedItems containsSemiMixedTypes="0" containsString="0" containsNumber="1" containsInteger="1" minValue="0" maxValue="4"/>
    </cacheField>
    <cacheField name="Source of Surface Water Weighted Score" numFmtId="0">
      <sharedItems containsSemiMixedTypes="0" containsString="0" containsNumber="1" minValue="0" maxValue="1.6"/>
    </cacheField>
    <cacheField name="2.2. Utility (12% weightage)" numFmtId="0">
      <sharedItems containsSemiMixedTypes="0" containsString="0" containsNumber="1" minValue="0" maxValue="0.48"/>
    </cacheField>
    <cacheField name="Other BEZA EZ (20%)" numFmtId="0">
      <sharedItems containsBlank="1"/>
    </cacheField>
    <cacheField name="Other BEZA EZ Score" numFmtId="0">
      <sharedItems containsSemiMixedTypes="0" containsString="0" containsNumber="1" containsInteger="1" minValue="0" maxValue="4"/>
    </cacheField>
    <cacheField name="Other BEZA EZ Weighted Score" numFmtId="0">
      <sharedItems containsSemiMixedTypes="0" containsString="0" containsNumber="1" minValue="0" maxValue="0.8"/>
    </cacheField>
    <cacheField name="BEPZA/ BHPTA/ BSCIC (20%)" numFmtId="0">
      <sharedItems containsBlank="1"/>
    </cacheField>
    <cacheField name="BEPZA/ BHPTA/ BSCIC Score" numFmtId="0">
      <sharedItems containsSemiMixedTypes="0" containsString="0" containsNumber="1" containsInteger="1" minValue="0" maxValue="4"/>
    </cacheField>
    <cacheField name="BEPZA/ BHPTA/ BSCIC Weighted Score" numFmtId="0">
      <sharedItems containsSemiMixedTypes="0" containsString="0" containsNumber="1" minValue="0" maxValue="0.8"/>
    </cacheField>
    <cacheField name="Cluster Industries (from SMI) (20%)" numFmtId="0">
      <sharedItems containsString="0" containsBlank="1" containsNumber="1" containsInteger="1" minValue="13" maxValue="1718"/>
    </cacheField>
    <cacheField name="Cluster Industries (from SMI) Score" numFmtId="0">
      <sharedItems containsSemiMixedTypes="0" containsString="0" containsNumber="1" containsInteger="1" minValue="0" maxValue="4"/>
    </cacheField>
    <cacheField name="Unorganized (from SMI) Weighted Score" numFmtId="0">
      <sharedItems containsSemiMixedTypes="0" containsString="0" containsNumber="1" minValue="0" maxValue="0.8"/>
    </cacheField>
    <cacheField name="Located on Industrial corridor (40%)" numFmtId="0">
      <sharedItems containsBlank="1"/>
    </cacheField>
    <cacheField name="Located on Industrial corridor Score" numFmtId="0">
      <sharedItems containsSemiMixedTypes="0" containsString="0" containsNumber="1" containsInteger="1" minValue="0" maxValue="4"/>
    </cacheField>
    <cacheField name="Located on Industrial corridor Weighted Score" numFmtId="0">
      <sharedItems containsSemiMixedTypes="0" containsString="0" containsNumber="1" minValue="0" maxValue="1.6"/>
    </cacheField>
    <cacheField name="2.3. Agglomeration effects (10% weightage)" numFmtId="0">
      <sharedItems containsSemiMixedTypes="0" containsString="0" containsNumber="1" minValue="0" maxValue="0.4"/>
    </cacheField>
    <cacheField name="Economic/ Social priority (laggered area) (100%)" numFmtId="0">
      <sharedItems containsBlank="1"/>
    </cacheField>
    <cacheField name="Economic/ Social priority (laggered area) Score" numFmtId="0">
      <sharedItems containsSemiMixedTypes="0" containsString="0" containsNumber="1" containsInteger="1" minValue="0" maxValue="4"/>
    </cacheField>
    <cacheField name="Economic/ Social priority (laagered area) Weighted Score" numFmtId="0">
      <sharedItems containsSemiMixedTypes="0" containsString="0" containsNumber="1" containsInteger="1" minValue="0" maxValue="4"/>
    </cacheField>
    <cacheField name="Regional Tax incentive  (0%)" numFmtId="0">
      <sharedItems containsBlank="1"/>
    </cacheField>
    <cacheField name="Regional Tax incentive Score" numFmtId="0">
      <sharedItems containsSemiMixedTypes="0" containsString="0" containsNumber="1" containsInteger="1" minValue="0" maxValue="4"/>
    </cacheField>
    <cacheField name="Regional Tax incentive  Weighted Score" numFmtId="0">
      <sharedItems containsSemiMixedTypes="0" containsString="0" containsNumber="1" containsInteger="1" minValue="0" maxValue="0"/>
    </cacheField>
    <cacheField name="2.4. Regional Policy (4% weightage)" numFmtId="0">
      <sharedItems containsSemiMixedTypes="0" containsString="0" containsNumber="1" minValue="0" maxValue="0.16"/>
    </cacheField>
    <cacheField name="Employable population (40%) 2013" numFmtId="0">
      <sharedItems containsString="0" containsBlank="1" containsNumber="1" containsInteger="1" minValue="125944" maxValue="3683456"/>
    </cacheField>
    <cacheField name="Employable population Score" numFmtId="0">
      <sharedItems containsSemiMixedTypes="0" containsString="0" containsNumber="1" containsInteger="1" minValue="0" maxValue="4"/>
    </cacheField>
    <cacheField name="Employable population Weighted Score" numFmtId="0">
      <sharedItems containsSemiMixedTypes="0" containsString="0" containsNumber="1" minValue="0" maxValue="1.6"/>
    </cacheField>
    <cacheField name="Housing (20%)" numFmtId="0">
      <sharedItems containsString="0" containsBlank="1" containsNumber="1" minValue="0" maxValue="62"/>
    </cacheField>
    <cacheField name="Housing Score" numFmtId="0">
      <sharedItems containsSemiMixedTypes="0" containsString="0" containsNumber="1" containsInteger="1" minValue="0" maxValue="4"/>
    </cacheField>
    <cacheField name="Housing Weighted Score" numFmtId="0">
      <sharedItems containsSemiMixedTypes="0" containsString="0" containsNumber="1" minValue="0" maxValue="0.8"/>
    </cacheField>
    <cacheField name="Hotels (10%)" numFmtId="0">
      <sharedItems containsString="0" containsBlank="1" containsNumber="1" containsInteger="1" minValue="2" maxValue="332"/>
    </cacheField>
    <cacheField name="Hotels Score" numFmtId="0">
      <sharedItems containsSemiMixedTypes="0" containsString="0" containsNumber="1" containsInteger="1" minValue="0" maxValue="4"/>
    </cacheField>
    <cacheField name="Hotels Weighted Score" numFmtId="0">
      <sharedItems containsSemiMixedTypes="0" containsString="0" containsNumber="1" minValue="0" maxValue="0.4"/>
    </cacheField>
    <cacheField name="Health (Hospital) (15%)" numFmtId="0">
      <sharedItems containsString="0" containsBlank="1" containsNumber="1" containsInteger="1" minValue="29" maxValue="900"/>
    </cacheField>
    <cacheField name="Health (Hospital) Score" numFmtId="0">
      <sharedItems containsSemiMixedTypes="0" containsString="0" containsNumber="1" containsInteger="1" minValue="0" maxValue="4"/>
    </cacheField>
    <cacheField name="Health (Hospital) Weighted Score" numFmtId="0">
      <sharedItems containsSemiMixedTypes="0" containsString="0" containsNumber="1" minValue="0" maxValue="0.6"/>
    </cacheField>
    <cacheField name="University/ Technical &amp; Vocational Institutions (15%)" numFmtId="0">
      <sharedItems containsString="0" containsBlank="1" containsNumber="1" containsInteger="1" minValue="2" maxValue="193"/>
    </cacheField>
    <cacheField name="University/ Technical &amp; Vocational Institutions Score" numFmtId="0">
      <sharedItems containsSemiMixedTypes="0" containsString="0" containsNumber="1" containsInteger="1" minValue="0" maxValue="4"/>
    </cacheField>
    <cacheField name="University/ Technical &amp; Vocational Institutions Weighted Score" numFmtId="0">
      <sharedItems containsSemiMixedTypes="0" containsString="0" containsNumber="1" minValue="0" maxValue="0.6"/>
    </cacheField>
    <cacheField name="2.5. Social (8% weightage)" numFmtId="0">
      <sharedItems containsSemiMixedTypes="0" containsString="0" containsNumber="1" minValue="0" maxValue="0.32"/>
    </cacheField>
    <cacheField name="Environment compliance (30%)" numFmtId="0">
      <sharedItems containsBlank="1"/>
    </cacheField>
    <cacheField name="Environment compliance Score" numFmtId="0">
      <sharedItems containsSemiMixedTypes="0" containsString="0" containsNumber="1" containsInteger="1" minValue="0" maxValue="4"/>
    </cacheField>
    <cacheField name="Environment compliance Weighted Score" numFmtId="0">
      <sharedItems containsSemiMixedTypes="0" containsString="0" containsNumber="1" minValue="0" maxValue="1.2"/>
    </cacheField>
    <cacheField name="Flood Risk Index (30%)" numFmtId="0">
      <sharedItems containsBlank="1"/>
    </cacheField>
    <cacheField name="Flood Risk Index Score" numFmtId="0">
      <sharedItems containsSemiMixedTypes="0" containsString="0" containsNumber="1" containsInteger="1" minValue="0" maxValue="4"/>
    </cacheField>
    <cacheField name="Flood Risk Index Weighted Score" numFmtId="0">
      <sharedItems containsSemiMixedTypes="0" containsString="0" containsNumber="1" minValue="0" maxValue="1.2"/>
    </cacheField>
    <cacheField name="Earth Quake Risk Index (10%)" numFmtId="0">
      <sharedItems containsBlank="1"/>
    </cacheField>
    <cacheField name="Earth Quake Risk Index Score" numFmtId="0">
      <sharedItems containsSemiMixedTypes="0" containsString="0" containsNumber="1" containsInteger="1" minValue="0" maxValue="4"/>
    </cacheField>
    <cacheField name="Earth Quake Risk Index Weighted Score" numFmtId="0">
      <sharedItems containsSemiMixedTypes="0" containsString="0" containsNumber="1" minValue="0" maxValue="0.4"/>
    </cacheField>
    <cacheField name="Sea Level Rise Risk Index (10%)" numFmtId="0">
      <sharedItems containsBlank="1"/>
    </cacheField>
    <cacheField name="Sea Level Rise  Risk Index Score" numFmtId="0">
      <sharedItems containsSemiMixedTypes="0" containsString="0" containsNumber="1" containsInteger="1" minValue="0" maxValue="4"/>
    </cacheField>
    <cacheField name="Sea Level Rise Risk Index Weighted Score" numFmtId="0">
      <sharedItems containsSemiMixedTypes="0" containsString="0" containsNumber="1" minValue="0" maxValue="0.4"/>
    </cacheField>
    <cacheField name="Cyclone Risk Index (10%)" numFmtId="0">
      <sharedItems containsBlank="1"/>
    </cacheField>
    <cacheField name="Cyclone Risk Index Score" numFmtId="0">
      <sharedItems containsSemiMixedTypes="0" containsString="0" containsNumber="1" containsInteger="1" minValue="0" maxValue="4"/>
    </cacheField>
    <cacheField name="Cyclone Risk Index Weighted Score" numFmtId="0">
      <sharedItems containsSemiMixedTypes="0" containsString="0" containsNumber="1" minValue="0" maxValue="0.4"/>
    </cacheField>
    <cacheField name="Storm Surge Risk Index (10%)" numFmtId="0">
      <sharedItems containsBlank="1"/>
    </cacheField>
    <cacheField name="Storm Surge Risk Index Score" numFmtId="0">
      <sharedItems containsSemiMixedTypes="0" containsString="0" containsNumber="1" containsInteger="1" minValue="0" maxValue="4"/>
    </cacheField>
    <cacheField name="Storm Surge Risk Index Weighted Score" numFmtId="0">
      <sharedItems containsSemiMixedTypes="0" containsString="0" containsNumber="1" minValue="0" maxValue="0.4"/>
    </cacheField>
    <cacheField name="2.6. Environment (6% weightage)" numFmtId="0">
      <sharedItems containsSemiMixedTypes="0" containsString="0" containsNumber="1" minValue="0" maxValue="0.20400000000000001"/>
    </cacheField>
    <cacheField name="Level 2 Score" numFmtId="2">
      <sharedItems containsSemiMixedTypes="0" containsString="0" containsNumber="1" minValue="0" maxValue="1.8240000000000001"/>
    </cacheField>
    <cacheField name="Level 2 Score Rank" numFmtId="0">
      <sharedItems containsSemiMixedTypes="0" containsString="0" containsNumber="1" containsInteger="1" minValue="1" maxValue="101"/>
    </cacheField>
    <cacheField name="Total Score" numFmtId="2">
      <sharedItems containsSemiMixedTypes="0" containsString="0" containsNumber="1" minValue="0.13200000000000001" maxValue="3.4319999999999999"/>
    </cacheField>
    <cacheField name="Total Score Rank" numFmtId="0">
      <sharedItems containsSemiMixedTypes="0" containsString="0" containsNumber="1" containsInteger="1" minValue="1" maxValue="101"/>
    </cacheField>
    <cacheField name="Fully Scored (Y/N)" numFmtId="0">
      <sharedItems/>
    </cacheField>
    <cacheField name="Count of Blanks" numFmtId="0">
      <sharedItems containsSemiMixedTypes="0" containsString="0" containsNumber="1" containsInteger="1" minValue="0" maxValue="3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2">
  <r>
    <x v="0"/>
    <x v="0"/>
    <x v="0"/>
    <s v="Barishal"/>
    <s v="Agoiljhara"/>
    <s v="Government"/>
    <x v="0"/>
    <x v="0"/>
    <x v="0"/>
    <s v="Yes"/>
    <m/>
    <m/>
    <m/>
    <m/>
    <m/>
    <m/>
    <m/>
    <m/>
    <m/>
    <s v="Yes"/>
    <n v="2021"/>
    <m/>
    <m/>
    <x v="0"/>
    <s v="N/A"/>
    <s v="N/A"/>
    <m/>
    <s v="Feasibility or Pre feasibility"/>
    <n v="300"/>
    <s v="-"/>
    <m/>
    <s v="-"/>
    <n v="329.43"/>
    <s v="N/A"/>
    <s v="N/A"/>
    <s v="N/A"/>
    <n v="4.6756589295076506E-2"/>
    <x v="0"/>
    <x v="0"/>
    <m/>
    <n v="1.3973939393939394"/>
    <n v="230.57"/>
    <m/>
    <n v="38.03"/>
    <n v="16.79"/>
    <n v="11.1"/>
    <n v="32.94"/>
    <m/>
    <n v="329.43000000000006"/>
    <s v="Textiles and RMG"/>
    <s v="Wood products and furniture"/>
    <s v="Food and beverages"/>
    <s v="Agro based"/>
    <s v="Paper and packaging"/>
    <s v="Light engineering"/>
    <s v="-"/>
    <s v="-"/>
    <s v="-"/>
    <m/>
    <m/>
    <s v="45km from Barishal domestic airport"/>
    <s v="No prevailing rail network, nearest railway station is Khulna railway station 94 km away"/>
    <s v="110km from Mongla port"/>
    <s v="145 km from Bhomra land port"/>
    <n v="40.1"/>
    <n v="13000"/>
    <n v="15800"/>
    <n v="4939.82"/>
    <m/>
    <m/>
    <m/>
    <s v="Short-Term"/>
    <m/>
    <m/>
  </r>
  <r>
    <x v="1"/>
    <x v="1"/>
    <x v="1"/>
    <s v="Khagrachari Hill Tracts"/>
    <s v="Matiranga &amp; Khagrachari"/>
    <s v="Government"/>
    <x v="1"/>
    <x v="0"/>
    <x v="0"/>
    <s v="Yes"/>
    <m/>
    <m/>
    <m/>
    <m/>
    <m/>
    <m/>
    <m/>
    <m/>
    <m/>
    <m/>
    <m/>
    <m/>
    <m/>
    <x v="1"/>
    <s v="N/A"/>
    <s v="N/A"/>
    <m/>
    <m/>
    <m/>
    <s v="-"/>
    <m/>
    <s v="-"/>
    <s v="-"/>
    <s v="N/A"/>
    <s v="N/A"/>
    <s v="N/A"/>
    <s v=""/>
    <x v="1"/>
    <x v="0"/>
    <m/>
    <m/>
    <m/>
    <m/>
    <m/>
    <m/>
    <m/>
    <m/>
    <m/>
    <m/>
    <s v="-"/>
    <s v="-"/>
    <s v="-"/>
    <s v="-"/>
    <s v="-"/>
    <s v="-"/>
    <s v="-"/>
    <s v="-"/>
    <s v="-"/>
    <m/>
    <m/>
    <m/>
    <m/>
    <m/>
    <m/>
    <m/>
    <m/>
    <m/>
    <m/>
    <m/>
    <m/>
    <m/>
    <m/>
    <m/>
    <m/>
  </r>
  <r>
    <x v="2"/>
    <x v="2"/>
    <x v="1"/>
    <s v="Chattogram"/>
    <s v="Anowara"/>
    <s v="Government"/>
    <x v="0"/>
    <x v="0"/>
    <x v="0"/>
    <s v="Yes"/>
    <s v="Link"/>
    <m/>
    <m/>
    <s v="Yes"/>
    <n v="2015"/>
    <s v="Yes"/>
    <n v="2016"/>
    <m/>
    <m/>
    <m/>
    <m/>
    <m/>
    <m/>
    <x v="0"/>
    <s v="N/A"/>
    <s v="N/A"/>
    <m/>
    <s v="Feasibility or Pre feasibility"/>
    <n v="774.48"/>
    <s v="-"/>
    <n v="774.42499999999995"/>
    <n v="774.43"/>
    <s v="-"/>
    <s v="N/A"/>
    <s v="N/A"/>
    <s v="N/A"/>
    <n v="3.2065251945521919E-5"/>
    <x v="2"/>
    <x v="0"/>
    <m/>
    <m/>
    <n v="420.57"/>
    <m/>
    <m/>
    <m/>
    <m/>
    <m/>
    <m/>
    <n v="774.43"/>
    <s v="Textiles and RMG"/>
    <s v="Pharmaceuticals"/>
    <s v="Leather Goods"/>
    <s v="Light engineering"/>
    <s v="Electrical and Electronics"/>
    <s v="-"/>
    <s v="-"/>
    <s v="-"/>
    <s v="-"/>
    <m/>
    <m/>
    <s v="30km from Shah Amanat International Airport"/>
    <s v="17km from Chittagong railway station"/>
    <s v="18km from Chittagong port_x000a_12km from Chittagong port by sea route"/>
    <m/>
    <n v="100"/>
    <n v="90000"/>
    <m/>
    <m/>
    <m/>
    <m/>
    <m/>
    <m/>
    <m/>
    <m/>
  </r>
  <r>
    <x v="3"/>
    <x v="3"/>
    <x v="2"/>
    <s v="Narayanganj"/>
    <s v="Araihazar"/>
    <s v="Government"/>
    <x v="1"/>
    <x v="0"/>
    <x v="0"/>
    <s v="Yes"/>
    <m/>
    <m/>
    <m/>
    <m/>
    <m/>
    <m/>
    <m/>
    <m/>
    <m/>
    <m/>
    <m/>
    <m/>
    <m/>
    <x v="1"/>
    <s v="N/A"/>
    <s v="N/A"/>
    <m/>
    <m/>
    <n v="1010.9"/>
    <s v="-"/>
    <m/>
    <s v="-"/>
    <s v="-"/>
    <s v="N/A"/>
    <s v="N/A"/>
    <s v="N/A"/>
    <n v="0"/>
    <x v="2"/>
    <x v="0"/>
    <m/>
    <m/>
    <m/>
    <m/>
    <m/>
    <m/>
    <m/>
    <m/>
    <m/>
    <m/>
    <s v="-"/>
    <s v="-"/>
    <s v="-"/>
    <s v="-"/>
    <s v="-"/>
    <s v="-"/>
    <s v="-"/>
    <s v="-"/>
    <s v="-"/>
    <m/>
    <m/>
    <m/>
    <m/>
    <m/>
    <m/>
    <m/>
    <m/>
    <m/>
    <m/>
    <m/>
    <m/>
    <m/>
    <m/>
    <m/>
    <m/>
  </r>
  <r>
    <x v="4"/>
    <x v="4"/>
    <x v="1"/>
    <s v="Brahmanbaria"/>
    <s v="Ashuganj"/>
    <s v="Government"/>
    <x v="1"/>
    <x v="0"/>
    <x v="0"/>
    <s v="Yes"/>
    <m/>
    <m/>
    <m/>
    <m/>
    <m/>
    <m/>
    <m/>
    <m/>
    <m/>
    <m/>
    <m/>
    <m/>
    <m/>
    <x v="1"/>
    <s v="N/A"/>
    <s v="N/A"/>
    <m/>
    <m/>
    <n v="328.61"/>
    <s v="-"/>
    <m/>
    <s v="-"/>
    <s v="-"/>
    <s v="N/A"/>
    <s v="N/A"/>
    <s v="N/A"/>
    <n v="0"/>
    <x v="2"/>
    <x v="0"/>
    <m/>
    <m/>
    <m/>
    <m/>
    <m/>
    <m/>
    <m/>
    <m/>
    <m/>
    <m/>
    <s v="-"/>
    <s v="-"/>
    <s v="-"/>
    <s v="-"/>
    <s v="-"/>
    <s v="-"/>
    <s v="-"/>
    <s v="-"/>
    <s v="-"/>
    <m/>
    <m/>
    <m/>
    <m/>
    <m/>
    <m/>
    <m/>
    <m/>
    <m/>
    <m/>
    <m/>
    <m/>
    <m/>
    <m/>
    <m/>
    <m/>
  </r>
  <r>
    <x v="5"/>
    <x v="5"/>
    <x v="0"/>
    <s v="Bhola"/>
    <s v="Bhola Sadar"/>
    <s v="Government"/>
    <x v="0"/>
    <x v="0"/>
    <x v="0"/>
    <s v="Yes"/>
    <m/>
    <m/>
    <m/>
    <s v="Yes"/>
    <n v="2015"/>
    <s v="Yes"/>
    <n v="2021"/>
    <m/>
    <m/>
    <m/>
    <m/>
    <m/>
    <m/>
    <x v="0"/>
    <s v="N/A"/>
    <s v="N/A"/>
    <m/>
    <s v="Feasibility or Pre feasibility + Site Visit Report"/>
    <n v="304.07"/>
    <s v="-"/>
    <n v="304.07"/>
    <n v="304.07"/>
    <s v="-"/>
    <s v="N/A"/>
    <s v="N/A"/>
    <s v="N/A"/>
    <n v="0"/>
    <x v="2"/>
    <x v="0"/>
    <m/>
    <n v="1"/>
    <n v="212.27"/>
    <m/>
    <n v="39.989999999999995"/>
    <n v="14.83"/>
    <n v="4.9400000000000004"/>
    <n v="31.97"/>
    <m/>
    <n v="304"/>
    <s v="Food and Beverage"/>
    <s v="Agro based"/>
    <s v="Chemicals"/>
    <s v="Non-Metallic mineral products"/>
    <s v="-"/>
    <s v="-"/>
    <s v="-"/>
    <s v="-"/>
    <s v="-"/>
    <m/>
    <m/>
    <s v="53km from Barisal Airport"/>
    <m/>
    <s v="206km from Mongla Port_x000a_215km from Chittagong Port"/>
    <m/>
    <n v="36"/>
    <n v="7000"/>
    <n v="14550"/>
    <m/>
    <m/>
    <m/>
    <m/>
    <m/>
    <m/>
    <m/>
  </r>
  <r>
    <x v="6"/>
    <x v="6"/>
    <x v="3"/>
    <s v="Bogura"/>
    <s v="Shahajahanpur"/>
    <s v="Government"/>
    <x v="0"/>
    <x v="0"/>
    <x v="1"/>
    <s v="Yes"/>
    <m/>
    <m/>
    <m/>
    <m/>
    <m/>
    <s v="Yes"/>
    <n v="2018"/>
    <m/>
    <m/>
    <s v="Yes"/>
    <n v="2022"/>
    <m/>
    <m/>
    <x v="0"/>
    <s v="N/A"/>
    <s v="N/A"/>
    <m/>
    <s v="Feasibility or Pre feasibility"/>
    <n v="251.43"/>
    <s v="-"/>
    <m/>
    <n v="251.43"/>
    <n v="251.43"/>
    <s v="N/A"/>
    <s v="N/A"/>
    <s v="N/A"/>
    <n v="1.130402475058824E-16"/>
    <x v="2"/>
    <x v="0"/>
    <m/>
    <n v="1"/>
    <n v="158.53"/>
    <m/>
    <n v="36.56"/>
    <n v="9.34"/>
    <m/>
    <n v="18.12"/>
    <n v="28.879999999999995"/>
    <n v="251.43"/>
    <s v="Light Engineering"/>
    <s v="Textiles and Jute"/>
    <s v="Pharmaceuticals"/>
    <s v="Agro based"/>
    <s v="Plastics"/>
    <s v="Wood products and furniture"/>
    <s v="-"/>
    <s v="-"/>
    <s v="-"/>
    <m/>
    <m/>
    <s v="160 km from Rajshahi airport_x000a_180 lm from Hazrat Shahjalal Int'l Airport"/>
    <m/>
    <m/>
    <m/>
    <n v="25.2"/>
    <n v="28218"/>
    <n v="8199"/>
    <m/>
    <m/>
    <m/>
    <m/>
    <m/>
    <m/>
    <m/>
  </r>
  <r>
    <x v="7"/>
    <x v="7"/>
    <x v="1"/>
    <s v="Chandpur"/>
    <s v="Matlab Uttar"/>
    <s v="Government"/>
    <x v="0"/>
    <x v="0"/>
    <x v="0"/>
    <s v="Yes"/>
    <m/>
    <m/>
    <m/>
    <m/>
    <m/>
    <s v="Yes"/>
    <n v="2021"/>
    <m/>
    <m/>
    <m/>
    <m/>
    <m/>
    <m/>
    <x v="0"/>
    <s v="N/A"/>
    <s v="N/A"/>
    <m/>
    <s v="Feasibility or Pre feasibility"/>
    <m/>
    <s v="-"/>
    <m/>
    <n v="3037.85"/>
    <s v="-"/>
    <s v="N/A"/>
    <s v="N/A"/>
    <s v="N/A"/>
    <n v="0"/>
    <x v="2"/>
    <x v="0"/>
    <m/>
    <n v="1"/>
    <n v="2109.88"/>
    <m/>
    <n v="419.94"/>
    <n v="170.93"/>
    <n v="32.29"/>
    <n v="334.14"/>
    <m/>
    <n v="3067.18"/>
    <s v="Food and Beverage"/>
    <s v="Agro based"/>
    <s v="Leather Goods"/>
    <s v="Plastic and Rubber"/>
    <s v="Paper and packaging"/>
    <s v="Chemicals"/>
    <s v="Non-Metallic mineral products"/>
    <s v="Heavy Machinery, Iron &amp; Steel and metals"/>
    <s v="Petroleum and petroleum products"/>
    <s v="Light Machinery, Equipment and Furniture"/>
    <m/>
    <s v="85km from Hazrat Shahjalal International Airport"/>
    <s v="42km from Chandpur Railway Station"/>
    <s v="235km from Chittagong Port_x000a_40lm from Chandpur River Port"/>
    <s v="108km from Bibirbazar Land Port"/>
    <n v="360"/>
    <n v="93000"/>
    <n v="144632"/>
    <n v="36175.410000000003"/>
    <m/>
    <m/>
    <m/>
    <m/>
    <m/>
    <m/>
  </r>
  <r>
    <x v="8"/>
    <x v="8"/>
    <x v="1"/>
    <s v="Chandpur"/>
    <s v="Haimchar"/>
    <s v="Government"/>
    <x v="2"/>
    <x v="0"/>
    <x v="0"/>
    <s v="Yes"/>
    <m/>
    <s v="Yes"/>
    <n v="2017"/>
    <m/>
    <m/>
    <m/>
    <m/>
    <m/>
    <m/>
    <m/>
    <m/>
    <m/>
    <m/>
    <x v="1"/>
    <s v="N/A"/>
    <s v="N/A"/>
    <m/>
    <s v="Site Visit Report"/>
    <m/>
    <n v="4755"/>
    <m/>
    <s v="-"/>
    <s v="-"/>
    <s v="N/A"/>
    <s v="N/A"/>
    <s v="N/A"/>
    <n v="0"/>
    <x v="2"/>
    <x v="0"/>
    <m/>
    <m/>
    <m/>
    <m/>
    <m/>
    <m/>
    <m/>
    <m/>
    <m/>
    <m/>
    <s v="-"/>
    <s v="-"/>
    <s v="-"/>
    <s v="-"/>
    <s v="-"/>
    <s v="-"/>
    <s v="-"/>
    <s v="-"/>
    <s v="-"/>
    <m/>
    <m/>
    <m/>
    <m/>
    <m/>
    <m/>
    <m/>
    <m/>
    <m/>
    <m/>
    <m/>
    <m/>
    <m/>
    <m/>
    <m/>
    <m/>
  </r>
  <r>
    <x v="9"/>
    <x v="9"/>
    <x v="0"/>
    <s v="Barishal"/>
    <s v="Hizla"/>
    <s v="Government"/>
    <x v="2"/>
    <x v="0"/>
    <x v="0"/>
    <s v="Yes"/>
    <m/>
    <s v="Yes"/>
    <n v="2018"/>
    <m/>
    <m/>
    <m/>
    <m/>
    <m/>
    <m/>
    <m/>
    <m/>
    <m/>
    <m/>
    <x v="1"/>
    <s v="N/A"/>
    <s v="N/A"/>
    <m/>
    <s v="Site Visit Report"/>
    <m/>
    <n v="2255.96"/>
    <m/>
    <s v="-"/>
    <s v="-"/>
    <s v="N/A"/>
    <s v="N/A"/>
    <s v="N/A"/>
    <n v="0"/>
    <x v="2"/>
    <x v="0"/>
    <m/>
    <m/>
    <m/>
    <m/>
    <m/>
    <m/>
    <m/>
    <m/>
    <m/>
    <m/>
    <s v="-"/>
    <s v="-"/>
    <s v="-"/>
    <s v="-"/>
    <s v="-"/>
    <s v="-"/>
    <s v="-"/>
    <s v="-"/>
    <s v="-"/>
    <m/>
    <m/>
    <m/>
    <m/>
    <m/>
    <m/>
    <m/>
    <m/>
    <m/>
    <m/>
    <m/>
    <m/>
    <m/>
    <m/>
    <m/>
    <m/>
  </r>
  <r>
    <x v="10"/>
    <x v="10"/>
    <x v="1"/>
    <s v="Cox’s Bazar"/>
    <s v="Moheshkhali"/>
    <s v="Government"/>
    <x v="1"/>
    <x v="0"/>
    <x v="0"/>
    <s v="Yes"/>
    <m/>
    <m/>
    <m/>
    <m/>
    <m/>
    <m/>
    <m/>
    <m/>
    <m/>
    <m/>
    <m/>
    <m/>
    <m/>
    <x v="1"/>
    <s v="N/A"/>
    <s v="N/A"/>
    <m/>
    <m/>
    <n v="8784.77"/>
    <s v="-"/>
    <m/>
    <s v="-"/>
    <s v="-"/>
    <s v="N/A"/>
    <s v="N/A"/>
    <s v="N/A"/>
    <n v="0"/>
    <x v="2"/>
    <x v="0"/>
    <m/>
    <m/>
    <m/>
    <m/>
    <m/>
    <m/>
    <m/>
    <m/>
    <m/>
    <m/>
    <s v="-"/>
    <s v="-"/>
    <s v="-"/>
    <s v="-"/>
    <s v="-"/>
    <s v="-"/>
    <s v="-"/>
    <s v="-"/>
    <s v="-"/>
    <m/>
    <m/>
    <m/>
    <m/>
    <m/>
    <m/>
    <m/>
    <m/>
    <m/>
    <m/>
    <m/>
    <m/>
    <m/>
    <m/>
    <m/>
    <m/>
  </r>
  <r>
    <x v="11"/>
    <x v="11"/>
    <x v="2"/>
    <s v="Dhaka"/>
    <s v="Dohar"/>
    <s v="Government"/>
    <x v="2"/>
    <x v="0"/>
    <x v="0"/>
    <s v="Yes"/>
    <m/>
    <s v="Yes"/>
    <n v="2015"/>
    <s v="Yes"/>
    <n v="2015"/>
    <m/>
    <m/>
    <m/>
    <m/>
    <m/>
    <m/>
    <m/>
    <m/>
    <x v="1"/>
    <s v="N/A"/>
    <s v="N/A"/>
    <m/>
    <s v="Site Visit Report"/>
    <n v="316.35000000000002"/>
    <n v="316.35000000000002"/>
    <n v="316.35000000000002"/>
    <s v="-"/>
    <s v="-"/>
    <s v="N/A"/>
    <s v="N/A"/>
    <s v="N/A"/>
    <n v="0"/>
    <x v="2"/>
    <x v="0"/>
    <m/>
    <m/>
    <m/>
    <m/>
    <m/>
    <m/>
    <m/>
    <m/>
    <m/>
    <m/>
    <s v="-"/>
    <s v="-"/>
    <s v="-"/>
    <s v="-"/>
    <s v="-"/>
    <s v="-"/>
    <s v="-"/>
    <s v="-"/>
    <s v="-"/>
    <m/>
    <m/>
    <m/>
    <m/>
    <m/>
    <m/>
    <m/>
    <m/>
    <m/>
    <m/>
    <m/>
    <m/>
    <m/>
    <m/>
    <m/>
    <m/>
  </r>
  <r>
    <x v="12"/>
    <x v="12"/>
    <x v="2"/>
    <s v="Dhaka"/>
    <s v="Keraniganj"/>
    <s v="Government"/>
    <x v="0"/>
    <x v="0"/>
    <x v="0"/>
    <s v="Yes"/>
    <s v="Link"/>
    <m/>
    <m/>
    <s v="Yes"/>
    <n v="2015"/>
    <s v="Yes"/>
    <n v="2016"/>
    <m/>
    <m/>
    <m/>
    <m/>
    <m/>
    <m/>
    <x v="0"/>
    <s v="N/A"/>
    <s v="N/A"/>
    <m/>
    <s v="Feasibility or Pre feasibility"/>
    <n v="105"/>
    <s v="-"/>
    <n v="105"/>
    <n v="105"/>
    <s v="-"/>
    <s v="N/A"/>
    <s v="N/A"/>
    <s v="N/A"/>
    <n v="0"/>
    <x v="2"/>
    <x v="0"/>
    <m/>
    <m/>
    <m/>
    <m/>
    <m/>
    <m/>
    <m/>
    <m/>
    <m/>
    <n v="104.985"/>
    <s v="RMG"/>
    <s v="Integrated Textiles"/>
    <s v="Pharmaceuticals"/>
    <s v="Light engineering"/>
    <s v="Plastics"/>
    <s v="-"/>
    <s v="-"/>
    <s v="-"/>
    <s v="-"/>
    <m/>
    <m/>
    <s v="30km from Shajalal International Airport"/>
    <s v="20km from Dhaka railway station"/>
    <m/>
    <m/>
    <n v="10"/>
    <n v="10000"/>
    <m/>
    <m/>
    <m/>
    <m/>
    <m/>
    <m/>
    <m/>
    <m/>
  </r>
  <r>
    <x v="13"/>
    <x v="13"/>
    <x v="4"/>
    <s v="Dinajpur"/>
    <s v="Dinajpur"/>
    <s v="Government"/>
    <x v="1"/>
    <x v="0"/>
    <x v="0"/>
    <s v="Yes"/>
    <m/>
    <m/>
    <m/>
    <m/>
    <m/>
    <m/>
    <m/>
    <m/>
    <m/>
    <m/>
    <m/>
    <m/>
    <m/>
    <x v="1"/>
    <s v="N/A"/>
    <s v="N/A"/>
    <m/>
    <m/>
    <m/>
    <s v="-"/>
    <m/>
    <s v="-"/>
    <s v="-"/>
    <s v="N/A"/>
    <s v="N/A"/>
    <s v="N/A"/>
    <s v=""/>
    <x v="1"/>
    <x v="0"/>
    <m/>
    <m/>
    <m/>
    <m/>
    <m/>
    <m/>
    <m/>
    <m/>
    <m/>
    <m/>
    <s v="-"/>
    <s v="-"/>
    <s v="-"/>
    <s v="-"/>
    <s v="-"/>
    <s v="-"/>
    <s v="-"/>
    <s v="-"/>
    <s v="-"/>
    <m/>
    <m/>
    <m/>
    <m/>
    <m/>
    <m/>
    <m/>
    <m/>
    <m/>
    <m/>
    <m/>
    <m/>
    <m/>
    <m/>
    <m/>
    <m/>
  </r>
  <r>
    <x v="14"/>
    <x v="14"/>
    <x v="2"/>
    <s v="Faridpur"/>
    <s v="Faridpur Sadar"/>
    <s v="Government"/>
    <x v="1"/>
    <x v="0"/>
    <x v="0"/>
    <s v="Yes"/>
    <m/>
    <m/>
    <m/>
    <m/>
    <m/>
    <m/>
    <m/>
    <m/>
    <m/>
    <m/>
    <m/>
    <m/>
    <m/>
    <x v="1"/>
    <s v="N/A"/>
    <s v="N/A"/>
    <m/>
    <m/>
    <m/>
    <s v="-"/>
    <m/>
    <s v="-"/>
    <s v="-"/>
    <s v="N/A"/>
    <s v="N/A"/>
    <s v="N/A"/>
    <s v=""/>
    <x v="1"/>
    <x v="0"/>
    <m/>
    <m/>
    <m/>
    <m/>
    <m/>
    <m/>
    <m/>
    <m/>
    <m/>
    <m/>
    <s v="-"/>
    <s v="-"/>
    <s v="-"/>
    <s v="-"/>
    <s v="-"/>
    <s v="-"/>
    <s v="-"/>
    <s v="-"/>
    <s v="-"/>
    <m/>
    <m/>
    <m/>
    <m/>
    <m/>
    <m/>
    <m/>
    <m/>
    <m/>
    <m/>
    <m/>
    <m/>
    <m/>
    <m/>
    <m/>
    <m/>
  </r>
  <r>
    <x v="15"/>
    <x v="15"/>
    <x v="1"/>
    <s v="Feni"/>
    <s v="Sonagazi"/>
    <s v="Government"/>
    <x v="0"/>
    <x v="0"/>
    <x v="1"/>
    <s v="Yes"/>
    <m/>
    <m/>
    <m/>
    <m/>
    <m/>
    <s v="Yes"/>
    <n v="2019"/>
    <m/>
    <m/>
    <m/>
    <m/>
    <m/>
    <m/>
    <x v="0"/>
    <s v="N/A"/>
    <s v="N/A"/>
    <m/>
    <s v="Feasibility or Pre feasibility + Site Visit Report for BSMSN"/>
    <n v="7219.79"/>
    <s v="-"/>
    <m/>
    <n v="7000"/>
    <s v="-"/>
    <s v="N/A"/>
    <s v="N/A"/>
    <s v="N/A"/>
    <n v="1.5456627699846478E-2"/>
    <x v="0"/>
    <x v="0"/>
    <m/>
    <n v="4.9065420560747661"/>
    <m/>
    <m/>
    <m/>
    <m/>
    <m/>
    <m/>
    <m/>
    <n v="7000"/>
    <s v="Textiles and RMG"/>
    <s v="Light Machinery, Equipment and Furniture"/>
    <s v="Electrical and Electronics"/>
    <s v="Leather Goods"/>
    <s v="Non-Metallic mineral products"/>
    <s v="Petroleum and petroleum products"/>
    <s v="Heavy Machinery, Iron &amp; Steel and metals"/>
    <s v="Shipbuilding"/>
    <s v="Automobile Parts and Assembly"/>
    <m/>
    <m/>
    <s v="75km from Chittagong Airport"/>
    <s v="15 km from Boraiyarhat Railway Station"/>
    <s v="75km from Chittagong Port_x000a_85km from Chittagong Port by Sea Route"/>
    <s v="60km from Belonia Land port"/>
    <n v="589"/>
    <n v="127600"/>
    <m/>
    <n v="91100"/>
    <m/>
    <m/>
    <m/>
    <m/>
    <m/>
    <m/>
  </r>
  <r>
    <x v="16"/>
    <x v="16"/>
    <x v="2"/>
    <s v="Munshiganj"/>
    <s v="Gajaria"/>
    <s v="Government"/>
    <x v="1"/>
    <x v="0"/>
    <x v="0"/>
    <s v="Yes"/>
    <m/>
    <m/>
    <m/>
    <m/>
    <m/>
    <m/>
    <m/>
    <m/>
    <m/>
    <m/>
    <m/>
    <m/>
    <m/>
    <x v="1"/>
    <s v="N/A"/>
    <s v="N/A"/>
    <m/>
    <m/>
    <n v="97.98"/>
    <s v="-"/>
    <m/>
    <s v="-"/>
    <s v="-"/>
    <s v="N/A"/>
    <s v="N/A"/>
    <s v="N/A"/>
    <n v="0"/>
    <x v="2"/>
    <x v="0"/>
    <m/>
    <m/>
    <m/>
    <m/>
    <m/>
    <m/>
    <m/>
    <m/>
    <m/>
    <m/>
    <s v="-"/>
    <s v="-"/>
    <s v="-"/>
    <s v="-"/>
    <s v="-"/>
    <s v="-"/>
    <s v="-"/>
    <s v="-"/>
    <s v="-"/>
    <m/>
    <m/>
    <m/>
    <m/>
    <m/>
    <m/>
    <m/>
    <m/>
    <m/>
    <m/>
    <m/>
    <m/>
    <m/>
    <m/>
    <m/>
    <m/>
  </r>
  <r>
    <x v="17"/>
    <x v="17"/>
    <x v="2"/>
    <s v="Gopalganj"/>
    <s v="Kotalipara"/>
    <s v="Government"/>
    <x v="1"/>
    <x v="0"/>
    <x v="1"/>
    <s v="Yes"/>
    <m/>
    <m/>
    <m/>
    <m/>
    <m/>
    <s v="Yes"/>
    <n v="2019"/>
    <m/>
    <m/>
    <m/>
    <m/>
    <m/>
    <m/>
    <x v="0"/>
    <s v="N/A"/>
    <s v="N/A"/>
    <m/>
    <s v="Feasibility or Pre feasibility"/>
    <n v="201.83"/>
    <s v="-"/>
    <m/>
    <n v="200"/>
    <s v="-"/>
    <s v="N/A"/>
    <s v="N/A"/>
    <s v="N/A"/>
    <n v="4.5541646965134817E-3"/>
    <x v="2"/>
    <x v="0"/>
    <m/>
    <n v="1"/>
    <n v="131.97999999999999"/>
    <m/>
    <n v="29.18"/>
    <n v="4.0199999999999996"/>
    <m/>
    <n v="19.940000000000001"/>
    <n v="14.89"/>
    <n v="200.01"/>
    <s v="Food and Beverage"/>
    <s v="Agro based"/>
    <s v="Electrical and Electronics"/>
    <s v="Light Machinery, Equipment and Furniture"/>
    <s v="-"/>
    <s v="-"/>
    <s v="-"/>
    <s v="-"/>
    <s v="-"/>
    <m/>
    <m/>
    <s v="180km from Hazrat Shahjalal International Airport"/>
    <s v="50km from Khulna Railway Station"/>
    <s v="65km from Mongla Port"/>
    <m/>
    <n v="22.4"/>
    <n v="7300"/>
    <m/>
    <n v="5100"/>
    <m/>
    <m/>
    <m/>
    <m/>
    <m/>
    <m/>
  </r>
  <r>
    <x v="18"/>
    <x v="18"/>
    <x v="2"/>
    <s v="Gopalganj"/>
    <s v="Gopalganj Sadar"/>
    <s v="Government"/>
    <x v="0"/>
    <x v="0"/>
    <x v="0"/>
    <s v="Yes"/>
    <m/>
    <m/>
    <m/>
    <m/>
    <m/>
    <m/>
    <m/>
    <m/>
    <m/>
    <m/>
    <m/>
    <m/>
    <m/>
    <x v="1"/>
    <s v="N/A"/>
    <s v="N/A"/>
    <m/>
    <m/>
    <n v="200"/>
    <s v="-"/>
    <m/>
    <s v="-"/>
    <s v="-"/>
    <s v="N/A"/>
    <s v="N/A"/>
    <s v="N/A"/>
    <n v="0"/>
    <x v="2"/>
    <x v="0"/>
    <m/>
    <m/>
    <m/>
    <m/>
    <m/>
    <m/>
    <m/>
    <m/>
    <m/>
    <m/>
    <s v="-"/>
    <s v="-"/>
    <s v="-"/>
    <s v="-"/>
    <s v="-"/>
    <s v="-"/>
    <s v="-"/>
    <s v="-"/>
    <s v="-"/>
    <m/>
    <m/>
    <m/>
    <m/>
    <m/>
    <m/>
    <m/>
    <m/>
    <m/>
    <m/>
    <m/>
    <m/>
    <m/>
    <m/>
    <m/>
    <m/>
  </r>
  <r>
    <x v="19"/>
    <x v="19"/>
    <x v="5"/>
    <s v="Habiganj"/>
    <s v="Chunarughat"/>
    <s v="Government"/>
    <x v="1"/>
    <x v="0"/>
    <x v="0"/>
    <s v="Yes"/>
    <m/>
    <m/>
    <m/>
    <m/>
    <m/>
    <m/>
    <m/>
    <m/>
    <m/>
    <m/>
    <m/>
    <m/>
    <m/>
    <x v="1"/>
    <s v="N/A"/>
    <s v="N/A"/>
    <m/>
    <m/>
    <n v="511.83"/>
    <s v="-"/>
    <m/>
    <s v="-"/>
    <s v="-"/>
    <s v="N/A"/>
    <s v="N/A"/>
    <s v="N/A"/>
    <n v="0"/>
    <x v="2"/>
    <x v="0"/>
    <m/>
    <m/>
    <m/>
    <m/>
    <m/>
    <m/>
    <m/>
    <m/>
    <m/>
    <m/>
    <s v="-"/>
    <s v="-"/>
    <s v="-"/>
    <s v="-"/>
    <s v="-"/>
    <s v="-"/>
    <s v="-"/>
    <s v="-"/>
    <s v="-"/>
    <m/>
    <m/>
    <m/>
    <m/>
    <m/>
    <m/>
    <m/>
    <m/>
    <m/>
    <m/>
    <m/>
    <m/>
    <m/>
    <m/>
    <m/>
    <m/>
  </r>
  <r>
    <x v="20"/>
    <x v="20"/>
    <x v="6"/>
    <s v="Jamalpur"/>
    <s v="Jamalpur Sadar"/>
    <s v="Government"/>
    <x v="3"/>
    <x v="0"/>
    <x v="1"/>
    <s v="Yes"/>
    <s v="Link"/>
    <m/>
    <m/>
    <m/>
    <m/>
    <s v="Yes"/>
    <n v="2021"/>
    <m/>
    <m/>
    <s v="Yes"/>
    <n v="2017"/>
    <m/>
    <m/>
    <x v="0"/>
    <s v="N/A"/>
    <s v="N/A"/>
    <m/>
    <s v="Feasibility or Pre feasibility"/>
    <n v="457.77"/>
    <s v="-"/>
    <m/>
    <n v="402.66"/>
    <n v="443"/>
    <s v="N/A"/>
    <s v="N/A"/>
    <s v="N/A"/>
    <n v="5.3608912588970131E-2"/>
    <x v="0"/>
    <x v="1"/>
    <m/>
    <m/>
    <n v="268.56"/>
    <m/>
    <n v="60.27"/>
    <n v="18.32"/>
    <n v="12.31"/>
    <n v="41.71"/>
    <n v="35.750000000000057"/>
    <n v="436.92"/>
    <s v="Food and Beverage"/>
    <s v="Agro based"/>
    <s v="Leather Goods"/>
    <s v="Chemicals"/>
    <s v="Electrical and Electronics"/>
    <s v="Pharmaceuticals"/>
    <s v="-"/>
    <s v="-"/>
    <s v="-"/>
    <m/>
    <m/>
    <s v="167km from Hazrat Shahjalal International Airport"/>
    <s v="60km from Mymensingh railway station"/>
    <s v="377km from Mongla Port"/>
    <m/>
    <n v="47"/>
    <n v="9000"/>
    <n v="18400"/>
    <m/>
    <m/>
    <m/>
    <m/>
    <s v="Long-Term"/>
    <m/>
    <m/>
  </r>
  <r>
    <x v="21"/>
    <x v="21"/>
    <x v="7"/>
    <s v="Khulna"/>
    <s v="Batiaghata"/>
    <s v="Government"/>
    <x v="2"/>
    <x v="0"/>
    <x v="2"/>
    <s v="Yes"/>
    <m/>
    <s v="Yes"/>
    <n v="2015"/>
    <m/>
    <m/>
    <m/>
    <m/>
    <m/>
    <m/>
    <m/>
    <m/>
    <m/>
    <m/>
    <x v="1"/>
    <s v="N/A"/>
    <s v="N/A"/>
    <m/>
    <s v="Site Visit Report"/>
    <n v="519.52"/>
    <n v="593.64"/>
    <m/>
    <s v="-"/>
    <s v="-"/>
    <s v="N/A"/>
    <s v="N/A"/>
    <s v="N/A"/>
    <n v="6.6585216860109972E-2"/>
    <x v="0"/>
    <x v="2"/>
    <m/>
    <m/>
    <m/>
    <m/>
    <m/>
    <m/>
    <m/>
    <m/>
    <m/>
    <m/>
    <s v="-"/>
    <s v="-"/>
    <s v="-"/>
    <s v="-"/>
    <s v="-"/>
    <s v="-"/>
    <s v="-"/>
    <s v="-"/>
    <s v="-"/>
    <m/>
    <m/>
    <m/>
    <m/>
    <m/>
    <m/>
    <m/>
    <m/>
    <m/>
    <m/>
    <m/>
    <m/>
    <m/>
    <m/>
    <m/>
    <m/>
  </r>
  <r>
    <x v="22"/>
    <x v="22"/>
    <x v="7"/>
    <s v="Khulna"/>
    <s v="Terokhada"/>
    <s v="Government"/>
    <x v="1"/>
    <x v="0"/>
    <x v="0"/>
    <s v="Yes"/>
    <m/>
    <m/>
    <m/>
    <m/>
    <m/>
    <m/>
    <m/>
    <m/>
    <m/>
    <m/>
    <m/>
    <m/>
    <m/>
    <x v="1"/>
    <s v="N/A"/>
    <s v="N/A"/>
    <m/>
    <m/>
    <n v="509.64"/>
    <s v="-"/>
    <m/>
    <s v="-"/>
    <s v="-"/>
    <s v="N/A"/>
    <s v="N/A"/>
    <s v="N/A"/>
    <n v="0"/>
    <x v="2"/>
    <x v="0"/>
    <m/>
    <m/>
    <m/>
    <m/>
    <m/>
    <m/>
    <m/>
    <m/>
    <m/>
    <m/>
    <s v="-"/>
    <s v="-"/>
    <s v="-"/>
    <s v="-"/>
    <s v="-"/>
    <s v="-"/>
    <s v="-"/>
    <s v="-"/>
    <s v="-"/>
    <m/>
    <m/>
    <m/>
    <m/>
    <m/>
    <m/>
    <m/>
    <m/>
    <m/>
    <m/>
    <m/>
    <m/>
    <m/>
    <m/>
    <m/>
    <m/>
  </r>
  <r>
    <x v="23"/>
    <x v="23"/>
    <x v="4"/>
    <s v="Kurigram"/>
    <s v="Kurigram Sadar"/>
    <s v="Government"/>
    <x v="1"/>
    <x v="0"/>
    <x v="2"/>
    <s v="Yes"/>
    <m/>
    <m/>
    <m/>
    <m/>
    <m/>
    <m/>
    <m/>
    <m/>
    <m/>
    <m/>
    <m/>
    <m/>
    <m/>
    <x v="1"/>
    <s v="N/A"/>
    <s v="N/A"/>
    <m/>
    <m/>
    <m/>
    <s v="-"/>
    <m/>
    <s v="-"/>
    <s v="-"/>
    <s v="N/A"/>
    <s v="N/A"/>
    <s v="N/A"/>
    <s v=""/>
    <x v="1"/>
    <x v="2"/>
    <m/>
    <m/>
    <m/>
    <m/>
    <m/>
    <m/>
    <m/>
    <m/>
    <m/>
    <m/>
    <s v="-"/>
    <s v="-"/>
    <s v="-"/>
    <s v="-"/>
    <s v="-"/>
    <s v="-"/>
    <s v="-"/>
    <s v="-"/>
    <s v="-"/>
    <m/>
    <m/>
    <m/>
    <m/>
    <m/>
    <m/>
    <m/>
    <m/>
    <m/>
    <m/>
    <m/>
    <m/>
    <m/>
    <m/>
    <m/>
    <m/>
  </r>
  <r>
    <x v="24"/>
    <x v="24"/>
    <x v="2"/>
    <s v="Madaripur"/>
    <s v="Rajoir"/>
    <s v="Government"/>
    <x v="2"/>
    <x v="0"/>
    <x v="0"/>
    <s v="Yes"/>
    <m/>
    <s v="Yes"/>
    <n v="2016"/>
    <m/>
    <m/>
    <m/>
    <m/>
    <m/>
    <m/>
    <m/>
    <m/>
    <m/>
    <m/>
    <x v="1"/>
    <s v="N/A"/>
    <s v="N/A"/>
    <m/>
    <s v="Site Visit Report"/>
    <m/>
    <n v="113.54"/>
    <m/>
    <s v="-"/>
    <s v="-"/>
    <s v="N/A"/>
    <s v="N/A"/>
    <s v="N/A"/>
    <n v="0"/>
    <x v="2"/>
    <x v="0"/>
    <m/>
    <m/>
    <m/>
    <m/>
    <m/>
    <m/>
    <m/>
    <m/>
    <m/>
    <m/>
    <s v="-"/>
    <s v="-"/>
    <s v="-"/>
    <s v="-"/>
    <s v="-"/>
    <s v="-"/>
    <s v="-"/>
    <s v="-"/>
    <s v="-"/>
    <m/>
    <m/>
    <m/>
    <m/>
    <m/>
    <m/>
    <m/>
    <m/>
    <m/>
    <m/>
    <m/>
    <m/>
    <m/>
    <m/>
    <m/>
    <m/>
  </r>
  <r>
    <x v="25"/>
    <x v="25"/>
    <x v="2"/>
    <s v="Manikganj"/>
    <s v="Shibaloy"/>
    <s v="Government"/>
    <x v="0"/>
    <x v="0"/>
    <x v="0"/>
    <s v="Yes"/>
    <m/>
    <m/>
    <m/>
    <s v="Yes"/>
    <n v="2015"/>
    <s v="Yes"/>
    <n v="2021"/>
    <m/>
    <m/>
    <m/>
    <m/>
    <m/>
    <m/>
    <x v="0"/>
    <s v="N/A"/>
    <s v="N/A"/>
    <m/>
    <s v="Feasibility or Pre feasibility"/>
    <n v="300"/>
    <s v="-"/>
    <n v="303.47000000000003"/>
    <n v="320.37"/>
    <s v="-"/>
    <s v="N/A"/>
    <s v="N/A"/>
    <s v="N/A"/>
    <n v="2.8894982057607304E-2"/>
    <x v="0"/>
    <x v="0"/>
    <m/>
    <n v="1"/>
    <n v="226.68"/>
    <m/>
    <n v="39.729999999999997"/>
    <n v="13.55"/>
    <n v="8.3699999999999992"/>
    <n v="32.04"/>
    <m/>
    <n v="320.37000000000006"/>
    <s v="Textiles and RMG"/>
    <s v="Food and Beverage"/>
    <s v="Leather Goods"/>
    <s v="Chemicals"/>
    <s v="Non-Metallic mineral products"/>
    <s v="Electrical and Electronics"/>
    <s v="Pharmaceuticals"/>
    <s v="-"/>
    <s v="-"/>
    <m/>
    <m/>
    <s v="79km from Hazrat Shahjalal International Airport"/>
    <s v="77km from Kamalapur Railway Station"/>
    <s v="207km from Mongla Port_x000a_91km from Naraynganj River Port"/>
    <s v="171km from Benapole Land Port"/>
    <n v="38"/>
    <n v="12000"/>
    <n v="15500"/>
    <n v="1000"/>
    <m/>
    <m/>
    <m/>
    <m/>
    <m/>
    <m/>
  </r>
  <r>
    <x v="26"/>
    <x v="26"/>
    <x v="1"/>
    <s v="Chittagong"/>
    <s v="Mirsarai"/>
    <s v="Government"/>
    <x v="3"/>
    <x v="0"/>
    <x v="1"/>
    <s v="Yes"/>
    <s v="Link"/>
    <s v="Yes"/>
    <n v="2022"/>
    <m/>
    <m/>
    <m/>
    <m/>
    <s v="Yes"/>
    <n v="2016"/>
    <s v="Yes"/>
    <n v="2014"/>
    <s v="Yes"/>
    <n v="2014"/>
    <x v="0"/>
    <s v="N/A"/>
    <s v="N/A"/>
    <m/>
    <s v="Feasibility or Pre feasibility + Site Visit Report for BSMSN"/>
    <n v="13117.78"/>
    <s v="N/A"/>
    <m/>
    <s v="-"/>
    <n v="7195.3"/>
    <s v="N/A"/>
    <s v="N/A"/>
    <s v="N/A"/>
    <n v="0.29155992099671724"/>
    <x v="0"/>
    <x v="0"/>
    <m/>
    <n v="2.4700000000000002"/>
    <n v="3110.31"/>
    <m/>
    <n v="547.40000000000009"/>
    <m/>
    <m/>
    <n v="365.67"/>
    <m/>
    <n v="7195.3"/>
    <s v="RMG"/>
    <s v="Integrated Textiles"/>
    <s v="Automobile Parts and Assembly"/>
    <s v="Food and Beverage"/>
    <s v="Paint and Chemical"/>
    <s v="Paper and packaging"/>
    <s v="Plastics"/>
    <s v="Other parts and machinery"/>
    <s v="-"/>
    <m/>
    <m/>
    <s v="79km from Chittagong Airport"/>
    <s v="11.5km from Borotakia Railway Station"/>
    <s v="67km from Chittagong Port_x000a_85km from Chittagong Port by Sea Route"/>
    <m/>
    <n v="600"/>
    <n v="280000"/>
    <m/>
    <n v="224000"/>
    <s v="."/>
    <m/>
    <m/>
    <m/>
    <m/>
    <m/>
  </r>
  <r>
    <x v="27"/>
    <x v="27"/>
    <x v="1"/>
    <s v="Cox’s Bazar"/>
    <s v="Moheshkhali"/>
    <s v="Government"/>
    <x v="0"/>
    <x v="0"/>
    <x v="0"/>
    <s v="Yes"/>
    <m/>
    <m/>
    <m/>
    <m/>
    <m/>
    <s v="Yes"/>
    <n v="2019"/>
    <m/>
    <m/>
    <m/>
    <m/>
    <m/>
    <m/>
    <x v="0"/>
    <s v="N/A"/>
    <s v="N/A"/>
    <m/>
    <s v="Feasibility or Pre feasibility"/>
    <n v="1438.52"/>
    <s v="-"/>
    <m/>
    <n v="2847"/>
    <s v="-"/>
    <s v="N/A"/>
    <s v="N/A"/>
    <s v="N/A"/>
    <n v="0.32866023259721067"/>
    <x v="0"/>
    <x v="0"/>
    <m/>
    <n v="1"/>
    <n v="2047.11"/>
    <m/>
    <n v="286.74"/>
    <n v="35.1"/>
    <n v="54.78"/>
    <n v="321.58999999999997"/>
    <n v="101.28999999999999"/>
    <n v="2846.61"/>
    <s v="Food and Beverage"/>
    <s v="Agro based"/>
    <s v="Chemicals"/>
    <s v="Non-Metallic mineral products"/>
    <s v="Pharmaceuticals"/>
    <s v="Heavy Machinery, Iron &amp; Steel and metals"/>
    <s v="Shipbuilding"/>
    <s v="Petroleum and petroleum products"/>
    <s v="-"/>
    <m/>
    <m/>
    <s v="100km from Shah Amanat International Airport"/>
    <s v="100km from Chittagong Railway Station"/>
    <s v="98km from Chittagong Port"/>
    <m/>
    <n v="358.63"/>
    <n v="73000"/>
    <m/>
    <n v="47963.27"/>
    <m/>
    <m/>
    <m/>
    <m/>
    <m/>
    <m/>
  </r>
  <r>
    <x v="28"/>
    <x v="28"/>
    <x v="1"/>
    <s v="Cox’s Bazar"/>
    <s v="Moheshkhali"/>
    <s v="Government"/>
    <x v="1"/>
    <x v="0"/>
    <x v="0"/>
    <s v="Yes"/>
    <m/>
    <m/>
    <m/>
    <m/>
    <m/>
    <m/>
    <m/>
    <m/>
    <m/>
    <m/>
    <m/>
    <m/>
    <m/>
    <x v="1"/>
    <s v="N/A"/>
    <s v="N/A"/>
    <m/>
    <m/>
    <n v="827.31"/>
    <s v="-"/>
    <m/>
    <s v="-"/>
    <s v="-"/>
    <s v="N/A"/>
    <s v="N/A"/>
    <s v="N/A"/>
    <n v="0"/>
    <x v="2"/>
    <x v="0"/>
    <m/>
    <m/>
    <m/>
    <m/>
    <m/>
    <m/>
    <m/>
    <m/>
    <m/>
    <m/>
    <s v="-"/>
    <s v="-"/>
    <s v="-"/>
    <s v="-"/>
    <s v="-"/>
    <s v="-"/>
    <s v="-"/>
    <s v="-"/>
    <s v="-"/>
    <m/>
    <m/>
    <m/>
    <m/>
    <m/>
    <m/>
    <m/>
    <m/>
    <m/>
    <m/>
    <m/>
    <m/>
    <m/>
    <m/>
    <m/>
    <m/>
  </r>
  <r>
    <x v="29"/>
    <x v="29"/>
    <x v="1"/>
    <s v="Cox’s Bazar"/>
    <s v="Moheshkhali"/>
    <s v="Government"/>
    <x v="0"/>
    <x v="0"/>
    <x v="1"/>
    <s v="Yes"/>
    <s v="Link"/>
    <m/>
    <m/>
    <m/>
    <m/>
    <m/>
    <m/>
    <m/>
    <m/>
    <s v="Yes"/>
    <n v="2022"/>
    <m/>
    <m/>
    <x v="0"/>
    <s v="N/A"/>
    <s v="N/A"/>
    <m/>
    <s v="Feasibility or Pre feasibility"/>
    <n v="1501.04"/>
    <s v="-"/>
    <m/>
    <s v="-"/>
    <n v="1240"/>
    <s v="N/A"/>
    <s v="N/A"/>
    <s v="N/A"/>
    <n v="9.5233925809181899E-2"/>
    <x v="0"/>
    <x v="0"/>
    <m/>
    <m/>
    <m/>
    <m/>
    <m/>
    <m/>
    <m/>
    <m/>
    <m/>
    <n v="1240"/>
    <s v="Oil Refinery and Petrochemicals"/>
    <s v="Marine Fish Processing"/>
    <s v="Shipbuilding"/>
    <s v="Steel Manufacturing"/>
    <s v="Steel Rerolling"/>
    <s v="Logistics Hub/Gas Bottling"/>
    <s v="Automobile and Heavy Engg."/>
    <s v="-"/>
    <s v="-"/>
    <m/>
    <m/>
    <s v="25.8 km from Cox's Bazar Airport"/>
    <s v="70.7 km from Chittagong Railway station"/>
    <s v="70.3 km from Chittagong sea port_x000a_167.3 km from Payra sea port"/>
    <m/>
    <n v="291.7"/>
    <n v="8594"/>
    <n v="2385698"/>
    <m/>
    <m/>
    <m/>
    <m/>
    <m/>
    <m/>
    <m/>
  </r>
  <r>
    <x v="30"/>
    <x v="30"/>
    <x v="1"/>
    <s v="Cox’s Bazar"/>
    <s v="Kalarmarchara"/>
    <s v="Government"/>
    <x v="1"/>
    <x v="0"/>
    <x v="0"/>
    <s v="Yes"/>
    <m/>
    <m/>
    <m/>
    <m/>
    <m/>
    <m/>
    <m/>
    <m/>
    <m/>
    <m/>
    <m/>
    <m/>
    <m/>
    <x v="1"/>
    <s v="N/A"/>
    <s v="N/A"/>
    <m/>
    <m/>
    <n v="3980.07"/>
    <s v="-"/>
    <m/>
    <s v="-"/>
    <s v="-"/>
    <s v="N/A"/>
    <s v="N/A"/>
    <s v="N/A"/>
    <n v="0"/>
    <x v="2"/>
    <x v="0"/>
    <m/>
    <m/>
    <m/>
    <m/>
    <m/>
    <m/>
    <m/>
    <m/>
    <m/>
    <m/>
    <s v="-"/>
    <s v="-"/>
    <s v="-"/>
    <s v="-"/>
    <s v="-"/>
    <s v="-"/>
    <s v="-"/>
    <s v="-"/>
    <s v="-"/>
    <m/>
    <m/>
    <m/>
    <m/>
    <m/>
    <m/>
    <m/>
    <m/>
    <m/>
    <m/>
    <m/>
    <m/>
    <m/>
    <m/>
    <m/>
    <m/>
  </r>
  <r>
    <x v="31"/>
    <x v="31"/>
    <x v="1"/>
    <s v="Cox’s Bazar"/>
    <s v="Moheshkhali"/>
    <s v="Government"/>
    <x v="1"/>
    <x v="0"/>
    <x v="0"/>
    <s v="Yes"/>
    <m/>
    <m/>
    <m/>
    <m/>
    <m/>
    <m/>
    <m/>
    <m/>
    <m/>
    <m/>
    <m/>
    <m/>
    <m/>
    <x v="1"/>
    <s v="N/A"/>
    <s v="N/A"/>
    <m/>
    <m/>
    <m/>
    <s v="-"/>
    <m/>
    <s v="-"/>
    <s v="-"/>
    <s v="N/A"/>
    <s v="N/A"/>
    <s v="N/A"/>
    <s v=""/>
    <x v="1"/>
    <x v="0"/>
    <m/>
    <m/>
    <m/>
    <m/>
    <m/>
    <m/>
    <m/>
    <m/>
    <m/>
    <m/>
    <s v="-"/>
    <s v="-"/>
    <s v="-"/>
    <s v="-"/>
    <s v="-"/>
    <s v="-"/>
    <s v="-"/>
    <s v="-"/>
    <s v="-"/>
    <m/>
    <m/>
    <m/>
    <m/>
    <m/>
    <m/>
    <m/>
    <m/>
    <m/>
    <m/>
    <m/>
    <m/>
    <m/>
    <m/>
    <m/>
    <m/>
  </r>
  <r>
    <x v="32"/>
    <x v="32"/>
    <x v="1"/>
    <s v="Cox’s Bazar"/>
    <s v="Moheshkhali"/>
    <s v="Government"/>
    <x v="3"/>
    <x v="0"/>
    <x v="1"/>
    <s v="Yes"/>
    <s v="Link"/>
    <m/>
    <m/>
    <m/>
    <m/>
    <m/>
    <m/>
    <m/>
    <m/>
    <s v="Yes"/>
    <n v="2021"/>
    <m/>
    <m/>
    <x v="0"/>
    <s v="N/A"/>
    <s v="N/A"/>
    <m/>
    <s v="Feasibility or Pre feasibility"/>
    <n v="12962.22"/>
    <s v="-"/>
    <m/>
    <s v="-"/>
    <n v="8967"/>
    <s v="N/A"/>
    <s v="N/A"/>
    <s v="N/A"/>
    <n v="0.18218705453271899"/>
    <x v="0"/>
    <x v="0"/>
    <m/>
    <m/>
    <m/>
    <m/>
    <m/>
    <m/>
    <m/>
    <m/>
    <m/>
    <n v="8967"/>
    <s v="Tourism"/>
    <s v="-"/>
    <s v="-"/>
    <s v="-"/>
    <s v="-"/>
    <s v="-"/>
    <s v="-"/>
    <s v="-"/>
    <s v="-"/>
    <m/>
    <m/>
    <s v="110 km from Cox’s Bazar domestic airport"/>
    <s v="120 km from Chittagong Railway Station"/>
    <s v="124 km from Chittagong Port"/>
    <m/>
    <n v="35.76"/>
    <n v="3464.97"/>
    <m/>
    <m/>
    <m/>
    <m/>
    <m/>
    <m/>
    <m/>
    <m/>
  </r>
  <r>
    <x v="33"/>
    <x v="33"/>
    <x v="7"/>
    <s v="Bagerhat"/>
    <s v="Mongla"/>
    <s v="Government"/>
    <x v="0"/>
    <x v="0"/>
    <x v="1"/>
    <s v="Yes"/>
    <s v="Link"/>
    <m/>
    <m/>
    <m/>
    <m/>
    <m/>
    <m/>
    <m/>
    <m/>
    <s v="Yes"/>
    <m/>
    <m/>
    <m/>
    <x v="0"/>
    <s v="N/A"/>
    <s v="N/A"/>
    <m/>
    <s v="Feasibility or Pre feasibility"/>
    <n v="205"/>
    <s v="-"/>
    <m/>
    <s v="-"/>
    <n v="205"/>
    <s v="N/A"/>
    <s v="N/A"/>
    <s v="N/A"/>
    <n v="0"/>
    <x v="2"/>
    <x v="0"/>
    <m/>
    <n v="1"/>
    <n v="119.66"/>
    <m/>
    <n v="27.66"/>
    <n v="4.96"/>
    <n v="3.79"/>
    <n v="26.12"/>
    <n v="22.909999999999997"/>
    <n v="205.1"/>
    <s v="Textiles and RMG"/>
    <s v="Food processing"/>
    <s v="Light engineering"/>
    <s v="-"/>
    <s v="-"/>
    <s v="-"/>
    <s v="-"/>
    <s v="-"/>
    <s v="-"/>
    <m/>
    <m/>
    <s v="105km from Jessore airport"/>
    <m/>
    <s v="Adjacent to Mongla Port"/>
    <m/>
    <n v="19.8"/>
    <n v="3303.82"/>
    <m/>
    <n v="2242.7399999999998"/>
    <m/>
    <m/>
    <m/>
    <m/>
    <m/>
    <m/>
  </r>
  <r>
    <x v="34"/>
    <x v="34"/>
    <x v="6"/>
    <s v="Mymensingh"/>
    <s v="Mymensingh Sadar"/>
    <s v="Government"/>
    <x v="2"/>
    <x v="0"/>
    <x v="0"/>
    <s v="Yes"/>
    <m/>
    <s v="Yes"/>
    <n v="2016"/>
    <m/>
    <m/>
    <m/>
    <m/>
    <m/>
    <m/>
    <m/>
    <m/>
    <m/>
    <m/>
    <x v="1"/>
    <s v="N/A"/>
    <s v="N/A"/>
    <m/>
    <s v="Site Visit Report"/>
    <n v="494"/>
    <n v="494"/>
    <m/>
    <s v="-"/>
    <s v="-"/>
    <s v="N/A"/>
    <s v="N/A"/>
    <s v="N/A"/>
    <n v="0"/>
    <x v="2"/>
    <x v="0"/>
    <m/>
    <m/>
    <m/>
    <m/>
    <m/>
    <m/>
    <m/>
    <m/>
    <m/>
    <m/>
    <s v="-"/>
    <s v="-"/>
    <s v="-"/>
    <s v="-"/>
    <s v="-"/>
    <s v="-"/>
    <s v="-"/>
    <s v="-"/>
    <s v="-"/>
    <m/>
    <m/>
    <m/>
    <m/>
    <m/>
    <m/>
    <m/>
    <m/>
    <m/>
    <m/>
    <m/>
    <m/>
    <m/>
    <m/>
    <m/>
    <m/>
  </r>
  <r>
    <x v="35"/>
    <x v="35"/>
    <x v="6"/>
    <s v="Mymensingh"/>
    <s v="Ishwarganj"/>
    <s v="Government"/>
    <x v="1"/>
    <x v="0"/>
    <x v="0"/>
    <s v="Yes"/>
    <m/>
    <m/>
    <m/>
    <m/>
    <m/>
    <m/>
    <m/>
    <m/>
    <m/>
    <m/>
    <m/>
    <m/>
    <m/>
    <x v="1"/>
    <s v="N/A"/>
    <s v="N/A"/>
    <m/>
    <m/>
    <n v="487.77"/>
    <s v="-"/>
    <m/>
    <s v="-"/>
    <s v="-"/>
    <s v="N/A"/>
    <s v="N/A"/>
    <s v="N/A"/>
    <n v="0"/>
    <x v="2"/>
    <x v="0"/>
    <m/>
    <m/>
    <m/>
    <m/>
    <m/>
    <m/>
    <m/>
    <m/>
    <m/>
    <m/>
    <s v="-"/>
    <s v="-"/>
    <s v="-"/>
    <s v="-"/>
    <s v="-"/>
    <s v="-"/>
    <s v="-"/>
    <s v="-"/>
    <s v="-"/>
    <m/>
    <m/>
    <m/>
    <m/>
    <m/>
    <m/>
    <m/>
    <m/>
    <m/>
    <m/>
    <m/>
    <m/>
    <m/>
    <m/>
    <m/>
    <m/>
  </r>
  <r>
    <x v="36"/>
    <x v="36"/>
    <x v="1"/>
    <s v="Cox’s Bazar"/>
    <s v="Teknaf"/>
    <s v="Government"/>
    <x v="3"/>
    <x v="0"/>
    <x v="1"/>
    <s v="Yes"/>
    <s v="Link"/>
    <m/>
    <m/>
    <s v="Yes"/>
    <n v="2015"/>
    <s v="Yes"/>
    <n v="2016"/>
    <m/>
    <m/>
    <m/>
    <m/>
    <m/>
    <m/>
    <x v="0"/>
    <s v="N/A"/>
    <s v="N/A"/>
    <m/>
    <s v="Feasibility or Pre feasibility"/>
    <n v="271.93"/>
    <s v="-"/>
    <n v="271.93"/>
    <n v="271.93"/>
    <s v="-"/>
    <s v="N/A"/>
    <s v="N/A"/>
    <s v="N/A"/>
    <n v="0"/>
    <x v="2"/>
    <x v="0"/>
    <m/>
    <m/>
    <m/>
    <m/>
    <m/>
    <m/>
    <m/>
    <m/>
    <m/>
    <n v="271.93"/>
    <s v="Tourism"/>
    <s v="-"/>
    <s v="-"/>
    <s v="-"/>
    <s v="-"/>
    <s v="-"/>
    <s v="-"/>
    <s v="-"/>
    <s v="-"/>
    <m/>
    <m/>
    <s v="80km from Cox's Bazar Airport"/>
    <s v="160km from Dohazari railway station"/>
    <m/>
    <m/>
    <m/>
    <m/>
    <m/>
    <m/>
    <m/>
    <m/>
    <m/>
    <m/>
    <m/>
    <m/>
  </r>
  <r>
    <x v="37"/>
    <x v="37"/>
    <x v="2"/>
    <s v="Narayanganj"/>
    <s v="Bandar and Sonargaon"/>
    <s v="Government"/>
    <x v="2"/>
    <x v="0"/>
    <x v="0"/>
    <s v="Yes"/>
    <m/>
    <s v="Yes"/>
    <n v="2021"/>
    <s v="Yes"/>
    <n v="2015"/>
    <s v="Yes"/>
    <n v="2016"/>
    <m/>
    <m/>
    <m/>
    <m/>
    <m/>
    <m/>
    <x v="0"/>
    <s v="N/A"/>
    <s v="N/A"/>
    <m/>
    <s v="Site Visit Report"/>
    <n v="875.65"/>
    <n v="193.66"/>
    <n v="885.84"/>
    <s v="N/A"/>
    <s v="-"/>
    <s v="N/A"/>
    <s v="N/A"/>
    <s v="N/A"/>
    <n v="0.49702839609499394"/>
    <x v="0"/>
    <x v="3"/>
    <m/>
    <m/>
    <m/>
    <m/>
    <m/>
    <m/>
    <m/>
    <m/>
    <m/>
    <m/>
    <s v="-"/>
    <s v="-"/>
    <s v="-"/>
    <s v="-"/>
    <s v="-"/>
    <s v="-"/>
    <s v="-"/>
    <s v="-"/>
    <s v="-"/>
    <m/>
    <m/>
    <m/>
    <m/>
    <m/>
    <m/>
    <m/>
    <m/>
    <m/>
    <m/>
    <m/>
    <m/>
    <m/>
    <m/>
    <m/>
    <m/>
  </r>
  <r>
    <x v="38"/>
    <x v="38"/>
    <x v="2"/>
    <s v="Narayanganj"/>
    <s v="Sonargaon"/>
    <s v="Government"/>
    <x v="1"/>
    <x v="0"/>
    <x v="0"/>
    <s v="Yes"/>
    <m/>
    <s v="Yes"/>
    <n v="2021"/>
    <m/>
    <m/>
    <m/>
    <m/>
    <m/>
    <m/>
    <m/>
    <m/>
    <m/>
    <m/>
    <x v="1"/>
    <s v="N/A"/>
    <s v="N/A"/>
    <m/>
    <m/>
    <n v="1000"/>
    <s v="-"/>
    <m/>
    <s v="-"/>
    <s v="-"/>
    <s v="N/A"/>
    <s v="N/A"/>
    <s v="N/A"/>
    <n v="0"/>
    <x v="2"/>
    <x v="0"/>
    <m/>
    <m/>
    <m/>
    <m/>
    <m/>
    <m/>
    <m/>
    <m/>
    <m/>
    <m/>
    <s v="-"/>
    <s v="-"/>
    <s v="-"/>
    <s v="-"/>
    <s v="-"/>
    <s v="-"/>
    <s v="-"/>
    <s v="-"/>
    <s v="-"/>
    <m/>
    <m/>
    <m/>
    <m/>
    <m/>
    <m/>
    <m/>
    <m/>
    <m/>
    <m/>
    <m/>
    <m/>
    <m/>
    <m/>
    <m/>
    <m/>
  </r>
  <r>
    <x v="39"/>
    <x v="39"/>
    <x v="3"/>
    <s v="Natore"/>
    <s v="Lalpur"/>
    <s v="Government"/>
    <x v="1"/>
    <x v="0"/>
    <x v="0"/>
    <s v="Yes"/>
    <m/>
    <m/>
    <m/>
    <m/>
    <m/>
    <s v="Yes"/>
    <n v="2018"/>
    <m/>
    <m/>
    <m/>
    <m/>
    <m/>
    <m/>
    <x v="0"/>
    <s v="N/A"/>
    <s v="N/A"/>
    <m/>
    <m/>
    <n v="3220"/>
    <s v="-"/>
    <m/>
    <n v="300"/>
    <s v="-"/>
    <s v="N/A"/>
    <s v="N/A"/>
    <s v="N/A"/>
    <n v="0.82954545454545459"/>
    <x v="2"/>
    <x v="0"/>
    <m/>
    <m/>
    <m/>
    <m/>
    <m/>
    <m/>
    <m/>
    <m/>
    <m/>
    <m/>
    <s v="-"/>
    <s v="-"/>
    <s v="-"/>
    <s v="-"/>
    <s v="-"/>
    <s v="-"/>
    <s v="-"/>
    <s v="-"/>
    <s v="-"/>
    <m/>
    <m/>
    <m/>
    <m/>
    <m/>
    <m/>
    <m/>
    <m/>
    <m/>
    <m/>
    <m/>
    <m/>
    <m/>
    <m/>
    <m/>
    <m/>
  </r>
  <r>
    <x v="40"/>
    <x v="40"/>
    <x v="3"/>
    <s v="Natore"/>
    <s v="Nator Sadar"/>
    <s v="Government"/>
    <x v="1"/>
    <x v="0"/>
    <x v="3"/>
    <s v="Yes"/>
    <m/>
    <m/>
    <m/>
    <m/>
    <m/>
    <m/>
    <m/>
    <m/>
    <m/>
    <m/>
    <m/>
    <m/>
    <m/>
    <x v="1"/>
    <s v="N/A"/>
    <s v="N/A"/>
    <m/>
    <m/>
    <m/>
    <s v="-"/>
    <m/>
    <s v="-"/>
    <s v="-"/>
    <s v="N/A"/>
    <s v="N/A"/>
    <s v="N/A"/>
    <s v=""/>
    <x v="1"/>
    <x v="4"/>
    <m/>
    <m/>
    <m/>
    <m/>
    <m/>
    <m/>
    <m/>
    <m/>
    <m/>
    <m/>
    <s v="-"/>
    <s v="-"/>
    <s v="-"/>
    <s v="-"/>
    <s v="-"/>
    <s v="-"/>
    <s v="-"/>
    <s v="-"/>
    <s v="-"/>
    <m/>
    <m/>
    <m/>
    <m/>
    <m/>
    <m/>
    <m/>
    <m/>
    <m/>
    <m/>
    <m/>
    <m/>
    <m/>
    <m/>
    <m/>
    <m/>
  </r>
  <r>
    <x v="41"/>
    <x v="41"/>
    <x v="2"/>
    <s v="Dhaka"/>
    <s v="Nawabganj"/>
    <s v="Government"/>
    <x v="0"/>
    <x v="0"/>
    <x v="1"/>
    <s v="Yes"/>
    <m/>
    <s v="Yes"/>
    <n v="2019"/>
    <m/>
    <m/>
    <s v="Yes"/>
    <n v="2021"/>
    <m/>
    <m/>
    <m/>
    <m/>
    <m/>
    <m/>
    <x v="0"/>
    <s v="N/A"/>
    <s v="N/A"/>
    <m/>
    <s v="Feasibility or Pre feasibility + Site Visit Report"/>
    <m/>
    <n v="600"/>
    <m/>
    <n v="874"/>
    <s v="-"/>
    <s v="N/A"/>
    <s v="N/A"/>
    <s v="N/A"/>
    <n v="0.18588873812754408"/>
    <x v="0"/>
    <x v="0"/>
    <m/>
    <n v="1"/>
    <n v="588.80999999999995"/>
    <m/>
    <n v="104.44000000000001"/>
    <n v="65.67"/>
    <n v="18.88"/>
    <n v="96.14"/>
    <m/>
    <n v="873.93999999999994"/>
    <s v="Textiles and RMG"/>
    <s v="Food and Beverage"/>
    <s v="Leather Goods"/>
    <s v="Plastic and Rubber"/>
    <s v="Chemicals"/>
    <s v="Non-Metallic mineral products"/>
    <s v="Electrical and Electronics"/>
    <s v="Pharmaceuticals"/>
    <s v="Light Machinery, Equipment and Furniture"/>
    <m/>
    <m/>
    <s v="39km from Hazrat Shahjalal International Airport"/>
    <s v="39km from Kamalapur Railway Station"/>
    <s v="256km from Chittagong Port_x000a_38km from Narayanganj river port_x000a_91km from Naraynganj River Port"/>
    <s v="122km from Bibirbazar land port"/>
    <n v="97"/>
    <n v="18000"/>
    <n v="40300"/>
    <n v="2000"/>
    <m/>
    <m/>
    <m/>
    <m/>
    <m/>
    <m/>
  </r>
  <r>
    <x v="42"/>
    <x v="42"/>
    <x v="6"/>
    <s v="Netrakona"/>
    <s v="Netrakona Sadar"/>
    <s v="Government"/>
    <x v="0"/>
    <x v="0"/>
    <x v="2"/>
    <s v="Yes"/>
    <m/>
    <m/>
    <m/>
    <m/>
    <m/>
    <m/>
    <m/>
    <m/>
    <m/>
    <s v="Yes"/>
    <n v="2021"/>
    <m/>
    <m/>
    <x v="0"/>
    <s v="N/A"/>
    <s v="N/A"/>
    <m/>
    <s v="Feasibility or Pre feasibility"/>
    <n v="266.755"/>
    <s v="-"/>
    <m/>
    <s v="-"/>
    <n v="500"/>
    <s v="N/A"/>
    <s v="N/A"/>
    <s v="N/A"/>
    <n v="0.30419755984636571"/>
    <x v="0"/>
    <x v="0"/>
    <m/>
    <n v="1.2954777070063694"/>
    <n v="203.39"/>
    <m/>
    <m/>
    <m/>
    <m/>
    <m/>
    <m/>
    <n v="500"/>
    <s v="Textiles and RMG"/>
    <s v="Pharmaceuticals"/>
    <s v="Ceramic"/>
    <s v="Agro based"/>
    <s v="Light engineering"/>
    <s v="SMEs"/>
    <s v="-"/>
    <s v="-"/>
    <s v="-"/>
    <m/>
    <m/>
    <s v="150km from Hazrat Shahjalal International Airport"/>
    <s v="Adjacent to Netrokona railway line"/>
    <m/>
    <m/>
    <n v="42.85"/>
    <m/>
    <n v="40000"/>
    <m/>
    <m/>
    <m/>
    <m/>
    <m/>
    <m/>
    <m/>
  </r>
  <r>
    <x v="43"/>
    <x v="43"/>
    <x v="4"/>
    <s v="Nilphamari"/>
    <s v="Nilphamari Sadar"/>
    <s v="Government"/>
    <x v="0"/>
    <x v="0"/>
    <x v="2"/>
    <s v="Yes"/>
    <m/>
    <m/>
    <m/>
    <s v="Yes"/>
    <n v="2015"/>
    <s v="Yes"/>
    <n v="2021"/>
    <m/>
    <m/>
    <m/>
    <m/>
    <m/>
    <m/>
    <x v="0"/>
    <s v="N/A"/>
    <s v="N/A"/>
    <m/>
    <s v="Feasibility or Pre feasibility"/>
    <n v="357.76"/>
    <s v="-"/>
    <n v="357.76"/>
    <n v="357.76"/>
    <s v="-"/>
    <s v="N/A"/>
    <s v="N/A"/>
    <s v="N/A"/>
    <n v="0"/>
    <x v="2"/>
    <x v="0"/>
    <m/>
    <n v="1"/>
    <n v="238.09"/>
    <m/>
    <n v="48.139999999999993"/>
    <n v="12.68"/>
    <n v="14.35"/>
    <n v="44.5"/>
    <m/>
    <n v="357.76000000000005"/>
    <s v="Textiles and RMG"/>
    <s v="Food and Beverage"/>
    <s v="Agro based"/>
    <s v="Electrical and Electronics"/>
    <s v="Pharmaceuticals"/>
    <s v="Light Machinery, Equipment and Furniture"/>
    <s v="-"/>
    <s v="-"/>
    <s v="-"/>
    <m/>
    <m/>
    <s v="10km from Saidpur Airport"/>
    <s v="16km from Nilfamari railway station"/>
    <s v="484km from Mongla Port"/>
    <s v="72km from Hilli land port"/>
    <n v="41"/>
    <n v="8174.79"/>
    <n v="16300"/>
    <n v="629.75"/>
    <m/>
    <m/>
    <m/>
    <m/>
    <m/>
    <m/>
  </r>
  <r>
    <x v="44"/>
    <x v="44"/>
    <x v="1"/>
    <s v="Noakhali"/>
    <s v="Companiganj"/>
    <s v="Government"/>
    <x v="2"/>
    <x v="0"/>
    <x v="0"/>
    <s v="Yes"/>
    <m/>
    <s v="Yes"/>
    <n v="2019"/>
    <m/>
    <m/>
    <m/>
    <m/>
    <m/>
    <m/>
    <m/>
    <m/>
    <m/>
    <m/>
    <x v="1"/>
    <s v="N/A"/>
    <s v="N/A"/>
    <m/>
    <s v="Site Visit Report"/>
    <m/>
    <n v="350"/>
    <m/>
    <s v="-"/>
    <s v="-"/>
    <s v="N/A"/>
    <s v="N/A"/>
    <s v="N/A"/>
    <n v="0"/>
    <x v="2"/>
    <x v="0"/>
    <m/>
    <m/>
    <m/>
    <m/>
    <m/>
    <m/>
    <m/>
    <m/>
    <m/>
    <m/>
    <s v="-"/>
    <s v="-"/>
    <s v="-"/>
    <s v="-"/>
    <s v="-"/>
    <s v="-"/>
    <s v="-"/>
    <s v="-"/>
    <s v="-"/>
    <m/>
    <m/>
    <m/>
    <m/>
    <m/>
    <m/>
    <m/>
    <m/>
    <m/>
    <m/>
    <m/>
    <m/>
    <m/>
    <m/>
    <m/>
    <m/>
  </r>
  <r>
    <x v="45"/>
    <x v="45"/>
    <x v="2"/>
    <s v="Narsingdi"/>
    <s v="Narsingdi Sadar"/>
    <s v="Government"/>
    <x v="1"/>
    <x v="0"/>
    <x v="0"/>
    <s v="Yes"/>
    <m/>
    <m/>
    <m/>
    <m/>
    <m/>
    <m/>
    <m/>
    <m/>
    <m/>
    <m/>
    <m/>
    <m/>
    <m/>
    <x v="1"/>
    <s v="N/A"/>
    <s v="N/A"/>
    <m/>
    <m/>
    <n v="690.20159999999998"/>
    <s v="-"/>
    <m/>
    <s v="-"/>
    <s v="-"/>
    <s v="N/A"/>
    <s v="N/A"/>
    <s v="N/A"/>
    <n v="0"/>
    <x v="2"/>
    <x v="0"/>
    <m/>
    <m/>
    <m/>
    <m/>
    <m/>
    <m/>
    <m/>
    <m/>
    <m/>
    <m/>
    <s v="-"/>
    <s v="-"/>
    <s v="-"/>
    <s v="-"/>
    <s v="-"/>
    <s v="-"/>
    <s v="-"/>
    <s v="-"/>
    <s v="-"/>
    <m/>
    <m/>
    <m/>
    <m/>
    <m/>
    <m/>
    <m/>
    <m/>
    <m/>
    <m/>
    <m/>
    <m/>
    <m/>
    <m/>
    <m/>
    <m/>
  </r>
  <r>
    <x v="46"/>
    <x v="46"/>
    <x v="3"/>
    <s v="Pabna"/>
    <s v="Bera"/>
    <s v="Government"/>
    <x v="1"/>
    <x v="0"/>
    <x v="0"/>
    <s v="Yes"/>
    <m/>
    <m/>
    <m/>
    <m/>
    <m/>
    <m/>
    <m/>
    <m/>
    <m/>
    <m/>
    <m/>
    <m/>
    <m/>
    <x v="1"/>
    <s v="N/A"/>
    <s v="N/A"/>
    <m/>
    <m/>
    <m/>
    <s v="-"/>
    <m/>
    <s v="-"/>
    <s v="-"/>
    <s v="N/A"/>
    <s v="N/A"/>
    <s v="N/A"/>
    <s v=""/>
    <x v="1"/>
    <x v="0"/>
    <m/>
    <m/>
    <m/>
    <m/>
    <m/>
    <m/>
    <m/>
    <m/>
    <m/>
    <m/>
    <s v="-"/>
    <s v="-"/>
    <s v="-"/>
    <s v="-"/>
    <s v="-"/>
    <s v="-"/>
    <s v="-"/>
    <s v="-"/>
    <s v="-"/>
    <m/>
    <m/>
    <m/>
    <m/>
    <m/>
    <m/>
    <m/>
    <m/>
    <m/>
    <m/>
    <m/>
    <m/>
    <m/>
    <m/>
    <m/>
    <m/>
  </r>
  <r>
    <x v="47"/>
    <x v="47"/>
    <x v="4"/>
    <s v="Panchagarh"/>
    <s v="Debiganj"/>
    <s v="Government"/>
    <x v="0"/>
    <x v="0"/>
    <x v="2"/>
    <s v="Yes"/>
    <m/>
    <m/>
    <m/>
    <s v="Yes"/>
    <n v="2015"/>
    <s v="Yes"/>
    <n v="2021"/>
    <m/>
    <m/>
    <m/>
    <m/>
    <m/>
    <m/>
    <x v="0"/>
    <s v="N/A"/>
    <s v="N/A"/>
    <m/>
    <s v="Feasibility or Pre feasibility"/>
    <n v="595.01"/>
    <s v="-"/>
    <n v="595.01"/>
    <n v="580"/>
    <s v="-"/>
    <s v="N/A"/>
    <s v="N/A"/>
    <s v="N/A"/>
    <n v="1.19927150943041E-2"/>
    <x v="2"/>
    <x v="0"/>
    <m/>
    <n v="1"/>
    <n v="360.04"/>
    <m/>
    <n v="76.12"/>
    <n v="29.65"/>
    <n v="12.36"/>
    <n v="56.83"/>
    <m/>
    <n v="535"/>
    <s v="Textiles and RMG"/>
    <s v="Food and Beverage"/>
    <s v="Agro based"/>
    <s v="Plastic and Rubber"/>
    <s v="Chemicals"/>
    <s v="-"/>
    <s v="-"/>
    <s v="-"/>
    <s v="-"/>
    <m/>
    <m/>
    <s v="45km from Saidpur Airport"/>
    <s v="7km from Domar railway station_x000a_20km from Nilfamari railway station"/>
    <s v="520km from Mongla Port_x000a_280 km from Baghabari river port"/>
    <s v="79km from Burimari land port"/>
    <n v="62"/>
    <n v="12300"/>
    <n v="24680"/>
    <n v="6000"/>
    <m/>
    <m/>
    <m/>
    <m/>
    <m/>
    <m/>
  </r>
  <r>
    <x v="48"/>
    <x v="48"/>
    <x v="1"/>
    <s v="Chattogram"/>
    <s v="Patia"/>
    <s v="Government"/>
    <x v="1"/>
    <x v="0"/>
    <x v="0"/>
    <s v="Yes"/>
    <m/>
    <m/>
    <m/>
    <m/>
    <m/>
    <m/>
    <m/>
    <m/>
    <m/>
    <m/>
    <m/>
    <m/>
    <m/>
    <x v="1"/>
    <s v="N/A"/>
    <s v="N/A"/>
    <m/>
    <m/>
    <n v="774.48"/>
    <s v="-"/>
    <m/>
    <s v="-"/>
    <s v="-"/>
    <s v="N/A"/>
    <s v="N/A"/>
    <s v="N/A"/>
    <n v="0"/>
    <x v="2"/>
    <x v="0"/>
    <m/>
    <m/>
    <m/>
    <m/>
    <m/>
    <m/>
    <m/>
    <m/>
    <m/>
    <m/>
    <s v="-"/>
    <s v="-"/>
    <s v="-"/>
    <s v="-"/>
    <s v="-"/>
    <s v="-"/>
    <s v="-"/>
    <s v="-"/>
    <s v="-"/>
    <m/>
    <m/>
    <m/>
    <m/>
    <m/>
    <m/>
    <m/>
    <m/>
    <m/>
    <m/>
    <m/>
    <m/>
    <m/>
    <m/>
    <m/>
    <m/>
  </r>
  <r>
    <x v="49"/>
    <x v="49"/>
    <x v="3"/>
    <s v="Rajshahi"/>
    <s v="Paba"/>
    <s v="Government"/>
    <x v="1"/>
    <x v="0"/>
    <x v="0"/>
    <s v="Yes"/>
    <m/>
    <m/>
    <m/>
    <m/>
    <m/>
    <m/>
    <m/>
    <m/>
    <m/>
    <m/>
    <m/>
    <m/>
    <m/>
    <x v="1"/>
    <s v="N/A"/>
    <s v="N/A"/>
    <m/>
    <m/>
    <n v="204.06"/>
    <s v="-"/>
    <m/>
    <s v="-"/>
    <s v="-"/>
    <s v="N/A"/>
    <s v="N/A"/>
    <s v="N/A"/>
    <n v="0"/>
    <x v="2"/>
    <x v="0"/>
    <m/>
    <m/>
    <m/>
    <m/>
    <m/>
    <m/>
    <m/>
    <m/>
    <m/>
    <m/>
    <s v="-"/>
    <s v="-"/>
    <s v="-"/>
    <s v="-"/>
    <s v="-"/>
    <s v="-"/>
    <s v="-"/>
    <s v="-"/>
    <s v="-"/>
    <m/>
    <m/>
    <m/>
    <m/>
    <m/>
    <m/>
    <m/>
    <m/>
    <m/>
    <m/>
    <m/>
    <m/>
    <m/>
    <m/>
    <m/>
    <m/>
  </r>
  <r>
    <x v="50"/>
    <x v="50"/>
    <x v="7"/>
    <s v="Bagerhat"/>
    <s v="Rampal"/>
    <s v="Government"/>
    <x v="1"/>
    <x v="0"/>
    <x v="0"/>
    <s v="Yes"/>
    <m/>
    <m/>
    <m/>
    <m/>
    <m/>
    <m/>
    <m/>
    <m/>
    <m/>
    <m/>
    <m/>
    <m/>
    <m/>
    <x v="1"/>
    <s v="N/A"/>
    <s v="N/A"/>
    <m/>
    <m/>
    <n v="300"/>
    <s v="-"/>
    <m/>
    <s v="-"/>
    <s v="-"/>
    <s v="N/A"/>
    <s v="N/A"/>
    <s v="N/A"/>
    <n v="0"/>
    <x v="2"/>
    <x v="0"/>
    <m/>
    <m/>
    <m/>
    <m/>
    <m/>
    <m/>
    <m/>
    <m/>
    <m/>
    <m/>
    <s v="-"/>
    <s v="-"/>
    <s v="-"/>
    <s v="-"/>
    <s v="-"/>
    <s v="-"/>
    <s v="-"/>
    <s v="-"/>
    <s v="-"/>
    <m/>
    <m/>
    <m/>
    <m/>
    <m/>
    <m/>
    <m/>
    <m/>
    <m/>
    <m/>
    <m/>
    <m/>
    <m/>
    <m/>
    <m/>
    <m/>
  </r>
  <r>
    <x v="51"/>
    <x v="51"/>
    <x v="1"/>
    <s v="Cox’s Bazar"/>
    <s v="Teknaf"/>
    <s v="Government"/>
    <x v="3"/>
    <x v="0"/>
    <x v="1"/>
    <s v="Yes"/>
    <s v="Link"/>
    <m/>
    <m/>
    <s v="Yes"/>
    <n v="2015"/>
    <s v="Yes"/>
    <n v="2016"/>
    <m/>
    <m/>
    <s v="Yes"/>
    <m/>
    <m/>
    <m/>
    <x v="0"/>
    <s v="N/A"/>
    <s v="N/A"/>
    <m/>
    <s v="There is a feasibility report but it has no quantitative data"/>
    <n v="1027.56"/>
    <s v="-"/>
    <n v="1027"/>
    <n v="774.43"/>
    <n v="1027.56"/>
    <s v="N/A"/>
    <s v="N/A"/>
    <s v="N/A"/>
    <n v="0.11360196527186577"/>
    <x v="0"/>
    <x v="5"/>
    <m/>
    <m/>
    <m/>
    <m/>
    <m/>
    <m/>
    <m/>
    <m/>
    <m/>
    <m/>
    <s v="Tourism"/>
    <s v="-"/>
    <s v="-"/>
    <s v="-"/>
    <s v="-"/>
    <s v="-"/>
    <s v="-"/>
    <s v="-"/>
    <s v="-"/>
    <m/>
    <m/>
    <m/>
    <m/>
    <m/>
    <m/>
    <m/>
    <m/>
    <m/>
    <m/>
    <m/>
    <m/>
    <m/>
    <m/>
    <m/>
    <m/>
  </r>
  <r>
    <x v="52"/>
    <x v="52"/>
    <x v="1"/>
    <s v="Chottogram"/>
    <s v="Sandwip"/>
    <s v="Government"/>
    <x v="1"/>
    <x v="0"/>
    <x v="0"/>
    <s v="Yes"/>
    <m/>
    <m/>
    <m/>
    <m/>
    <m/>
    <m/>
    <m/>
    <m/>
    <m/>
    <m/>
    <m/>
    <m/>
    <m/>
    <x v="1"/>
    <s v="N/A"/>
    <s v="N/A"/>
    <m/>
    <m/>
    <m/>
    <s v="-"/>
    <m/>
    <s v="-"/>
    <s v="-"/>
    <s v="N/A"/>
    <s v="N/A"/>
    <s v="N/A"/>
    <s v=""/>
    <x v="1"/>
    <x v="0"/>
    <m/>
    <m/>
    <m/>
    <m/>
    <m/>
    <m/>
    <m/>
    <m/>
    <m/>
    <m/>
    <s v="-"/>
    <s v="-"/>
    <s v="-"/>
    <s v="-"/>
    <s v="-"/>
    <s v="-"/>
    <s v="-"/>
    <s v="-"/>
    <s v="-"/>
    <m/>
    <m/>
    <m/>
    <m/>
    <m/>
    <m/>
    <m/>
    <m/>
    <m/>
    <m/>
    <m/>
    <m/>
    <m/>
    <m/>
    <m/>
    <m/>
  </r>
  <r>
    <x v="53"/>
    <x v="53"/>
    <x v="3"/>
    <s v="Naogaon"/>
    <s v="Sapahar"/>
    <s v="Government"/>
    <x v="1"/>
    <x v="0"/>
    <x v="0"/>
    <s v="Yes"/>
    <m/>
    <m/>
    <m/>
    <m/>
    <m/>
    <m/>
    <m/>
    <m/>
    <m/>
    <m/>
    <m/>
    <m/>
    <m/>
    <x v="1"/>
    <s v="N/A"/>
    <s v="N/A"/>
    <m/>
    <m/>
    <m/>
    <s v="-"/>
    <m/>
    <s v="-"/>
    <s v="-"/>
    <s v="N/A"/>
    <s v="N/A"/>
    <s v="N/A"/>
    <s v=""/>
    <x v="1"/>
    <x v="0"/>
    <m/>
    <m/>
    <m/>
    <m/>
    <m/>
    <m/>
    <m/>
    <m/>
    <m/>
    <m/>
    <s v="-"/>
    <s v="-"/>
    <s v="-"/>
    <s v="-"/>
    <s v="-"/>
    <s v="-"/>
    <s v="-"/>
    <s v="-"/>
    <s v="-"/>
    <m/>
    <m/>
    <m/>
    <m/>
    <m/>
    <m/>
    <m/>
    <m/>
    <m/>
    <m/>
    <m/>
    <m/>
    <m/>
    <m/>
    <m/>
    <m/>
  </r>
  <r>
    <x v="54"/>
    <x v="54"/>
    <x v="2"/>
    <s v="Shariatpur"/>
    <s v="Gosairhat"/>
    <s v="Government"/>
    <x v="2"/>
    <x v="0"/>
    <x v="0"/>
    <s v="Yes"/>
    <m/>
    <s v="Yes"/>
    <n v="2022"/>
    <s v="Yes"/>
    <n v="2015"/>
    <m/>
    <m/>
    <m/>
    <m/>
    <m/>
    <m/>
    <m/>
    <m/>
    <x v="1"/>
    <s v="N/A"/>
    <s v="N/A"/>
    <m/>
    <s v="Site Visit Report"/>
    <n v="750"/>
    <n v="686"/>
    <n v="525.27"/>
    <s v="-"/>
    <s v="-"/>
    <s v="N/A"/>
    <s v="N/A"/>
    <s v="N/A"/>
    <n v="0.14460444861893945"/>
    <x v="0"/>
    <x v="0"/>
    <m/>
    <m/>
    <m/>
    <m/>
    <m/>
    <m/>
    <m/>
    <m/>
    <m/>
    <m/>
    <s v="-"/>
    <s v="-"/>
    <s v="-"/>
    <s v="-"/>
    <s v="-"/>
    <s v="-"/>
    <s v="-"/>
    <s v="-"/>
    <s v="-"/>
    <m/>
    <m/>
    <m/>
    <m/>
    <m/>
    <m/>
    <m/>
    <m/>
    <m/>
    <m/>
    <m/>
    <m/>
    <m/>
    <m/>
    <m/>
    <m/>
  </r>
  <r>
    <x v="55"/>
    <x v="55"/>
    <x v="2"/>
    <s v="Shariatpur"/>
    <s v="Jajira"/>
    <s v="Government"/>
    <x v="0"/>
    <x v="0"/>
    <x v="0"/>
    <s v="Yes"/>
    <m/>
    <m/>
    <m/>
    <m/>
    <m/>
    <s v="Yes"/>
    <n v="2019"/>
    <m/>
    <m/>
    <m/>
    <m/>
    <m/>
    <m/>
    <x v="0"/>
    <s v="N/A"/>
    <s v="N/A"/>
    <m/>
    <s v="Feasibility or Pre feasibility"/>
    <n v="525.26499999999999"/>
    <s v="-"/>
    <m/>
    <n v="532.14"/>
    <s v="-"/>
    <s v="N/A"/>
    <s v="N/A"/>
    <s v="N/A"/>
    <n v="6.5017661161049928E-3"/>
    <x v="2"/>
    <x v="0"/>
    <m/>
    <n v="1"/>
    <n v="349.13"/>
    <m/>
    <n v="76.7"/>
    <n v="17.739999999999998"/>
    <n v="21.54"/>
    <n v="52.96"/>
    <n v="11.539999999999964"/>
    <n v="529.61"/>
    <s v="Food and Beverage"/>
    <s v="Chemicals"/>
    <s v="Pharmaceuticals"/>
    <s v="Light Machinery, Equipment and Furniture"/>
    <s v="-"/>
    <s v="-"/>
    <s v="-"/>
    <s v="-"/>
    <s v="-"/>
    <m/>
    <m/>
    <s v="80km from Hazrat Shahjalal International Airport"/>
    <s v="65km from Kamlapur Railway Station"/>
    <s v="185km from Mongla Port"/>
    <m/>
    <n v="59.27"/>
    <n v="18500"/>
    <m/>
    <n v="12790"/>
    <m/>
    <m/>
    <m/>
    <m/>
    <m/>
    <m/>
  </r>
  <r>
    <x v="56"/>
    <x v="56"/>
    <x v="6"/>
    <s v="Sherpur"/>
    <s v="Sherpur Sadar"/>
    <s v="Government"/>
    <x v="0"/>
    <x v="0"/>
    <x v="0"/>
    <s v="Yes"/>
    <m/>
    <m/>
    <m/>
    <m/>
    <m/>
    <m/>
    <m/>
    <m/>
    <m/>
    <s v="Yes"/>
    <n v="2014"/>
    <m/>
    <m/>
    <x v="0"/>
    <s v="N/A"/>
    <s v="N/A"/>
    <m/>
    <s v="Feasibility or Pre feasibility"/>
    <n v="361.08"/>
    <s v="-"/>
    <m/>
    <s v="-"/>
    <n v="353.53"/>
    <s v="N/A"/>
    <s v="N/A"/>
    <s v="N/A"/>
    <n v="1.056520339765748E-2"/>
    <x v="2"/>
    <x v="0"/>
    <m/>
    <n v="2.4700000000000002"/>
    <n v="211.68"/>
    <m/>
    <n v="38.79"/>
    <n v="43.76"/>
    <n v="11.02"/>
    <n v="10.94"/>
    <n v="37.339999999999975"/>
    <n v="353.53"/>
    <s v="Integrated Textiles"/>
    <s v="Ceramics"/>
    <s v="Food processing"/>
    <s v="Machinery"/>
    <s v="Pharmaceuticals"/>
    <s v="ICT BPO"/>
    <s v="Leather Goods"/>
    <s v="Paint and Chemical"/>
    <s v="-"/>
    <m/>
    <m/>
    <s v="55 km from Osmani Airport"/>
    <s v="35 km from sylhet railway station_x000a_43 km from Sreemangal railway station"/>
    <s v="435 km from Chittagong port"/>
    <m/>
    <n v="33.04"/>
    <n v="59011"/>
    <n v="655312"/>
    <m/>
    <m/>
    <m/>
    <m/>
    <m/>
    <m/>
    <m/>
  </r>
  <r>
    <x v="57"/>
    <x v="57"/>
    <x v="5"/>
    <s v="Moulvibazar"/>
    <s v="Moulvibazar Sadar"/>
    <s v="Government"/>
    <x v="3"/>
    <x v="0"/>
    <x v="1"/>
    <s v="Yes"/>
    <s v="Link"/>
    <m/>
    <m/>
    <m/>
    <m/>
    <m/>
    <m/>
    <m/>
    <m/>
    <m/>
    <m/>
    <m/>
    <m/>
    <x v="1"/>
    <s v="N/A"/>
    <s v="N/A"/>
    <m/>
    <m/>
    <n v="352"/>
    <s v="-"/>
    <m/>
    <s v="-"/>
    <s v="-"/>
    <s v="N/A"/>
    <s v="N/A"/>
    <s v="N/A"/>
    <n v="0"/>
    <x v="2"/>
    <x v="6"/>
    <m/>
    <m/>
    <m/>
    <m/>
    <m/>
    <m/>
    <m/>
    <m/>
    <m/>
    <m/>
    <s v="-"/>
    <s v="-"/>
    <s v="-"/>
    <s v="-"/>
    <s v="-"/>
    <s v="-"/>
    <s v="-"/>
    <s v="-"/>
    <s v="-"/>
    <m/>
    <m/>
    <m/>
    <m/>
    <m/>
    <m/>
    <m/>
    <m/>
    <m/>
    <m/>
    <m/>
    <m/>
    <m/>
    <m/>
    <m/>
    <m/>
  </r>
  <r>
    <x v="58"/>
    <x v="58"/>
    <x v="2"/>
    <s v="Gazipur"/>
    <s v="Shreepur"/>
    <s v="Government"/>
    <x v="1"/>
    <x v="0"/>
    <x v="0"/>
    <s v="Yes"/>
    <m/>
    <m/>
    <m/>
    <m/>
    <m/>
    <m/>
    <m/>
    <m/>
    <m/>
    <m/>
    <m/>
    <m/>
    <m/>
    <x v="1"/>
    <s v="N/A"/>
    <s v="N/A"/>
    <m/>
    <m/>
    <n v="510"/>
    <s v="-"/>
    <m/>
    <s v="-"/>
    <s v="-"/>
    <s v="N/A"/>
    <s v="N/A"/>
    <s v="N/A"/>
    <n v="0"/>
    <x v="2"/>
    <x v="0"/>
    <m/>
    <m/>
    <m/>
    <m/>
    <m/>
    <m/>
    <m/>
    <m/>
    <m/>
    <m/>
    <s v="-"/>
    <s v="-"/>
    <s v="-"/>
    <s v="-"/>
    <s v="-"/>
    <s v="-"/>
    <s v="-"/>
    <s v="-"/>
    <s v="-"/>
    <m/>
    <m/>
    <m/>
    <m/>
    <m/>
    <m/>
    <m/>
    <m/>
    <m/>
    <m/>
    <m/>
    <m/>
    <m/>
    <m/>
    <m/>
    <m/>
  </r>
  <r>
    <x v="59"/>
    <x v="59"/>
    <x v="1"/>
    <s v="Chattogram"/>
    <s v="Sitakundo"/>
    <s v="Government"/>
    <x v="0"/>
    <x v="0"/>
    <x v="1"/>
    <s v="Yes"/>
    <m/>
    <m/>
    <m/>
    <m/>
    <m/>
    <s v="Yes"/>
    <n v="2021"/>
    <m/>
    <m/>
    <m/>
    <m/>
    <m/>
    <m/>
    <x v="0"/>
    <s v="N/A"/>
    <s v="N/A"/>
    <m/>
    <s v="Feasibility or Pre feasibility + Site Visit Report for BSMSN"/>
    <m/>
    <s v="-"/>
    <m/>
    <n v="2368.5700000000002"/>
    <s v="-"/>
    <s v="N/A"/>
    <s v="N/A"/>
    <s v="N/A"/>
    <n v="0"/>
    <x v="2"/>
    <x v="0"/>
    <m/>
    <m/>
    <m/>
    <m/>
    <m/>
    <m/>
    <m/>
    <m/>
    <m/>
    <n v="2368.5700000000002"/>
    <s v="Chemicals"/>
    <s v="Non-Metallic mineral products"/>
    <s v="Automobile Parts and Assembly"/>
    <s v="Heavy Machinery, Iron &amp; Steel and metals"/>
    <s v="Petroleum and petroleum products"/>
    <s v="-"/>
    <s v="-"/>
    <s v="-"/>
    <s v="-"/>
    <m/>
    <m/>
    <s v="51 km from Shah Amanat International Airport "/>
    <s v="19 km from rail head at Sitakundo"/>
    <s v="51km from Chittagong sea port"/>
    <s v=" 113 km from Bibirbazar land port"/>
    <n v="207.3"/>
    <n v="72000"/>
    <m/>
    <n v="32000"/>
    <m/>
    <m/>
    <m/>
    <m/>
    <m/>
    <m/>
  </r>
  <r>
    <x v="60"/>
    <x v="60"/>
    <x v="5"/>
    <s v="Sunamganj"/>
    <s v=" Chhatak"/>
    <s v="Government"/>
    <x v="1"/>
    <x v="0"/>
    <x v="0"/>
    <s v="Yes"/>
    <m/>
    <m/>
    <m/>
    <m/>
    <m/>
    <m/>
    <m/>
    <m/>
    <m/>
    <m/>
    <m/>
    <m/>
    <m/>
    <x v="1"/>
    <s v="N/A"/>
    <s v="N/A"/>
    <m/>
    <m/>
    <m/>
    <s v="-"/>
    <m/>
    <s v="-"/>
    <s v="-"/>
    <s v="N/A"/>
    <s v="N/A"/>
    <s v="N/A"/>
    <s v=""/>
    <x v="1"/>
    <x v="0"/>
    <m/>
    <m/>
    <m/>
    <m/>
    <m/>
    <m/>
    <m/>
    <m/>
    <m/>
    <m/>
    <s v="-"/>
    <s v="-"/>
    <s v="-"/>
    <s v="-"/>
    <s v="-"/>
    <s v="-"/>
    <s v="-"/>
    <s v="-"/>
    <s v="-"/>
    <m/>
    <m/>
    <m/>
    <m/>
    <m/>
    <m/>
    <m/>
    <m/>
    <m/>
    <m/>
    <m/>
    <m/>
    <m/>
    <m/>
    <m/>
    <m/>
  </r>
  <r>
    <x v="61"/>
    <x v="61"/>
    <x v="7"/>
    <s v="Bagerhat"/>
    <s v="Sharankhola"/>
    <s v="Government"/>
    <x v="1"/>
    <x v="0"/>
    <x v="0"/>
    <s v="Yes"/>
    <m/>
    <m/>
    <m/>
    <m/>
    <m/>
    <m/>
    <m/>
    <m/>
    <m/>
    <m/>
    <m/>
    <m/>
    <m/>
    <x v="1"/>
    <s v="N/A"/>
    <s v="N/A"/>
    <m/>
    <m/>
    <n v="1546.35"/>
    <s v="-"/>
    <m/>
    <s v="-"/>
    <s v="-"/>
    <s v="N/A"/>
    <s v="N/A"/>
    <s v="N/A"/>
    <n v="0"/>
    <x v="2"/>
    <x v="0"/>
    <m/>
    <m/>
    <m/>
    <m/>
    <m/>
    <m/>
    <m/>
    <m/>
    <m/>
    <m/>
    <s v="-"/>
    <s v="-"/>
    <s v="-"/>
    <s v="-"/>
    <s v="-"/>
    <s v="-"/>
    <s v="-"/>
    <s v="-"/>
    <s v="-"/>
    <m/>
    <m/>
    <m/>
    <m/>
    <m/>
    <m/>
    <m/>
    <m/>
    <m/>
    <m/>
    <m/>
    <m/>
    <m/>
    <m/>
    <m/>
    <m/>
  </r>
  <r>
    <x v="62"/>
    <x v="62"/>
    <x v="5"/>
    <s v="Sylhet"/>
    <s v="Gowainghat"/>
    <s v="Government"/>
    <x v="0"/>
    <x v="0"/>
    <x v="2"/>
    <s v="Yes"/>
    <m/>
    <m/>
    <m/>
    <m/>
    <m/>
    <s v="Yes"/>
    <n v="2021"/>
    <m/>
    <m/>
    <m/>
    <m/>
    <m/>
    <m/>
    <x v="0"/>
    <s v="N/A"/>
    <s v="N/A"/>
    <m/>
    <s v="Feasibility or Pre feasibility"/>
    <n v="255.83"/>
    <s v="-"/>
    <m/>
    <n v="255.83"/>
    <s v="-"/>
    <s v="N/A"/>
    <s v="N/A"/>
    <s v="N/A"/>
    <n v="0"/>
    <x v="2"/>
    <x v="0"/>
    <m/>
    <n v="1"/>
    <n v="176.93"/>
    <m/>
    <n v="38.61"/>
    <n v="10.220000000000001"/>
    <m/>
    <n v="26.08"/>
    <n v="3.99"/>
    <n v="255.83000000000004"/>
    <s v="Textiles and RMG"/>
    <s v="Food and Beverage"/>
    <s v="Agro based"/>
    <s v="Electrical and Electronics"/>
    <s v="Light Machinery, Equipment and Furniture"/>
    <s v="-"/>
    <s v="-"/>
    <s v="-"/>
    <s v="-"/>
    <m/>
    <m/>
    <s v="52 km from the Osmani International Airport"/>
    <s v="~52 km from the Sylhet railway station"/>
    <s v="427km from Chittagong Seaport"/>
    <s v="approx. 2km from Tamabil land port"/>
    <n v="30"/>
    <n v="11000"/>
    <n v="12128"/>
    <n v="3000"/>
    <m/>
    <m/>
    <m/>
    <m/>
    <m/>
    <m/>
  </r>
  <r>
    <x v="63"/>
    <x v="63"/>
    <x v="2"/>
    <s v="Tangail"/>
    <s v="Bhuapur"/>
    <s v="Government"/>
    <x v="0"/>
    <x v="0"/>
    <x v="2"/>
    <s v="Yes"/>
    <m/>
    <s v="Yes"/>
    <n v="2020"/>
    <m/>
    <m/>
    <s v="Yes"/>
    <n v="2021"/>
    <m/>
    <m/>
    <m/>
    <m/>
    <m/>
    <m/>
    <x v="0"/>
    <s v="N/A"/>
    <s v="N/A"/>
    <m/>
    <s v="Feasibility or Pre feasibility + Site Visit Report"/>
    <m/>
    <n v="502.02"/>
    <m/>
    <n v="1761.85"/>
    <s v="-"/>
    <s v="N/A"/>
    <s v="N/A"/>
    <s v="N/A"/>
    <n v="0.55649396829323239"/>
    <x v="0"/>
    <x v="0"/>
    <m/>
    <m/>
    <n v="1277.5999999999999"/>
    <m/>
    <n v="183.85"/>
    <n v="98.43"/>
    <n v="22.82"/>
    <n v="176.19"/>
    <n v="2.97"/>
    <n v="1761.85"/>
    <s v="Textiles and RMG"/>
    <s v="Food and Beverage"/>
    <s v="Agro based"/>
    <s v="Plastic and Rubber"/>
    <s v="Paper and packaging"/>
    <s v="Chemicals"/>
    <s v="Non-Metallic mineral products"/>
    <s v="Electrical and Electronics"/>
    <s v="Light Machinery, Equipment and Furniture"/>
    <m/>
    <m/>
    <s v="109 km from Hazrat ShahJalal Intl Airport"/>
    <s v="3km from Bangabandhu Setu East railway station"/>
    <s v="339 km from Mongla Sea Port/65km from Baghabari river port"/>
    <s v="approx 211km from Akhaura Land port"/>
    <n v="217"/>
    <n v="62000"/>
    <n v="87000"/>
    <n v="3027.31"/>
    <m/>
    <m/>
    <m/>
    <m/>
    <m/>
    <m/>
  </r>
  <r>
    <x v="64"/>
    <x v="64"/>
    <x v="1"/>
    <s v="Chattogram"/>
    <s v="Anowara"/>
    <s v="G2G"/>
    <x v="3"/>
    <x v="0"/>
    <x v="1"/>
    <s v="Yes"/>
    <s v="Link"/>
    <m/>
    <m/>
    <m/>
    <m/>
    <m/>
    <m/>
    <m/>
    <m/>
    <s v="Yes"/>
    <n v="2014"/>
    <m/>
    <m/>
    <x v="0"/>
    <s v="N/A"/>
    <s v="N/A"/>
    <m/>
    <s v="Feasibility or Pre feasibility"/>
    <n v="503.7"/>
    <s v="-"/>
    <m/>
    <s v="-"/>
    <n v="1389.5"/>
    <s v="N/A"/>
    <s v="N/A"/>
    <s v="N/A"/>
    <n v="0.46788506232833288"/>
    <x v="0"/>
    <x v="7"/>
    <m/>
    <n v="2.4700000000000002"/>
    <n v="895.56"/>
    <m/>
    <n v="75.37"/>
    <n v="189.57"/>
    <n v="18.77"/>
    <n v="44.67"/>
    <n v="165.56"/>
    <n v="1389.5"/>
    <s v="Shipbuilding"/>
    <s v="Shipbuilding components"/>
    <s v="Steel Mills/Steel Products"/>
    <s v="Automobile Parts and Assembly"/>
    <s v="Leather Goods"/>
    <s v="Pharmaceuticals"/>
    <s v="-"/>
    <s v="-"/>
    <s v="-"/>
    <m/>
    <m/>
    <s v="46km from Chittagong airport"/>
    <s v="32km from Chittagong railway station"/>
    <s v="39km from Chittagong port_x000a_12km from Chittagong port by sea route"/>
    <m/>
    <n v="98.75"/>
    <n v="36731.339999999997"/>
    <m/>
    <m/>
    <m/>
    <m/>
    <m/>
    <s v="Medium-Term"/>
    <m/>
    <m/>
  </r>
  <r>
    <x v="65"/>
    <x v="65"/>
    <x v="2"/>
    <s v="Narayanganj"/>
    <s v="Araihazar"/>
    <s v="G2G"/>
    <x v="3"/>
    <x v="0"/>
    <x v="1"/>
    <s v="Yes"/>
    <s v="Link"/>
    <m/>
    <m/>
    <m/>
    <m/>
    <s v="Yes"/>
    <n v="2021"/>
    <m/>
    <m/>
    <m/>
    <m/>
    <m/>
    <m/>
    <x v="0"/>
    <s v="N/A"/>
    <s v="N/A"/>
    <m/>
    <s v="Feasibility or Pre feasibility"/>
    <n v="400"/>
    <s v="-"/>
    <m/>
    <n v="413"/>
    <s v="-"/>
    <s v="N/A"/>
    <s v="N/A"/>
    <s v="N/A"/>
    <n v="1.5990159901599015E-2"/>
    <x v="2"/>
    <x v="0"/>
    <m/>
    <n v="1"/>
    <n v="276.16000000000003"/>
    <m/>
    <n v="54.44"/>
    <n v="19.3"/>
    <n v="12.84"/>
    <n v="50.26"/>
    <m/>
    <n v="413"/>
    <s v="Food and Beverage"/>
    <s v="Leather Goods"/>
    <s v="Chemicals"/>
    <s v="Non-Metallic mineral products"/>
    <s v="Heavy Machinery, Iron &amp; Steel and metals"/>
    <s v="Paper and packaging"/>
    <s v="Pharmaceuticals"/>
    <s v="Light Machinery, Equipment and Furniture"/>
    <s v="-"/>
    <m/>
    <m/>
    <s v="64km from Hazrat Shahjalal International Airport"/>
    <s v="51km from Dhaka Railway Station"/>
    <s v="258km from Chittagong Port"/>
    <s v="116km from Akhaura Land Port"/>
    <n v="48"/>
    <n v="5000"/>
    <n v="18900"/>
    <n v="4735.03"/>
    <m/>
    <m/>
    <m/>
    <m/>
    <m/>
    <m/>
  </r>
  <r>
    <x v="66"/>
    <x v="66"/>
    <x v="7"/>
    <s v="Kushtia"/>
    <s v="Bheramara"/>
    <s v="G2G"/>
    <x v="2"/>
    <x v="0"/>
    <x v="2"/>
    <s v="Yes"/>
    <s v="Link"/>
    <s v="Yes"/>
    <n v="2022"/>
    <s v="Yes"/>
    <n v="2015"/>
    <m/>
    <m/>
    <m/>
    <m/>
    <m/>
    <m/>
    <m/>
    <m/>
    <x v="1"/>
    <s v="N/A"/>
    <s v="N/A"/>
    <m/>
    <s v="Site Visit Report"/>
    <n v="506.77"/>
    <n v="200"/>
    <n v="506.77"/>
    <s v="-"/>
    <s v="-"/>
    <s v="N/A"/>
    <s v="N/A"/>
    <s v="N/A"/>
    <n v="0.35749814141206238"/>
    <x v="0"/>
    <x v="2"/>
    <m/>
    <m/>
    <m/>
    <m/>
    <m/>
    <m/>
    <m/>
    <m/>
    <m/>
    <m/>
    <s v="-"/>
    <s v="-"/>
    <s v="-"/>
    <s v="-"/>
    <s v="-"/>
    <s v="-"/>
    <s v="-"/>
    <s v="-"/>
    <s v="-"/>
    <m/>
    <m/>
    <m/>
    <m/>
    <m/>
    <m/>
    <m/>
    <m/>
    <m/>
    <m/>
    <m/>
    <m/>
    <m/>
    <m/>
    <m/>
    <m/>
  </r>
  <r>
    <x v="67"/>
    <x v="67"/>
    <x v="7"/>
    <s v="Bagerhat"/>
    <s v="Mongla"/>
    <s v="G2G"/>
    <x v="3"/>
    <x v="0"/>
    <x v="1"/>
    <s v="Yes"/>
    <s v="Link"/>
    <m/>
    <m/>
    <m/>
    <m/>
    <m/>
    <m/>
    <m/>
    <m/>
    <m/>
    <m/>
    <m/>
    <m/>
    <x v="1"/>
    <s v="N/A"/>
    <s v="N/A"/>
    <m/>
    <m/>
    <n v="110.15"/>
    <s v="-"/>
    <m/>
    <s v="-"/>
    <s v="-"/>
    <s v="N/A"/>
    <s v="N/A"/>
    <s v="N/A"/>
    <n v="0"/>
    <x v="2"/>
    <x v="6"/>
    <m/>
    <m/>
    <m/>
    <m/>
    <m/>
    <m/>
    <m/>
    <m/>
    <m/>
    <m/>
    <s v="-"/>
    <s v="-"/>
    <s v="-"/>
    <s v="-"/>
    <s v="-"/>
    <s v="-"/>
    <s v="-"/>
    <s v="-"/>
    <s v="-"/>
    <m/>
    <m/>
    <m/>
    <m/>
    <m/>
    <m/>
    <m/>
    <m/>
    <m/>
    <m/>
    <m/>
    <m/>
    <m/>
    <m/>
    <m/>
    <m/>
  </r>
  <r>
    <x v="68"/>
    <x v="68"/>
    <x v="2"/>
    <s v="Munshiganj"/>
    <s v="Gajaria"/>
    <s v="Private"/>
    <x v="1"/>
    <x v="1"/>
    <x v="4"/>
    <s v="Yes"/>
    <m/>
    <m/>
    <m/>
    <m/>
    <m/>
    <m/>
    <m/>
    <m/>
    <m/>
    <m/>
    <m/>
    <m/>
    <m/>
    <x v="1"/>
    <m/>
    <m/>
    <m/>
    <m/>
    <m/>
    <s v="-"/>
    <m/>
    <s v="-"/>
    <s v="-"/>
    <s v="-"/>
    <s v="-"/>
    <n v="500"/>
    <n v="0"/>
    <x v="2"/>
    <x v="8"/>
    <m/>
    <m/>
    <m/>
    <m/>
    <m/>
    <m/>
    <m/>
    <m/>
    <m/>
    <m/>
    <s v="Textile &amp; RMG"/>
    <s v="-"/>
    <s v="-"/>
    <s v="-"/>
    <s v="-"/>
    <s v="-"/>
    <s v="-"/>
    <s v="-"/>
    <s v="-"/>
    <m/>
    <m/>
    <m/>
    <m/>
    <m/>
    <m/>
    <m/>
    <m/>
    <m/>
    <m/>
    <m/>
    <m/>
    <m/>
    <m/>
    <m/>
    <m/>
  </r>
  <r>
    <x v="69"/>
    <x v="69"/>
    <x v="2"/>
    <s v="Narshingdi"/>
    <s v="Palash"/>
    <s v="Private"/>
    <x v="3"/>
    <x v="2"/>
    <x v="4"/>
    <s v="Yes"/>
    <s v="Link"/>
    <m/>
    <m/>
    <m/>
    <m/>
    <m/>
    <m/>
    <m/>
    <m/>
    <m/>
    <m/>
    <m/>
    <m/>
    <x v="1"/>
    <m/>
    <m/>
    <m/>
    <m/>
    <m/>
    <s v="-"/>
    <m/>
    <s v="-"/>
    <s v="-"/>
    <s v="-"/>
    <s v="-"/>
    <n v="200"/>
    <n v="0"/>
    <x v="2"/>
    <x v="0"/>
    <m/>
    <m/>
    <m/>
    <m/>
    <m/>
    <m/>
    <m/>
    <m/>
    <m/>
    <m/>
    <s v="Electronics"/>
    <s v="Pharmaceuticals"/>
    <s v="Agro-processing"/>
    <s v="Chemicals"/>
    <s v="Plastic"/>
    <s v="IT"/>
    <s v="-"/>
    <s v="-"/>
    <s v="-"/>
    <m/>
    <m/>
    <m/>
    <m/>
    <m/>
    <m/>
    <m/>
    <m/>
    <m/>
    <m/>
    <m/>
    <m/>
    <m/>
    <m/>
    <m/>
    <m/>
  </r>
  <r>
    <x v="70"/>
    <x v="70"/>
    <x v="2"/>
    <s v="Munshiganj"/>
    <s v="Gajaria"/>
    <s v="Private"/>
    <x v="3"/>
    <x v="3"/>
    <x v="4"/>
    <s v="Yes"/>
    <s v="Link"/>
    <m/>
    <m/>
    <m/>
    <m/>
    <m/>
    <m/>
    <m/>
    <m/>
    <m/>
    <m/>
    <m/>
    <m/>
    <x v="1"/>
    <s v="Yes"/>
    <s v="Yes"/>
    <m/>
    <m/>
    <m/>
    <s v="-"/>
    <m/>
    <s v="-"/>
    <s v="-"/>
    <n v="189.94"/>
    <n v="216"/>
    <n v="500"/>
    <n v="0.46501384838645105"/>
    <x v="0"/>
    <x v="0"/>
    <m/>
    <m/>
    <m/>
    <m/>
    <m/>
    <m/>
    <m/>
    <m/>
    <m/>
    <m/>
    <s v="Automobiles"/>
    <s v="Chemicals"/>
    <s v="Agro-processing"/>
    <s v="-"/>
    <s v="-"/>
    <s v="-"/>
    <s v="-"/>
    <s v="-"/>
    <s v="-"/>
    <m/>
    <m/>
    <m/>
    <m/>
    <m/>
    <m/>
    <m/>
    <m/>
    <m/>
    <m/>
    <m/>
    <m/>
    <m/>
    <m/>
    <m/>
    <m/>
  </r>
  <r>
    <x v="71"/>
    <x v="71"/>
    <x v="2"/>
    <s v="Munshiganj"/>
    <s v="Gajaria"/>
    <s v="Private"/>
    <x v="1"/>
    <x v="1"/>
    <x v="4"/>
    <s v="Yes"/>
    <m/>
    <m/>
    <m/>
    <m/>
    <m/>
    <m/>
    <m/>
    <m/>
    <m/>
    <m/>
    <m/>
    <m/>
    <m/>
    <x v="1"/>
    <m/>
    <m/>
    <m/>
    <m/>
    <m/>
    <s v="-"/>
    <m/>
    <s v="-"/>
    <s v="-"/>
    <s v="-"/>
    <s v="-"/>
    <s v="-"/>
    <s v=""/>
    <x v="1"/>
    <x v="0"/>
    <m/>
    <m/>
    <m/>
    <m/>
    <m/>
    <m/>
    <m/>
    <m/>
    <m/>
    <m/>
    <s v="-"/>
    <s v="-"/>
    <s v="-"/>
    <s v="-"/>
    <s v="-"/>
    <s v="-"/>
    <s v="-"/>
    <s v="-"/>
    <s v="-"/>
    <m/>
    <m/>
    <m/>
    <m/>
    <m/>
    <m/>
    <m/>
    <m/>
    <m/>
    <m/>
    <m/>
    <m/>
    <m/>
    <m/>
    <m/>
    <m/>
  </r>
  <r>
    <x v="72"/>
    <x v="72"/>
    <x v="6"/>
    <s v="Mymensingh"/>
    <s v="Trishal"/>
    <s v="Private"/>
    <x v="3"/>
    <x v="2"/>
    <x v="4"/>
    <s v="Yes"/>
    <m/>
    <m/>
    <m/>
    <m/>
    <m/>
    <m/>
    <m/>
    <m/>
    <m/>
    <m/>
    <m/>
    <m/>
    <m/>
    <x v="1"/>
    <m/>
    <m/>
    <m/>
    <m/>
    <m/>
    <s v="-"/>
    <m/>
    <s v="-"/>
    <s v="-"/>
    <s v="-"/>
    <s v="-"/>
    <n v="110"/>
    <n v="0"/>
    <x v="2"/>
    <x v="0"/>
    <m/>
    <m/>
    <m/>
    <m/>
    <m/>
    <m/>
    <m/>
    <m/>
    <m/>
    <m/>
    <s v="Chemicals"/>
    <s v="-"/>
    <s v="-"/>
    <s v="-"/>
    <s v="-"/>
    <s v="-"/>
    <s v="-"/>
    <s v="-"/>
    <s v="-"/>
    <m/>
    <m/>
    <m/>
    <m/>
    <m/>
    <m/>
    <m/>
    <m/>
    <m/>
    <m/>
    <m/>
    <m/>
    <m/>
    <m/>
    <m/>
    <m/>
  </r>
  <r>
    <x v="73"/>
    <x v="73"/>
    <x v="1"/>
    <s v="Cumilla"/>
    <s v="Daudkandi"/>
    <s v="Private"/>
    <x v="1"/>
    <x v="1"/>
    <x v="4"/>
    <s v="Yes"/>
    <m/>
    <m/>
    <m/>
    <m/>
    <m/>
    <m/>
    <m/>
    <m/>
    <m/>
    <m/>
    <m/>
    <m/>
    <m/>
    <x v="1"/>
    <m/>
    <m/>
    <m/>
    <m/>
    <m/>
    <s v="-"/>
    <m/>
    <s v="-"/>
    <s v="-"/>
    <s v="-"/>
    <s v="-"/>
    <s v="-"/>
    <s v=""/>
    <x v="1"/>
    <x v="0"/>
    <m/>
    <m/>
    <m/>
    <m/>
    <m/>
    <m/>
    <m/>
    <m/>
    <m/>
    <m/>
    <s v="-"/>
    <s v="-"/>
    <s v="-"/>
    <s v="-"/>
    <s v="-"/>
    <s v="-"/>
    <s v="-"/>
    <s v="-"/>
    <s v="-"/>
    <m/>
    <m/>
    <m/>
    <m/>
    <m/>
    <m/>
    <m/>
    <m/>
    <m/>
    <m/>
    <m/>
    <m/>
    <m/>
    <m/>
    <m/>
    <m/>
  </r>
  <r>
    <x v="74"/>
    <x v="74"/>
    <x v="2"/>
    <s v="Narayanganj"/>
    <s v="Sonargaon"/>
    <s v="Private"/>
    <x v="3"/>
    <x v="3"/>
    <x v="4"/>
    <s v="Yes"/>
    <s v="Link"/>
    <m/>
    <m/>
    <m/>
    <m/>
    <m/>
    <m/>
    <m/>
    <m/>
    <m/>
    <m/>
    <m/>
    <m/>
    <x v="1"/>
    <s v="Yes"/>
    <s v="Yes"/>
    <m/>
    <m/>
    <m/>
    <s v="-"/>
    <m/>
    <s v="-"/>
    <s v="-"/>
    <n v="83.139399999999995"/>
    <n v="150"/>
    <n v="150"/>
    <n v="0.2467905083852053"/>
    <x v="0"/>
    <x v="0"/>
    <m/>
    <m/>
    <m/>
    <m/>
    <m/>
    <m/>
    <m/>
    <m/>
    <m/>
    <m/>
    <s v="Construction Materials"/>
    <s v="Packaging"/>
    <s v="Agro-processing"/>
    <s v="Power"/>
    <s v="Petro Chemicals"/>
    <s v="Textiles"/>
    <s v="Light Engineering"/>
    <s v="Ship Building"/>
    <s v="IT"/>
    <m/>
    <m/>
    <m/>
    <m/>
    <m/>
    <m/>
    <m/>
    <m/>
    <m/>
    <m/>
    <m/>
    <m/>
    <m/>
    <m/>
    <m/>
    <m/>
  </r>
  <r>
    <x v="75"/>
    <x v="75"/>
    <x v="2"/>
    <s v="Munshiganj"/>
    <s v="Gajaria"/>
    <s v="Private"/>
    <x v="1"/>
    <x v="1"/>
    <x v="4"/>
    <s v="Yes"/>
    <m/>
    <m/>
    <m/>
    <m/>
    <m/>
    <m/>
    <m/>
    <m/>
    <m/>
    <m/>
    <m/>
    <m/>
    <m/>
    <x v="1"/>
    <m/>
    <m/>
    <m/>
    <m/>
    <m/>
    <s v="-"/>
    <m/>
    <s v="-"/>
    <s v="-"/>
    <s v="-"/>
    <s v="-"/>
    <s v="-"/>
    <s v=""/>
    <x v="1"/>
    <x v="0"/>
    <m/>
    <m/>
    <m/>
    <m/>
    <m/>
    <m/>
    <m/>
    <m/>
    <m/>
    <m/>
    <s v="-"/>
    <s v="-"/>
    <s v="-"/>
    <s v="-"/>
    <s v="-"/>
    <s v="-"/>
    <s v="-"/>
    <s v="-"/>
    <s v="-"/>
    <m/>
    <m/>
    <m/>
    <m/>
    <m/>
    <m/>
    <m/>
    <m/>
    <m/>
    <m/>
    <m/>
    <m/>
    <m/>
    <m/>
    <m/>
    <m/>
  </r>
  <r>
    <x v="76"/>
    <x v="76"/>
    <x v="2"/>
    <s v="Dhaka"/>
    <s v="Savar, Keraniganj"/>
    <s v="Private"/>
    <x v="3"/>
    <x v="2"/>
    <x v="4"/>
    <s v="Yes"/>
    <m/>
    <m/>
    <m/>
    <m/>
    <m/>
    <m/>
    <m/>
    <m/>
    <m/>
    <m/>
    <m/>
    <m/>
    <m/>
    <x v="1"/>
    <m/>
    <m/>
    <m/>
    <m/>
    <m/>
    <s v="-"/>
    <m/>
    <s v="-"/>
    <s v="-"/>
    <s v="-"/>
    <s v="-"/>
    <n v="50.8"/>
    <n v="0"/>
    <x v="2"/>
    <x v="0"/>
    <m/>
    <m/>
    <m/>
    <m/>
    <m/>
    <m/>
    <m/>
    <m/>
    <m/>
    <m/>
    <s v="RMG"/>
    <s v="Light Engineering &amp; Auto Parts"/>
    <s v="Finished Leather Goods"/>
    <s v="Aeronautical Component Industry"/>
    <s v="Packaging"/>
    <s v="IT"/>
    <s v="Electronics "/>
    <s v="Automobiles"/>
    <s v="-"/>
    <m/>
    <m/>
    <m/>
    <m/>
    <m/>
    <m/>
    <m/>
    <m/>
    <m/>
    <m/>
    <m/>
    <m/>
    <m/>
    <m/>
    <m/>
    <m/>
  </r>
  <r>
    <x v="77"/>
    <x v="77"/>
    <x v="2"/>
    <s v="Dhaka"/>
    <s v="Keraniganj"/>
    <s v="Private"/>
    <x v="3"/>
    <x v="2"/>
    <x v="4"/>
    <s v="Yes"/>
    <m/>
    <m/>
    <m/>
    <m/>
    <m/>
    <m/>
    <m/>
    <m/>
    <m/>
    <m/>
    <m/>
    <m/>
    <m/>
    <x v="1"/>
    <m/>
    <m/>
    <m/>
    <m/>
    <m/>
    <s v="-"/>
    <m/>
    <s v="-"/>
    <s v="-"/>
    <s v="-"/>
    <s v="-"/>
    <s v="-"/>
    <s v=""/>
    <x v="1"/>
    <x v="0"/>
    <m/>
    <m/>
    <m/>
    <m/>
    <m/>
    <m/>
    <m/>
    <m/>
    <m/>
    <m/>
    <s v="-"/>
    <s v="-"/>
    <s v="-"/>
    <s v="-"/>
    <s v="-"/>
    <s v="-"/>
    <s v="-"/>
    <s v="-"/>
    <s v="-"/>
    <m/>
    <m/>
    <m/>
    <m/>
    <m/>
    <m/>
    <m/>
    <m/>
    <m/>
    <m/>
    <m/>
    <m/>
    <m/>
    <m/>
    <m/>
    <m/>
  </r>
  <r>
    <x v="78"/>
    <x v="78"/>
    <x v="2"/>
    <s v="Gazipur"/>
    <s v="Konabari"/>
    <s v="Private"/>
    <x v="3"/>
    <x v="3"/>
    <x v="4"/>
    <s v="Yes"/>
    <s v="Link"/>
    <m/>
    <m/>
    <m/>
    <m/>
    <m/>
    <m/>
    <m/>
    <m/>
    <m/>
    <m/>
    <m/>
    <m/>
    <x v="1"/>
    <s v="Yes"/>
    <s v="Yes"/>
    <m/>
    <m/>
    <m/>
    <s v="-"/>
    <m/>
    <s v="-"/>
    <s v="-"/>
    <n v="350077"/>
    <n v="60"/>
    <n v="65"/>
    <n v="1.4134563850723778"/>
    <x v="0"/>
    <x v="9"/>
    <m/>
    <m/>
    <m/>
    <m/>
    <m/>
    <m/>
    <m/>
    <m/>
    <m/>
    <m/>
    <s v="Leather Products &amp; Footwear"/>
    <s v="Agro-Processing"/>
    <s v="Agro-processing"/>
    <s v="IT"/>
    <s v="Chemicals"/>
    <s v="Electronics"/>
    <s v="Medical Equipment"/>
    <s v="-"/>
    <s v="-"/>
    <m/>
    <m/>
    <m/>
    <m/>
    <m/>
    <m/>
    <m/>
    <m/>
    <m/>
    <m/>
    <m/>
    <m/>
    <m/>
    <m/>
    <m/>
    <m/>
  </r>
  <r>
    <x v="79"/>
    <x v="79"/>
    <x v="5"/>
    <s v="Sunamganj"/>
    <s v="Chatak"/>
    <s v="Private"/>
    <x v="1"/>
    <x v="1"/>
    <x v="4"/>
    <s v="Yes"/>
    <m/>
    <m/>
    <m/>
    <m/>
    <m/>
    <m/>
    <m/>
    <m/>
    <m/>
    <m/>
    <m/>
    <m/>
    <m/>
    <x v="1"/>
    <m/>
    <m/>
    <m/>
    <m/>
    <m/>
    <s v="-"/>
    <m/>
    <s v="-"/>
    <s v="-"/>
    <s v="-"/>
    <s v="-"/>
    <s v="-"/>
    <s v=""/>
    <x v="1"/>
    <x v="0"/>
    <m/>
    <m/>
    <m/>
    <m/>
    <m/>
    <m/>
    <m/>
    <m/>
    <m/>
    <m/>
    <s v="-"/>
    <s v="-"/>
    <s v="-"/>
    <s v="-"/>
    <s v="-"/>
    <s v="-"/>
    <s v="-"/>
    <s v="-"/>
    <s v="-"/>
    <m/>
    <m/>
    <m/>
    <m/>
    <m/>
    <m/>
    <m/>
    <m/>
    <m/>
    <m/>
    <m/>
    <m/>
    <m/>
    <m/>
    <m/>
    <m/>
  </r>
  <r>
    <x v="80"/>
    <x v="80"/>
    <x v="2"/>
    <s v="Narayanganj"/>
    <s v="Rupganj"/>
    <s v="Private"/>
    <x v="3"/>
    <x v="3"/>
    <x v="4"/>
    <s v="Yes"/>
    <m/>
    <m/>
    <m/>
    <m/>
    <m/>
    <m/>
    <m/>
    <m/>
    <m/>
    <m/>
    <m/>
    <m/>
    <m/>
    <x v="1"/>
    <s v="Yes"/>
    <s v="Yes"/>
    <m/>
    <m/>
    <m/>
    <s v="-"/>
    <m/>
    <s v="-"/>
    <s v="-"/>
    <n v="77.965500000000006"/>
    <n v="78"/>
    <n v="77.959999999999994"/>
    <n v="2.2703116912481568E-4"/>
    <x v="2"/>
    <x v="10"/>
    <m/>
    <m/>
    <m/>
    <m/>
    <m/>
    <m/>
    <m/>
    <m/>
    <m/>
    <m/>
    <s v="Agro-Processing"/>
    <s v="FMCG"/>
    <s v="-"/>
    <s v="-"/>
    <s v="-"/>
    <s v="-"/>
    <s v="-"/>
    <s v="-"/>
    <s v="-"/>
    <m/>
    <m/>
    <m/>
    <m/>
    <m/>
    <m/>
    <m/>
    <m/>
    <m/>
    <m/>
    <m/>
    <m/>
    <m/>
    <m/>
    <m/>
    <m/>
  </r>
  <r>
    <x v="81"/>
    <x v="81"/>
    <x v="2"/>
    <s v="Dhaka"/>
    <s v="Demra"/>
    <s v="Private"/>
    <x v="3"/>
    <x v="1"/>
    <x v="4"/>
    <s v="Yes"/>
    <m/>
    <m/>
    <m/>
    <m/>
    <m/>
    <m/>
    <m/>
    <m/>
    <m/>
    <m/>
    <m/>
    <m/>
    <m/>
    <x v="1"/>
    <m/>
    <m/>
    <m/>
    <m/>
    <m/>
    <s v="-"/>
    <m/>
    <s v="-"/>
    <s v="-"/>
    <s v="-"/>
    <s v="-"/>
    <s v="-"/>
    <s v=""/>
    <x v="1"/>
    <x v="0"/>
    <m/>
    <m/>
    <m/>
    <m/>
    <m/>
    <m/>
    <m/>
    <m/>
    <m/>
    <m/>
    <s v="-"/>
    <s v="-"/>
    <s v="-"/>
    <s v="-"/>
    <s v="-"/>
    <s v="-"/>
    <s v="-"/>
    <s v="-"/>
    <s v="-"/>
    <m/>
    <m/>
    <m/>
    <m/>
    <m/>
    <m/>
    <m/>
    <m/>
    <m/>
    <m/>
    <m/>
    <m/>
    <m/>
    <m/>
    <m/>
    <m/>
  </r>
  <r>
    <x v="82"/>
    <x v="82"/>
    <x v="1"/>
    <s v="Cumilla"/>
    <s v="Meghna"/>
    <s v="Private"/>
    <x v="3"/>
    <x v="3"/>
    <x v="4"/>
    <s v="Yes"/>
    <s v="Link"/>
    <m/>
    <m/>
    <m/>
    <m/>
    <m/>
    <m/>
    <m/>
    <m/>
    <m/>
    <m/>
    <m/>
    <m/>
    <x v="1"/>
    <s v="Yes"/>
    <m/>
    <m/>
    <m/>
    <n v="272"/>
    <s v="-"/>
    <m/>
    <s v="-"/>
    <s v="-"/>
    <n v="2463515"/>
    <s v="-"/>
    <n v="301"/>
    <n v="1.4137202697732392"/>
    <x v="0"/>
    <x v="9"/>
    <m/>
    <m/>
    <m/>
    <m/>
    <m/>
    <m/>
    <m/>
    <m/>
    <m/>
    <m/>
    <s v="Textile &amp; RMG"/>
    <s v="Garments Accessories"/>
    <s v="Footwear &amp; Leather"/>
    <s v="Agro-processing"/>
    <s v="Pharmaceuticals"/>
    <s v="Electornics"/>
    <s v="Plastic"/>
    <s v="Chemicals"/>
    <s v="Petrochemicals"/>
    <m/>
    <m/>
    <m/>
    <m/>
    <m/>
    <m/>
    <m/>
    <m/>
    <m/>
    <m/>
    <m/>
    <m/>
    <m/>
    <m/>
    <m/>
    <m/>
  </r>
  <r>
    <x v="83"/>
    <x v="83"/>
    <x v="5"/>
    <s v="Habiganj"/>
    <s v="Bahubal"/>
    <s v="Private"/>
    <x v="1"/>
    <x v="1"/>
    <x v="4"/>
    <s v="Yes"/>
    <m/>
    <m/>
    <m/>
    <m/>
    <m/>
    <m/>
    <m/>
    <m/>
    <m/>
    <m/>
    <m/>
    <m/>
    <m/>
    <x v="1"/>
    <m/>
    <m/>
    <m/>
    <m/>
    <m/>
    <s v="-"/>
    <m/>
    <s v="-"/>
    <s v="-"/>
    <s v="-"/>
    <s v="-"/>
    <s v="-"/>
    <s v=""/>
    <x v="1"/>
    <x v="0"/>
    <m/>
    <m/>
    <m/>
    <m/>
    <m/>
    <m/>
    <m/>
    <m/>
    <m/>
    <m/>
    <s v="-"/>
    <s v="-"/>
    <s v="-"/>
    <s v="-"/>
    <s v="-"/>
    <s v="-"/>
    <s v="-"/>
    <s v="-"/>
    <s v="-"/>
    <m/>
    <m/>
    <m/>
    <m/>
    <m/>
    <m/>
    <m/>
    <m/>
    <m/>
    <m/>
    <m/>
    <m/>
    <m/>
    <m/>
    <m/>
    <m/>
  </r>
  <r>
    <x v="84"/>
    <x v="84"/>
    <x v="2"/>
    <s v="Dhaka"/>
    <s v="Keraniganj"/>
    <s v="Private"/>
    <x v="3"/>
    <x v="3"/>
    <x v="4"/>
    <s v="Yes"/>
    <s v="Link"/>
    <m/>
    <m/>
    <m/>
    <m/>
    <m/>
    <m/>
    <m/>
    <m/>
    <m/>
    <m/>
    <m/>
    <m/>
    <x v="1"/>
    <s v="Yes"/>
    <m/>
    <m/>
    <m/>
    <m/>
    <s v="-"/>
    <m/>
    <s v="-"/>
    <s v="-"/>
    <n v="1026992"/>
    <s v="-"/>
    <n v="102.69"/>
    <n v="0.99980003791081828"/>
    <x v="2"/>
    <x v="9"/>
    <m/>
    <m/>
    <m/>
    <m/>
    <m/>
    <m/>
    <m/>
    <m/>
    <m/>
    <m/>
    <s v="Agro-Processing"/>
    <s v="LPG Bottling"/>
    <s v="Paint"/>
    <s v="Concrete Block"/>
    <s v="Bitumen Manufacturing"/>
    <s v="Plastic"/>
    <s v="-"/>
    <s v="-"/>
    <s v="-"/>
    <m/>
    <m/>
    <m/>
    <m/>
    <m/>
    <m/>
    <m/>
    <m/>
    <m/>
    <m/>
    <m/>
    <m/>
    <m/>
    <m/>
    <m/>
    <m/>
  </r>
  <r>
    <x v="85"/>
    <x v="85"/>
    <x v="7"/>
    <s v="Bagerhat"/>
    <s v="Rampal"/>
    <s v="Private"/>
    <x v="1"/>
    <x v="1"/>
    <x v="4"/>
    <s v="Yes"/>
    <m/>
    <m/>
    <m/>
    <m/>
    <m/>
    <m/>
    <m/>
    <m/>
    <m/>
    <m/>
    <m/>
    <m/>
    <m/>
    <x v="1"/>
    <m/>
    <m/>
    <m/>
    <m/>
    <m/>
    <s v="-"/>
    <m/>
    <s v="-"/>
    <s v="-"/>
    <s v="-"/>
    <s v="-"/>
    <s v="-"/>
    <s v=""/>
    <x v="1"/>
    <x v="0"/>
    <m/>
    <m/>
    <m/>
    <m/>
    <m/>
    <m/>
    <m/>
    <m/>
    <m/>
    <m/>
    <s v="-"/>
    <s v="-"/>
    <s v="-"/>
    <s v="-"/>
    <s v="-"/>
    <s v="-"/>
    <s v="-"/>
    <s v="-"/>
    <s v="-"/>
    <m/>
    <m/>
    <m/>
    <m/>
    <m/>
    <m/>
    <m/>
    <m/>
    <m/>
    <m/>
    <m/>
    <m/>
    <m/>
    <m/>
    <m/>
    <m/>
  </r>
  <r>
    <x v="86"/>
    <x v="86"/>
    <x v="6"/>
    <s v="Mymensingh"/>
    <s v="Trishal"/>
    <s v="Private"/>
    <x v="1"/>
    <x v="1"/>
    <x v="4"/>
    <s v="Yes"/>
    <m/>
    <m/>
    <m/>
    <m/>
    <m/>
    <m/>
    <m/>
    <m/>
    <m/>
    <m/>
    <m/>
    <m/>
    <m/>
    <x v="1"/>
    <m/>
    <m/>
    <m/>
    <m/>
    <m/>
    <s v="-"/>
    <m/>
    <s v="-"/>
    <s v="-"/>
    <s v="-"/>
    <s v="-"/>
    <n v="153"/>
    <n v="0"/>
    <x v="2"/>
    <x v="0"/>
    <m/>
    <m/>
    <m/>
    <m/>
    <m/>
    <m/>
    <m/>
    <m/>
    <m/>
    <m/>
    <s v="Agro-Processing"/>
    <s v="Light Engineering"/>
    <s v="Furniture"/>
    <s v="Cosmetics"/>
    <s v="Leather Footwear"/>
    <s v="-"/>
    <s v="-"/>
    <s v="-"/>
    <s v="-"/>
    <m/>
    <m/>
    <m/>
    <m/>
    <m/>
    <m/>
    <m/>
    <m/>
    <m/>
    <m/>
    <m/>
    <m/>
    <m/>
    <m/>
    <m/>
    <m/>
  </r>
  <r>
    <x v="87"/>
    <x v="87"/>
    <x v="2"/>
    <s v="Munshiganj"/>
    <s v="Gajaria"/>
    <s v="Private"/>
    <x v="3"/>
    <x v="3"/>
    <x v="4"/>
    <s v="Yes"/>
    <m/>
    <m/>
    <m/>
    <m/>
    <m/>
    <m/>
    <m/>
    <m/>
    <m/>
    <m/>
    <m/>
    <m/>
    <m/>
    <x v="1"/>
    <s v="Yes"/>
    <m/>
    <m/>
    <m/>
    <m/>
    <s v="-"/>
    <m/>
    <s v="-"/>
    <s v="-"/>
    <n v="108057"/>
    <s v="-"/>
    <n v="108"/>
    <n v="0.99800305089446684"/>
    <x v="2"/>
    <x v="9"/>
    <m/>
    <m/>
    <m/>
    <m/>
    <m/>
    <m/>
    <m/>
    <m/>
    <m/>
    <m/>
    <s v="Chemicals"/>
    <s v="Pre-fabricated building materials"/>
    <s v="Cement"/>
    <s v="Shipping"/>
    <s v="Ceramic"/>
    <s v="Light engineering"/>
    <s v="Automobiles"/>
    <s v="Paper Mills"/>
    <s v="-"/>
    <m/>
    <m/>
    <m/>
    <m/>
    <m/>
    <m/>
    <m/>
    <m/>
    <m/>
    <m/>
    <m/>
    <m/>
    <m/>
    <m/>
    <m/>
    <m/>
  </r>
  <r>
    <x v="88"/>
    <x v="88"/>
    <x v="1"/>
    <s v="Chattogram"/>
    <s v="Anowara"/>
    <s v="Private"/>
    <x v="3"/>
    <x v="3"/>
    <x v="4"/>
    <s v="Yes"/>
    <s v="Link"/>
    <m/>
    <m/>
    <m/>
    <m/>
    <m/>
    <m/>
    <m/>
    <m/>
    <m/>
    <m/>
    <m/>
    <m/>
    <x v="1"/>
    <s v="Yes"/>
    <m/>
    <m/>
    <m/>
    <m/>
    <s v="-"/>
    <m/>
    <s v="-"/>
    <s v="-"/>
    <n v="160861"/>
    <s v="-"/>
    <n v="20.98"/>
    <n v="0.9997391876952284"/>
    <x v="2"/>
    <x v="9"/>
    <m/>
    <m/>
    <m/>
    <m/>
    <m/>
    <m/>
    <m/>
    <m/>
    <m/>
    <m/>
    <s v="Ship Building"/>
    <s v="-"/>
    <s v="-"/>
    <s v="-"/>
    <s v="-"/>
    <s v="-"/>
    <s v="-"/>
    <s v="-"/>
    <s v="-"/>
    <m/>
    <m/>
    <m/>
    <m/>
    <m/>
    <m/>
    <m/>
    <m/>
    <m/>
    <m/>
    <m/>
    <m/>
    <m/>
    <m/>
    <m/>
    <m/>
  </r>
  <r>
    <x v="89"/>
    <x v="89"/>
    <x v="1"/>
    <s v="Chattogram"/>
    <s v="Chandanaish"/>
    <s v="Private"/>
    <x v="1"/>
    <x v="1"/>
    <x v="4"/>
    <s v="Yes"/>
    <m/>
    <m/>
    <m/>
    <m/>
    <m/>
    <m/>
    <m/>
    <m/>
    <m/>
    <m/>
    <m/>
    <m/>
    <m/>
    <x v="1"/>
    <m/>
    <m/>
    <m/>
    <m/>
    <m/>
    <s v="-"/>
    <m/>
    <s v="-"/>
    <s v="-"/>
    <s v="-"/>
    <s v="-"/>
    <s v="-"/>
    <s v=""/>
    <x v="1"/>
    <x v="0"/>
    <m/>
    <m/>
    <m/>
    <m/>
    <m/>
    <m/>
    <m/>
    <m/>
    <m/>
    <m/>
    <s v="-"/>
    <s v="-"/>
    <s v="-"/>
    <s v="-"/>
    <s v="-"/>
    <s v="-"/>
    <s v="-"/>
    <s v="-"/>
    <s v="-"/>
    <m/>
    <m/>
    <m/>
    <m/>
    <m/>
    <m/>
    <m/>
    <m/>
    <m/>
    <m/>
    <m/>
    <m/>
    <m/>
    <m/>
    <m/>
    <m/>
  </r>
  <r>
    <x v="90"/>
    <x v="90"/>
    <x v="2"/>
    <s v="Kishoreganj"/>
    <s v="Pakundia"/>
    <s v="Private"/>
    <x v="3"/>
    <x v="3"/>
    <x v="4"/>
    <s v="Yes"/>
    <s v="Link"/>
    <m/>
    <m/>
    <m/>
    <m/>
    <m/>
    <m/>
    <m/>
    <m/>
    <m/>
    <m/>
    <m/>
    <m/>
    <x v="1"/>
    <s v="Yes"/>
    <m/>
    <m/>
    <m/>
    <m/>
    <s v="-"/>
    <m/>
    <s v="-"/>
    <s v="-"/>
    <n v="91.63"/>
    <s v="-"/>
    <n v="91.63"/>
    <n v="0"/>
    <x v="2"/>
    <x v="0"/>
    <m/>
    <m/>
    <m/>
    <m/>
    <m/>
    <m/>
    <m/>
    <m/>
    <m/>
    <m/>
    <s v="Automobiles"/>
    <s v="-"/>
    <s v="-"/>
    <s v="-"/>
    <s v="-"/>
    <s v="-"/>
    <s v="-"/>
    <s v="-"/>
    <s v="-"/>
    <m/>
    <m/>
    <m/>
    <m/>
    <m/>
    <m/>
    <m/>
    <m/>
    <m/>
    <m/>
    <m/>
    <m/>
    <m/>
    <m/>
    <m/>
    <m/>
  </r>
  <r>
    <x v="91"/>
    <x v="91"/>
    <x v="2"/>
    <s v="Narayanganj"/>
    <s v="Sonargaon"/>
    <s v="Private"/>
    <x v="3"/>
    <x v="3"/>
    <x v="4"/>
    <s v="Yes"/>
    <s v="Link"/>
    <m/>
    <m/>
    <m/>
    <m/>
    <m/>
    <m/>
    <m/>
    <m/>
    <m/>
    <m/>
    <m/>
    <m/>
    <x v="1"/>
    <s v="Yes"/>
    <m/>
    <m/>
    <m/>
    <m/>
    <s v="-"/>
    <m/>
    <s v="-"/>
    <s v="-"/>
    <n v="67.916300000000007"/>
    <s v="-"/>
    <n v="67.92"/>
    <n v="2.7238668897746256E-5"/>
    <x v="2"/>
    <x v="0"/>
    <m/>
    <m/>
    <m/>
    <m/>
    <m/>
    <m/>
    <m/>
    <m/>
    <m/>
    <m/>
    <s v="Agro-Processing"/>
    <s v="Fiber Bag"/>
    <s v="Steel"/>
    <s v="Plastic"/>
    <s v="Packaging"/>
    <s v="Pharmaceuticals"/>
    <s v="Chemicals"/>
    <s v="-"/>
    <s v="-"/>
    <m/>
    <m/>
    <m/>
    <m/>
    <m/>
    <m/>
    <m/>
    <m/>
    <m/>
    <m/>
    <m/>
    <m/>
    <m/>
    <m/>
    <m/>
    <m/>
  </r>
  <r>
    <x v="92"/>
    <x v="92"/>
    <x v="2"/>
    <s v="Narayanganj"/>
    <s v="Sonargaon"/>
    <s v="Private"/>
    <x v="3"/>
    <x v="3"/>
    <x v="4"/>
    <s v="Yes"/>
    <s v="Link"/>
    <m/>
    <m/>
    <m/>
    <m/>
    <m/>
    <m/>
    <m/>
    <m/>
    <m/>
    <m/>
    <m/>
    <m/>
    <x v="1"/>
    <s v="Yes"/>
    <s v="Yes"/>
    <m/>
    <m/>
    <m/>
    <s v="-"/>
    <m/>
    <s v="-"/>
    <s v="-"/>
    <n v="892726"/>
    <n v="96.98"/>
    <n v="110"/>
    <n v="1.4137218448603279"/>
    <x v="2"/>
    <x v="9"/>
    <m/>
    <m/>
    <m/>
    <m/>
    <m/>
    <m/>
    <m/>
    <m/>
    <m/>
    <m/>
    <s v="Paper &amp; Paper Products"/>
    <s v="Oil Refinery"/>
    <s v="Agro-processing"/>
    <s v="Plastic"/>
    <s v="Ceramics"/>
    <s v="LPG Bottling"/>
    <s v="-"/>
    <s v="-"/>
    <s v="-"/>
    <m/>
    <m/>
    <m/>
    <m/>
    <m/>
    <m/>
    <m/>
    <m/>
    <m/>
    <m/>
    <m/>
    <m/>
    <m/>
    <m/>
    <m/>
    <m/>
  </r>
  <r>
    <x v="93"/>
    <x v="93"/>
    <x v="3"/>
    <s v="Sirajganj"/>
    <s v="Sirajganj Sadar, Belkuchi"/>
    <s v="Private"/>
    <x v="3"/>
    <x v="3"/>
    <x v="4"/>
    <s v="Yes"/>
    <s v="Link"/>
    <m/>
    <m/>
    <m/>
    <m/>
    <m/>
    <m/>
    <m/>
    <m/>
    <m/>
    <m/>
    <m/>
    <m/>
    <x v="1"/>
    <s v="Yes"/>
    <m/>
    <m/>
    <m/>
    <m/>
    <s v="-"/>
    <m/>
    <s v="-"/>
    <s v="-"/>
    <n v="1035.93"/>
    <s v="-"/>
    <n v="1035.93"/>
    <n v="0"/>
    <x v="2"/>
    <x v="10"/>
    <m/>
    <m/>
    <m/>
    <m/>
    <m/>
    <m/>
    <m/>
    <m/>
    <m/>
    <m/>
    <s v="Textile &amp; RMG"/>
    <s v="Agro-Processing"/>
    <s v="Pharmaceuticals"/>
    <s v="Leather"/>
    <s v="Automobile Engineering"/>
    <s v="LPG Bottling"/>
    <s v="Steel"/>
    <s v="Ship Building"/>
    <s v="-"/>
    <m/>
    <m/>
    <m/>
    <m/>
    <m/>
    <m/>
    <m/>
    <m/>
    <m/>
    <m/>
    <m/>
    <m/>
    <m/>
    <m/>
    <m/>
    <m/>
  </r>
  <r>
    <x v="94"/>
    <x v="94"/>
    <x v="2"/>
    <s v="Narayanganj"/>
    <s v="Sonargaon"/>
    <s v="Private"/>
    <x v="3"/>
    <x v="2"/>
    <x v="4"/>
    <s v="Yes"/>
    <m/>
    <m/>
    <m/>
    <m/>
    <m/>
    <m/>
    <m/>
    <m/>
    <m/>
    <m/>
    <m/>
    <m/>
    <m/>
    <x v="1"/>
    <m/>
    <m/>
    <m/>
    <m/>
    <m/>
    <s v="-"/>
    <m/>
    <s v="-"/>
    <s v="-"/>
    <s v="-"/>
    <s v="-"/>
    <n v="450"/>
    <n v="0"/>
    <x v="2"/>
    <x v="8"/>
    <m/>
    <m/>
    <m/>
    <m/>
    <m/>
    <m/>
    <m/>
    <m/>
    <m/>
    <m/>
    <s v="-"/>
    <s v="-"/>
    <s v="-"/>
    <s v="-"/>
    <s v="-"/>
    <s v="-"/>
    <s v="-"/>
    <s v="-"/>
    <s v="-"/>
    <m/>
    <m/>
    <m/>
    <m/>
    <m/>
    <m/>
    <m/>
    <m/>
    <m/>
    <m/>
    <m/>
    <m/>
    <m/>
    <m/>
    <m/>
    <m/>
  </r>
  <r>
    <x v="95"/>
    <x v="95"/>
    <x v="2"/>
    <s v="Munshiganj"/>
    <s v="Gajaria"/>
    <s v="Private"/>
    <x v="1"/>
    <x v="1"/>
    <x v="4"/>
    <s v="Yes"/>
    <m/>
    <m/>
    <m/>
    <m/>
    <m/>
    <m/>
    <m/>
    <m/>
    <m/>
    <m/>
    <m/>
    <m/>
    <m/>
    <x v="1"/>
    <m/>
    <m/>
    <m/>
    <m/>
    <m/>
    <s v="-"/>
    <m/>
    <s v="-"/>
    <s v="-"/>
    <s v="-"/>
    <s v="-"/>
    <n v="108"/>
    <n v="0"/>
    <x v="2"/>
    <x v="0"/>
    <m/>
    <m/>
    <m/>
    <m/>
    <m/>
    <m/>
    <m/>
    <m/>
    <m/>
    <m/>
    <s v="-"/>
    <s v="-"/>
    <s v="-"/>
    <s v="-"/>
    <s v="-"/>
    <s v="-"/>
    <s v="-"/>
    <s v="-"/>
    <s v="-"/>
    <m/>
    <m/>
    <m/>
    <m/>
    <m/>
    <m/>
    <m/>
    <m/>
    <m/>
    <m/>
    <m/>
    <m/>
    <m/>
    <m/>
    <m/>
    <m/>
  </r>
  <r>
    <x v="96"/>
    <x v="96"/>
    <x v="2"/>
    <s v="Dhaka"/>
    <s v="Vatara &amp; Badda"/>
    <s v="Private"/>
    <x v="3"/>
    <x v="2"/>
    <x v="4"/>
    <s v="Yes"/>
    <m/>
    <m/>
    <m/>
    <m/>
    <m/>
    <m/>
    <m/>
    <m/>
    <m/>
    <m/>
    <m/>
    <m/>
    <m/>
    <x v="1"/>
    <m/>
    <m/>
    <m/>
    <m/>
    <m/>
    <s v="-"/>
    <m/>
    <s v="-"/>
    <s v="-"/>
    <s v="-"/>
    <s v="-"/>
    <n v="2.5"/>
    <n v="0"/>
    <x v="2"/>
    <x v="0"/>
    <m/>
    <m/>
    <m/>
    <m/>
    <m/>
    <m/>
    <m/>
    <m/>
    <m/>
    <m/>
    <s v="IT"/>
    <s v="-"/>
    <s v="-"/>
    <s v="-"/>
    <s v="-"/>
    <s v="-"/>
    <s v="-"/>
    <s v="-"/>
    <s v="-"/>
    <m/>
    <m/>
    <m/>
    <m/>
    <m/>
    <m/>
    <m/>
    <m/>
    <m/>
    <m/>
    <m/>
    <m/>
    <m/>
    <m/>
    <m/>
    <m/>
  </r>
  <r>
    <x v="97"/>
    <x v="97"/>
    <x v="1"/>
    <s v="Chittagong"/>
    <s v="Mirshorai"/>
    <s v="Government"/>
    <x v="4"/>
    <x v="0"/>
    <x v="3"/>
    <m/>
    <m/>
    <m/>
    <m/>
    <m/>
    <m/>
    <m/>
    <m/>
    <s v="Yes"/>
    <n v="2016"/>
    <m/>
    <m/>
    <m/>
    <m/>
    <x v="0"/>
    <m/>
    <m/>
    <m/>
    <s v="Feasibility or Pre feasibility"/>
    <m/>
    <m/>
    <m/>
    <m/>
    <m/>
    <m/>
    <m/>
    <m/>
    <s v=""/>
    <x v="1"/>
    <x v="11"/>
    <m/>
    <n v="1"/>
    <n v="690.47"/>
    <m/>
    <m/>
    <m/>
    <m/>
    <m/>
    <m/>
    <n v="1300"/>
    <s v="Integrated Textiles"/>
    <s v="RMG"/>
    <s v="Food processing"/>
    <s v="Light engineering"/>
    <s v="Petroleum and petroleum products"/>
    <s v="Pharmaceuticals"/>
    <s v="Shipbuilding"/>
    <s v="Electrical and Electronics"/>
    <m/>
    <m/>
    <m/>
    <m/>
    <m/>
    <m/>
    <m/>
    <n v="130"/>
    <n v="134666"/>
    <m/>
    <m/>
    <m/>
    <m/>
    <m/>
    <m/>
    <m/>
    <m/>
  </r>
  <r>
    <x v="98"/>
    <x v="98"/>
    <x v="0"/>
    <s v="Bhola"/>
    <s v="Bhola Sadar"/>
    <m/>
    <x v="4"/>
    <x v="4"/>
    <x v="2"/>
    <m/>
    <m/>
    <m/>
    <m/>
    <m/>
    <m/>
    <m/>
    <m/>
    <m/>
    <m/>
    <m/>
    <m/>
    <m/>
    <m/>
    <x v="1"/>
    <m/>
    <m/>
    <m/>
    <m/>
    <m/>
    <m/>
    <m/>
    <m/>
    <m/>
    <m/>
    <m/>
    <m/>
    <s v=""/>
    <x v="1"/>
    <x v="12"/>
    <m/>
    <m/>
    <m/>
    <m/>
    <m/>
    <m/>
    <m/>
    <m/>
    <m/>
    <m/>
    <m/>
    <m/>
    <m/>
    <m/>
    <m/>
    <m/>
    <m/>
    <m/>
    <m/>
    <m/>
    <m/>
    <m/>
    <m/>
    <m/>
    <m/>
    <m/>
    <m/>
    <m/>
    <m/>
    <m/>
    <m/>
    <m/>
    <m/>
    <m/>
    <m/>
  </r>
  <r>
    <x v="99"/>
    <x v="99"/>
    <x v="1"/>
    <s v="Lakshmipur"/>
    <m/>
    <m/>
    <x v="4"/>
    <x v="4"/>
    <x v="2"/>
    <m/>
    <m/>
    <m/>
    <m/>
    <m/>
    <m/>
    <m/>
    <m/>
    <m/>
    <m/>
    <m/>
    <m/>
    <m/>
    <m/>
    <x v="1"/>
    <m/>
    <m/>
    <m/>
    <m/>
    <m/>
    <m/>
    <m/>
    <m/>
    <m/>
    <m/>
    <m/>
    <m/>
    <s v=""/>
    <x v="1"/>
    <x v="12"/>
    <m/>
    <m/>
    <m/>
    <m/>
    <m/>
    <m/>
    <m/>
    <m/>
    <m/>
    <m/>
    <m/>
    <m/>
    <m/>
    <m/>
    <m/>
    <m/>
    <m/>
    <m/>
    <m/>
    <m/>
    <m/>
    <m/>
    <m/>
    <m/>
    <m/>
    <m/>
    <m/>
    <m/>
    <m/>
    <m/>
    <m/>
    <m/>
    <m/>
    <m/>
    <m/>
  </r>
  <r>
    <x v="100"/>
    <x v="100"/>
    <x v="7"/>
    <s v="Magura"/>
    <m/>
    <m/>
    <x v="4"/>
    <x v="4"/>
    <x v="2"/>
    <m/>
    <m/>
    <m/>
    <m/>
    <m/>
    <m/>
    <m/>
    <m/>
    <m/>
    <m/>
    <m/>
    <m/>
    <m/>
    <m/>
    <x v="1"/>
    <m/>
    <m/>
    <m/>
    <m/>
    <m/>
    <m/>
    <m/>
    <m/>
    <m/>
    <m/>
    <m/>
    <m/>
    <s v=""/>
    <x v="1"/>
    <x v="12"/>
    <m/>
    <m/>
    <m/>
    <m/>
    <m/>
    <m/>
    <m/>
    <m/>
    <m/>
    <m/>
    <m/>
    <m/>
    <m/>
    <m/>
    <m/>
    <m/>
    <m/>
    <m/>
    <m/>
    <m/>
    <m/>
    <m/>
    <m/>
    <m/>
    <m/>
    <m/>
    <m/>
    <m/>
    <m/>
    <m/>
    <m/>
    <m/>
    <m/>
    <m/>
    <m/>
  </r>
  <r>
    <x v="101"/>
    <x v="101"/>
    <x v="7"/>
    <s v="Sathkira"/>
    <m/>
    <m/>
    <x v="4"/>
    <x v="4"/>
    <x v="2"/>
    <m/>
    <m/>
    <m/>
    <m/>
    <m/>
    <m/>
    <m/>
    <m/>
    <m/>
    <m/>
    <m/>
    <m/>
    <m/>
    <m/>
    <x v="1"/>
    <m/>
    <m/>
    <m/>
    <m/>
    <m/>
    <m/>
    <m/>
    <m/>
    <m/>
    <m/>
    <m/>
    <m/>
    <s v=""/>
    <x v="1"/>
    <x v="12"/>
    <m/>
    <m/>
    <m/>
    <m/>
    <m/>
    <m/>
    <m/>
    <m/>
    <m/>
    <m/>
    <m/>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3">
  <r>
    <n v="1"/>
    <s v="Agoiljhara Economic Zone"/>
    <x v="0"/>
    <s v="Barishal"/>
    <s v="Agoiljhara"/>
    <x v="0"/>
    <s v="Planning Stage"/>
    <m/>
    <x v="0"/>
    <s v="Yes"/>
    <m/>
    <m/>
    <m/>
    <m/>
    <m/>
    <m/>
    <m/>
    <s v="Yes"/>
    <n v="2021"/>
    <m/>
    <m/>
    <m/>
    <s v="Feasibility or Pre feasibility"/>
    <n v="300"/>
    <s v="-"/>
    <s v="-"/>
    <n v="329.43"/>
    <m/>
    <m/>
    <n v="1.3973939393939394"/>
    <n v="230.57"/>
    <m/>
    <n v="38.03"/>
    <n v="16.79"/>
    <n v="11.1"/>
    <n v="32.94"/>
    <m/>
    <n v="329.43000000000006"/>
    <s v="Textiles and RMG"/>
    <s v="Wood products and furniture"/>
    <s v="Food and beverages"/>
    <s v="Agro based"/>
    <s v="Paper and packaging"/>
    <s v="Light engineering"/>
    <m/>
    <m/>
    <m/>
    <m/>
    <m/>
    <s v="45km from Barishal domestic airport"/>
    <s v="No prevailing rail network, nearest railway station is Khulna railway station 94 km away"/>
    <s v="110km from Mongla port"/>
    <s v="145 km from Bhomra land port"/>
    <n v="40.1"/>
    <n v="13000"/>
    <n v="15800"/>
    <n v="4939.82"/>
    <m/>
    <m/>
    <m/>
    <s v="Short-Term"/>
    <m/>
    <m/>
  </r>
  <r>
    <n v="2"/>
    <s v="Anowara Economic Zone"/>
    <x v="1"/>
    <s v="Chattogram"/>
    <s v="Anowara"/>
    <x v="1"/>
    <s v="Under Development"/>
    <s v="Feasibility report shows data for Anwara EZ,  total area suggests combined data of both EZ"/>
    <x v="1"/>
    <s v="Yes"/>
    <m/>
    <m/>
    <m/>
    <m/>
    <m/>
    <m/>
    <m/>
    <s v="Yes"/>
    <n v="2014"/>
    <m/>
    <m/>
    <m/>
    <s v="Feasibility or Pre feasibility"/>
    <n v="503.7"/>
    <s v="-"/>
    <s v="-"/>
    <n v="1389.5"/>
    <s v="Report is from 2014_x000a_Utility demands are projected data for 2022"/>
    <m/>
    <n v="2.4700000000000002"/>
    <n v="895.56"/>
    <m/>
    <n v="75.37"/>
    <n v="189.57"/>
    <n v="18.77"/>
    <n v="44.67"/>
    <n v="165.56"/>
    <n v="1389.5"/>
    <s v="Shipbuilding"/>
    <s v="Shipbuilding components"/>
    <s v="Steel Mills/Steel Products"/>
    <s v="Automobile Parts and Assembly"/>
    <s v="Leather Goods"/>
    <s v="Pharmaceuticals"/>
    <m/>
    <m/>
    <m/>
    <m/>
    <m/>
    <s v="46km from Chittagong airport"/>
    <s v="32km from Chittagong railway station"/>
    <s v="39km from Chittagong port_x000a_12km from Chittagong port by sea route"/>
    <m/>
    <n v="98.75"/>
    <n v="36731.339999999997"/>
    <m/>
    <m/>
    <m/>
    <m/>
    <m/>
    <s v="Medium-Term"/>
    <m/>
    <m/>
  </r>
  <r>
    <n v="3"/>
    <s v="Jamalpur Economic Zone"/>
    <x v="2"/>
    <s v="Jamalpur"/>
    <s v="Jamalpur Sadar"/>
    <x v="0"/>
    <s v="Under Development"/>
    <m/>
    <x v="1"/>
    <s v="Yes"/>
    <m/>
    <m/>
    <m/>
    <s v="Yes"/>
    <n v="2021"/>
    <m/>
    <m/>
    <s v="Yes"/>
    <n v="2017"/>
    <m/>
    <m/>
    <m/>
    <s v="Feasibility or Pre feasibility"/>
    <n v="436"/>
    <s v="-"/>
    <n v="402.66"/>
    <n v="443"/>
    <m/>
    <m/>
    <m/>
    <n v="268.56"/>
    <m/>
    <n v="60.27"/>
    <n v="18.32"/>
    <n v="12.31"/>
    <n v="41.71"/>
    <n v="35.750000000000057"/>
    <n v="436.92"/>
    <s v="Food and Beverage"/>
    <s v="Agro based"/>
    <s v="Leather Goods"/>
    <s v="Chemicals"/>
    <s v="Electrical and Electronics"/>
    <s v="Pharmaceuticals"/>
    <m/>
    <m/>
    <m/>
    <m/>
    <m/>
    <s v="167km from Hazrat Shahjalal International Airport"/>
    <s v="60km from Mymensingh railway station"/>
    <s v="377km from Mongla Port"/>
    <m/>
    <n v="47"/>
    <n v="9000"/>
    <n v="18400"/>
    <m/>
    <m/>
    <m/>
    <m/>
    <s v="Long-Term"/>
    <m/>
    <m/>
  </r>
  <r>
    <n v="4"/>
    <s v="Sherpur Economic Zone"/>
    <x v="2"/>
    <s v="Sherpur"/>
    <s v="Sherpur Sadar"/>
    <x v="0"/>
    <s v="Planning Stage"/>
    <m/>
    <x v="0"/>
    <s v="Yes"/>
    <m/>
    <m/>
    <m/>
    <m/>
    <m/>
    <m/>
    <m/>
    <s v="Yes"/>
    <n v="2014"/>
    <m/>
    <m/>
    <m/>
    <s v="Feasibility or Pre feasibility"/>
    <n v="361.08"/>
    <s v="-"/>
    <s v="-"/>
    <n v="353.53"/>
    <m/>
    <m/>
    <n v="2.4700000000000002"/>
    <n v="211.68"/>
    <m/>
    <n v="38.79"/>
    <n v="43.76"/>
    <n v="11.02"/>
    <n v="10.94"/>
    <n v="37.339999999999975"/>
    <n v="353.53"/>
    <s v="Integrated Textiles"/>
    <s v="Ceramics"/>
    <s v="Food processing"/>
    <s v="Machinery"/>
    <s v="Pharmaceuticals"/>
    <s v="ICT BPO"/>
    <s v="Leather Goods"/>
    <s v="Paint and Chemical"/>
    <m/>
    <m/>
    <m/>
    <s v="55 km from Osmani Airport"/>
    <s v="35 km from sylhet railway station_x000a_43 km from Sreemangal railway station"/>
    <s v="435 km from Chittagong port"/>
    <m/>
    <n v="33.04"/>
    <n v="59011"/>
    <n v="655312"/>
    <m/>
    <m/>
    <m/>
    <m/>
    <m/>
    <m/>
    <m/>
  </r>
  <r>
    <n v="5"/>
    <s v="Moheshkhali Economic Zone – 3, Dhalghata, Cox’s Bazar"/>
    <x v="1"/>
    <s v="Cox’s Bazar"/>
    <s v="Moheshkhali"/>
    <x v="0"/>
    <s v="Planning Stage"/>
    <m/>
    <x v="1"/>
    <s v="Yes"/>
    <m/>
    <m/>
    <m/>
    <m/>
    <m/>
    <m/>
    <m/>
    <s v="Yes"/>
    <n v="2022"/>
    <m/>
    <m/>
    <m/>
    <s v="Feasibility or Pre feasibility"/>
    <n v="1501.04"/>
    <s v="-"/>
    <s v="-"/>
    <n v="1240"/>
    <m/>
    <m/>
    <m/>
    <m/>
    <m/>
    <m/>
    <m/>
    <m/>
    <m/>
    <m/>
    <n v="1240"/>
    <s v="Oil Refinery and Petrochemicals"/>
    <s v="Marine Fish Processing"/>
    <s v="Shipbuilding"/>
    <s v="Steel Manufacturing"/>
    <s v="Steel Rerolling"/>
    <s v="Logistics Hub/Gas Bottling"/>
    <s v="Automobile and Heavy Engg."/>
    <m/>
    <m/>
    <m/>
    <m/>
    <s v="25.8 km from Cox's Bazar Airport"/>
    <s v="70.7 km from Chittagong Railway station"/>
    <s v="70.3 km from Chittagong sea port_x000a_167.3 km from Payra sea port"/>
    <m/>
    <n v="291.7"/>
    <n v="8594"/>
    <n v="2385698"/>
    <m/>
    <m/>
    <m/>
    <m/>
    <m/>
    <m/>
    <m/>
  </r>
  <r>
    <n v="6"/>
    <s v="Bogura Economic Zone – 1"/>
    <x v="3"/>
    <s v="Bogura"/>
    <s v="Shahajahanpur"/>
    <x v="0"/>
    <s v="Planning Stage"/>
    <m/>
    <x v="1"/>
    <s v="Yes"/>
    <m/>
    <m/>
    <m/>
    <s v="Yes"/>
    <n v="2018"/>
    <m/>
    <m/>
    <s v="Yes"/>
    <n v="2022"/>
    <m/>
    <m/>
    <m/>
    <s v="Feasibility or Pre feasibility"/>
    <n v="251.43"/>
    <s v="-"/>
    <n v="251.43"/>
    <n v="251.43"/>
    <m/>
    <m/>
    <n v="1"/>
    <n v="158.53"/>
    <m/>
    <n v="36.56"/>
    <n v="9.34"/>
    <m/>
    <n v="18.12"/>
    <n v="28.879999999999995"/>
    <n v="251.43"/>
    <s v="Light Engineering"/>
    <s v="Textiles and Jute"/>
    <s v="Pharmaceuticals"/>
    <s v="Agro based"/>
    <s v="Plastics"/>
    <s v="Wood products and furniture"/>
    <m/>
    <m/>
    <m/>
    <m/>
    <m/>
    <s v="160 km from Rajshahi airport_x000a_180 lm from Hazrat Shahjalal Int'l Airport"/>
    <m/>
    <m/>
    <m/>
    <n v="25.2"/>
    <n v="28218"/>
    <n v="8199"/>
    <m/>
    <m/>
    <m/>
    <m/>
    <m/>
    <m/>
    <m/>
  </r>
  <r>
    <n v="7"/>
    <s v="Netrakona Economic Zone – 1"/>
    <x v="2"/>
    <s v="Netrakona"/>
    <s v="Netrakona Sadar"/>
    <x v="0"/>
    <s v="Planning Stage"/>
    <m/>
    <x v="2"/>
    <s v="Yes"/>
    <m/>
    <m/>
    <m/>
    <m/>
    <m/>
    <m/>
    <m/>
    <s v="Yes"/>
    <n v="2021"/>
    <m/>
    <m/>
    <m/>
    <s v="Feasibility or Pre feasibility"/>
    <n v="266.755"/>
    <s v="-"/>
    <s v="-"/>
    <n v="500"/>
    <m/>
    <m/>
    <n v="1.2954777070063694"/>
    <n v="203.39"/>
    <m/>
    <m/>
    <m/>
    <m/>
    <m/>
    <m/>
    <n v="500"/>
    <s v="Textiles and RMG"/>
    <s v="Pharmaceuticals"/>
    <s v="Ceramic"/>
    <s v="Agro based"/>
    <s v="Light engineering"/>
    <s v="SMEs"/>
    <m/>
    <m/>
    <m/>
    <m/>
    <m/>
    <s v="150km from Hazrat Shahjalal International Airport"/>
    <s v="Adjacent to Netrokona railway line"/>
    <m/>
    <m/>
    <n v="42.85"/>
    <m/>
    <n v="40000"/>
    <m/>
    <m/>
    <m/>
    <m/>
    <m/>
    <m/>
    <m/>
  </r>
  <r>
    <n v="8"/>
    <s v="Mirsarai Economic Zone"/>
    <x v="1"/>
    <s v="Chittagong"/>
    <s v="Mirsarai"/>
    <x v="0"/>
    <s v="Under Development"/>
    <s v="BSMSN"/>
    <x v="1"/>
    <s v="Yes"/>
    <m/>
    <s v="Yes"/>
    <n v="2022"/>
    <m/>
    <m/>
    <s v="Yes"/>
    <n v="2016"/>
    <s v="Yes"/>
    <n v="2014"/>
    <s v="Yes"/>
    <n v="2014"/>
    <m/>
    <s v="Feasibility or Pre feasibility + Site Visit Report for BSMSN"/>
    <m/>
    <s v="N/A"/>
    <s v="-"/>
    <n v="7195.3"/>
    <m/>
    <m/>
    <n v="2.4700000000000002"/>
    <n v="3110.31"/>
    <m/>
    <n v="547.40000000000009"/>
    <m/>
    <m/>
    <n v="365.67"/>
    <m/>
    <n v="7195.3"/>
    <s v="RMG"/>
    <s v="Integrated Textiles"/>
    <s v="Automobile Parts and Assembly"/>
    <s v="Food and Beverage"/>
    <s v="Paint and Chemical"/>
    <s v="Paper and packaging"/>
    <s v="Plastics"/>
    <s v="Other parts and machinery"/>
    <m/>
    <m/>
    <m/>
    <s v="79km from Chittagong Airport"/>
    <s v="11.5km from Borotakia Railway Station"/>
    <s v="67km from Chittagong Port_x000a_85km from Chittagong Port by Sea Route"/>
    <m/>
    <n v="600"/>
    <n v="280000"/>
    <m/>
    <n v="224000"/>
    <s v="."/>
    <m/>
    <m/>
    <m/>
    <m/>
    <m/>
  </r>
  <r>
    <n v="9"/>
    <s v="Moheshkhali Special Economic Zone, Ghativanga-Sonadia"/>
    <x v="1"/>
    <s v="Cox’s Bazar"/>
    <s v="Moheshkhali"/>
    <x v="0"/>
    <s v="Under Development"/>
    <m/>
    <x v="1"/>
    <s v="Yes"/>
    <m/>
    <m/>
    <m/>
    <m/>
    <m/>
    <m/>
    <m/>
    <s v="Yes"/>
    <n v="2021"/>
    <m/>
    <m/>
    <m/>
    <s v="Feasibility or Pre feasibility"/>
    <n v="12962.22"/>
    <s v="-"/>
    <s v="-"/>
    <n v="8967"/>
    <m/>
    <m/>
    <m/>
    <m/>
    <m/>
    <m/>
    <m/>
    <m/>
    <m/>
    <m/>
    <n v="8967"/>
    <s v="Tourism"/>
    <m/>
    <m/>
    <m/>
    <m/>
    <m/>
    <m/>
    <m/>
    <m/>
    <m/>
    <m/>
    <s v="110 km from Cox’s Bazar domestic airport"/>
    <s v="120 km from Chittagong Railway Station"/>
    <s v="124 km from Chittagong Port"/>
    <m/>
    <n v="35.76"/>
    <n v="3464.97"/>
    <m/>
    <m/>
    <m/>
    <m/>
    <m/>
    <m/>
    <m/>
    <m/>
  </r>
  <r>
    <n v="10"/>
    <s v="Feni Economic Zone"/>
    <x v="1"/>
    <s v="Feni"/>
    <s v="Sonagazi"/>
    <x v="0"/>
    <s v="Planning Stage"/>
    <m/>
    <x v="1"/>
    <m/>
    <m/>
    <m/>
    <m/>
    <s v="Yes"/>
    <n v="2019"/>
    <m/>
    <m/>
    <m/>
    <m/>
    <m/>
    <m/>
    <m/>
    <s v="Feasibility or Pre feasibility + Site Visit Report for BSMSN"/>
    <n v="7219.79"/>
    <s v="-"/>
    <n v="7000"/>
    <s v="-"/>
    <m/>
    <m/>
    <n v="4.9065420560747661"/>
    <m/>
    <m/>
    <m/>
    <m/>
    <m/>
    <m/>
    <m/>
    <n v="7000"/>
    <s v="Textiles and RMG"/>
    <s v="Light Machinery, Equipment and Furniture"/>
    <s v="Electrical and Electronics"/>
    <s v="Leather Goods"/>
    <s v="Non-Metallic mineral products"/>
    <s v="Petroleum and petroleum products"/>
    <s v="Heavy Machinery, Iron &amp; Steel and metals"/>
    <s v="Shipbuilding"/>
    <s v="Automobile Parts and Assembly"/>
    <m/>
    <m/>
    <s v="75km from Chittagong Airport"/>
    <s v="15 km from Boraiyarhat Railway Station"/>
    <s v="75km from Chittagong Port_x000a_85km from Chittagong Port by Sea Route"/>
    <s v="60km from Belonia Land port"/>
    <n v="589"/>
    <n v="127600"/>
    <m/>
    <n v="91100"/>
    <m/>
    <m/>
    <m/>
    <m/>
    <m/>
    <m/>
  </r>
  <r>
    <n v="11"/>
    <s v="Gopalganj Economic Zone – 2"/>
    <x v="4"/>
    <s v="Gopalganj"/>
    <s v="Gopalganj Sadar"/>
    <x v="0"/>
    <s v="Planning Stage"/>
    <m/>
    <x v="0"/>
    <m/>
    <m/>
    <m/>
    <m/>
    <m/>
    <m/>
    <m/>
    <m/>
    <m/>
    <m/>
    <m/>
    <m/>
    <m/>
    <m/>
    <m/>
    <s v="-"/>
    <s v="-"/>
    <s v="-"/>
    <m/>
    <m/>
    <m/>
    <m/>
    <m/>
    <m/>
    <m/>
    <m/>
    <m/>
    <m/>
    <m/>
    <m/>
    <m/>
    <m/>
    <m/>
    <m/>
    <m/>
    <m/>
    <m/>
    <m/>
    <m/>
    <m/>
    <m/>
    <m/>
    <m/>
    <m/>
    <m/>
    <m/>
    <m/>
    <m/>
    <m/>
    <m/>
    <m/>
    <m/>
    <m/>
    <m/>
  </r>
  <r>
    <n v="12"/>
    <s v="Shariatpur Economic Zone, Jajira"/>
    <x v="4"/>
    <s v="Shariatpur"/>
    <s v="Jajira"/>
    <x v="0"/>
    <s v="Planning Stage"/>
    <m/>
    <x v="0"/>
    <m/>
    <m/>
    <m/>
    <m/>
    <s v="Yes"/>
    <n v="2019"/>
    <m/>
    <m/>
    <m/>
    <m/>
    <m/>
    <m/>
    <m/>
    <s v="Feasibility or Pre feasibility"/>
    <n v="525.26499999999999"/>
    <s v="-"/>
    <n v="532.14"/>
    <s v="-"/>
    <m/>
    <m/>
    <n v="1"/>
    <n v="349.13"/>
    <m/>
    <n v="76.7"/>
    <n v="17.739999999999998"/>
    <n v="21.54"/>
    <n v="52.96"/>
    <n v="11.539999999999964"/>
    <n v="529.61"/>
    <s v="Food and Beverage"/>
    <s v="Chemicals"/>
    <s v="Pharmaceuticals"/>
    <s v="Light Machinery, Equipment and Furniture"/>
    <m/>
    <m/>
    <m/>
    <m/>
    <m/>
    <m/>
    <m/>
    <s v="80km from Hazrat Shahjalal International Airport"/>
    <s v="65km from Kamlapur Railway Station"/>
    <s v="185km from Mongla Port"/>
    <m/>
    <n v="59.27"/>
    <n v="18500"/>
    <m/>
    <n v="12790"/>
    <m/>
    <m/>
    <m/>
    <m/>
    <m/>
    <m/>
  </r>
  <r>
    <n v="13"/>
    <s v="Araihazar Economic Zone – 2"/>
    <x v="4"/>
    <s v="Narayanganj"/>
    <s v="Araihazar"/>
    <x v="1"/>
    <s v="Under Development"/>
    <m/>
    <x v="1"/>
    <m/>
    <m/>
    <m/>
    <m/>
    <s v="Yes"/>
    <n v="2021"/>
    <m/>
    <m/>
    <m/>
    <m/>
    <m/>
    <m/>
    <m/>
    <s v="Feasibility or Pre feasibility"/>
    <n v="400"/>
    <s v="-"/>
    <n v="413"/>
    <s v="-"/>
    <m/>
    <m/>
    <n v="1"/>
    <n v="276.16000000000003"/>
    <m/>
    <n v="54.44"/>
    <n v="19.3"/>
    <n v="12.84"/>
    <n v="50.26"/>
    <m/>
    <n v="413"/>
    <s v="Food and Beverage"/>
    <s v="Leather Goods"/>
    <s v="Chemicals"/>
    <s v="Non-Metallic mineral products"/>
    <s v="Heavy Machinery, Iron &amp; Steel and metals"/>
    <s v="Paper and packaging"/>
    <s v="Pharmaceuticals"/>
    <s v="Light Machinery, Equipment and Furniture"/>
    <m/>
    <m/>
    <m/>
    <s v="64km from Hazrat Shahjalal International Airport"/>
    <s v="51km from Dhaka Railway Station"/>
    <s v="258km from Chittagong Port"/>
    <s v="116km from Akhaura Land Port"/>
    <n v="48"/>
    <n v="5000"/>
    <n v="18900"/>
    <n v="4735.03"/>
    <m/>
    <m/>
    <m/>
    <m/>
    <m/>
    <m/>
  </r>
  <r>
    <n v="14"/>
    <s v="Bhola Economic Zone"/>
    <x v="0"/>
    <s v="Bhola"/>
    <s v="Bhola Sadar"/>
    <x v="0"/>
    <s v="Planning Stage"/>
    <m/>
    <x v="0"/>
    <m/>
    <m/>
    <m/>
    <m/>
    <s v="Yes"/>
    <n v="2021"/>
    <m/>
    <m/>
    <m/>
    <m/>
    <m/>
    <m/>
    <m/>
    <s v="Feasibility or Pre feasibility + Site Visit Report"/>
    <n v="304.07"/>
    <s v="-"/>
    <n v="304.07"/>
    <s v="-"/>
    <m/>
    <m/>
    <n v="1"/>
    <n v="212.27"/>
    <m/>
    <n v="39.989999999999995"/>
    <n v="14.83"/>
    <n v="4.9400000000000004"/>
    <n v="31.97"/>
    <m/>
    <n v="304"/>
    <s v="Food and Beverage"/>
    <s v="Agro based"/>
    <s v="Chemicals"/>
    <s v="Non-Metallic mineral products"/>
    <m/>
    <m/>
    <m/>
    <m/>
    <m/>
    <m/>
    <m/>
    <s v="53km from Barisal Airport"/>
    <m/>
    <s v="206km from Mongla Port_x000a_215km from Chittagong Port"/>
    <m/>
    <n v="36"/>
    <n v="7000"/>
    <n v="14550"/>
    <m/>
    <m/>
    <m/>
    <m/>
    <m/>
    <m/>
    <m/>
  </r>
  <r>
    <n v="15"/>
    <s v="Chandpur Economic Zone – 1"/>
    <x v="1"/>
    <s v="Chandpur"/>
    <s v="Matlab Uttar"/>
    <x v="0"/>
    <s v="Planning Stage"/>
    <m/>
    <x v="0"/>
    <m/>
    <m/>
    <m/>
    <m/>
    <s v="Yes"/>
    <n v="2021"/>
    <m/>
    <m/>
    <m/>
    <m/>
    <m/>
    <m/>
    <m/>
    <s v="Feasibility or Pre feasibility"/>
    <m/>
    <s v="-"/>
    <n v="3037.85"/>
    <s v="-"/>
    <m/>
    <m/>
    <n v="1"/>
    <n v="2109.88"/>
    <m/>
    <n v="419.94"/>
    <n v="170.93"/>
    <n v="32.29"/>
    <n v="334.14"/>
    <m/>
    <n v="3067.18"/>
    <s v="Food and Beverage"/>
    <s v="Agro based"/>
    <s v="Leather Goods"/>
    <s v="Plastic and Rubber"/>
    <s v="Paper and packaging"/>
    <s v="Chemicals"/>
    <s v="Non-Metallic mineral products"/>
    <s v="Heavy Machinery, Iron &amp; Steel and metals"/>
    <s v="Petroleum and petroleum products"/>
    <s v="Light Machinery, Equipment and Furniture"/>
    <m/>
    <s v="85km from Hazrat Shahjalal International Airport"/>
    <s v="42km from Chandpur Railway Station"/>
    <s v="235km from Chittagong Port_x000a_40lm from Chandpur River Port"/>
    <s v="108km from Bibirbazar Land Port"/>
    <n v="360"/>
    <n v="93000"/>
    <n v="144632"/>
    <n v="36175.410000000003"/>
    <m/>
    <m/>
    <m/>
    <m/>
    <m/>
    <m/>
  </r>
  <r>
    <n v="16"/>
    <s v="Manikganj Economic Zone (Unused land beside old Aricha ferighat BIWTA)"/>
    <x v="4"/>
    <s v="Manikganj"/>
    <s v="Shibaloy"/>
    <x v="0"/>
    <s v="Planning Stage"/>
    <m/>
    <x v="0"/>
    <m/>
    <m/>
    <m/>
    <m/>
    <s v="Yes"/>
    <n v="2021"/>
    <m/>
    <m/>
    <m/>
    <m/>
    <m/>
    <m/>
    <m/>
    <s v="Feasibility or Pre feasibility"/>
    <n v="300"/>
    <s v="-"/>
    <n v="320.37"/>
    <s v="-"/>
    <m/>
    <m/>
    <n v="1"/>
    <n v="226.68"/>
    <m/>
    <n v="39.729999999999997"/>
    <n v="13.55"/>
    <n v="8.3699999999999992"/>
    <n v="32.04"/>
    <m/>
    <n v="320.37000000000006"/>
    <s v="Textiles and RMG"/>
    <s v="Food and Beverage"/>
    <s v="Leather Goods"/>
    <s v="Chemicals"/>
    <s v="Non-Metallic mineral products"/>
    <s v="Electrical and Electronics"/>
    <s v="Pharmaceuticals"/>
    <m/>
    <m/>
    <m/>
    <m/>
    <s v="79km from Hazrat Shahjalal International Airport"/>
    <s v="77km from Kamalapur Railway Station"/>
    <s v="207km from Mongla Port_x000a_91km from Naraynganj River Port"/>
    <s v="171km from Benapole Land Port"/>
    <n v="38"/>
    <n v="12000"/>
    <n v="15500"/>
    <n v="1000"/>
    <m/>
    <m/>
    <m/>
    <m/>
    <m/>
    <m/>
  </r>
  <r>
    <n v="17"/>
    <s v="Nawabganj Economic Zone"/>
    <x v="4"/>
    <s v="Dhaka"/>
    <s v="Nawabganj"/>
    <x v="0"/>
    <s v="Planning Stage"/>
    <m/>
    <x v="1"/>
    <m/>
    <m/>
    <s v="Yes"/>
    <n v="2019"/>
    <s v="Yes"/>
    <n v="2021"/>
    <m/>
    <m/>
    <m/>
    <m/>
    <m/>
    <m/>
    <m/>
    <s v="Feasibility or Pre feasibility + Site Visit Report"/>
    <m/>
    <n v="600"/>
    <n v="874"/>
    <s v="-"/>
    <m/>
    <m/>
    <n v="1"/>
    <n v="588.80999999999995"/>
    <m/>
    <n v="104.44000000000001"/>
    <n v="65.67"/>
    <n v="18.88"/>
    <n v="96.14"/>
    <m/>
    <n v="873.93999999999994"/>
    <s v="Textiles and RMG"/>
    <s v="Food and Beverage"/>
    <s v="Leather Goods"/>
    <s v="Plastic and Rubber"/>
    <s v="Chemicals"/>
    <s v="Non-Metallic mineral products"/>
    <s v="Electrical and Electronics"/>
    <s v="Pharmaceuticals"/>
    <s v="Light Machinery, Equipment and Furniture"/>
    <m/>
    <m/>
    <s v="39km from Hazrat Shahjalal International Airport"/>
    <s v="39km from Kamalapur Railway Station"/>
    <s v="256km from Chittagong Port_x000a_38km from Narayanganj river port_x000a_91km from Naraynganj River Port"/>
    <s v="122km from Bibirbazar land port"/>
    <n v="97"/>
    <n v="18000"/>
    <n v="40300"/>
    <n v="2000"/>
    <m/>
    <m/>
    <m/>
    <m/>
    <m/>
    <m/>
  </r>
  <r>
    <n v="18"/>
    <s v="Moheshkhali Economic Zone – 1, Cox’s Bazar"/>
    <x v="1"/>
    <s v="Cox’s Bazar"/>
    <s v="Moheshkhali"/>
    <x v="0"/>
    <s v="Planning Stage"/>
    <s v="Feasibility report shows larger area, possibly representing the other Moheshkhali EZs too"/>
    <x v="0"/>
    <m/>
    <m/>
    <m/>
    <m/>
    <s v="Yes"/>
    <n v="2019"/>
    <m/>
    <m/>
    <m/>
    <m/>
    <m/>
    <m/>
    <m/>
    <s v="Feasibility or Pre feasibility"/>
    <n v="1438.52"/>
    <s v="-"/>
    <n v="2847"/>
    <s v="-"/>
    <s v="Confusion amongst 18, 33, 47"/>
    <m/>
    <n v="1"/>
    <n v="2047.11"/>
    <m/>
    <n v="286.74"/>
    <n v="35.1"/>
    <n v="54.78"/>
    <n v="321.58999999999997"/>
    <n v="101.28999999999999"/>
    <n v="2846.61"/>
    <s v="Food and Beverage"/>
    <s v="Agro based"/>
    <s v="Chemicals"/>
    <s v="Non-Metallic mineral products"/>
    <s v="Pharmaceuticals"/>
    <s v="Heavy Machinery, Iron &amp; Steel and metals"/>
    <s v="Shipbuilding"/>
    <s v="Petroleum and petroleum products"/>
    <m/>
    <m/>
    <m/>
    <s v="100km from Shah Amanat International Airport"/>
    <s v="100km from Chittagong Railway Station"/>
    <s v="98km from Chittagong Port"/>
    <m/>
    <n v="358.63"/>
    <n v="73000"/>
    <m/>
    <n v="47963.27"/>
    <m/>
    <m/>
    <m/>
    <m/>
    <m/>
    <m/>
  </r>
  <r>
    <n v="19"/>
    <s v="Nilphamari Economic Zone"/>
    <x v="5"/>
    <s v="Nilphamari"/>
    <s v="Nilphamari Sadar"/>
    <x v="0"/>
    <s v="Planning Stage"/>
    <m/>
    <x v="2"/>
    <m/>
    <m/>
    <m/>
    <m/>
    <s v="Yes"/>
    <n v="2021"/>
    <m/>
    <m/>
    <m/>
    <m/>
    <m/>
    <m/>
    <m/>
    <s v="Feasibility or Pre feasibility"/>
    <n v="357.76"/>
    <s v="-"/>
    <n v="357.76"/>
    <s v="-"/>
    <m/>
    <m/>
    <n v="1"/>
    <n v="238.09"/>
    <m/>
    <n v="48.139999999999993"/>
    <n v="12.68"/>
    <n v="14.35"/>
    <n v="44.5"/>
    <m/>
    <n v="357.76000000000005"/>
    <s v="Textiles and RMG"/>
    <s v="Food and Beverage"/>
    <s v="Agro based"/>
    <s v="Electrical and Electronics"/>
    <s v="Pharmaceuticals"/>
    <s v="Light Machinery, Equipment and Furniture"/>
    <m/>
    <m/>
    <m/>
    <m/>
    <m/>
    <s v="10km from Saidpur Airport"/>
    <s v="16km from Nilfamari railway station"/>
    <s v="484km from Mongla Port"/>
    <s v="72km from Hilli land port"/>
    <n v="41"/>
    <n v="8174.79"/>
    <n v="16300"/>
    <n v="629.75"/>
    <m/>
    <m/>
    <m/>
    <m/>
    <m/>
    <m/>
  </r>
  <r>
    <n v="20"/>
    <s v="Panchagarh Economic Zone"/>
    <x v="5"/>
    <s v="Panchagarh"/>
    <s v="Debiganj"/>
    <x v="0"/>
    <s v="Planning Stage"/>
    <m/>
    <x v="2"/>
    <m/>
    <m/>
    <m/>
    <m/>
    <s v="Yes"/>
    <n v="2021"/>
    <m/>
    <m/>
    <m/>
    <m/>
    <m/>
    <m/>
    <m/>
    <s v="Feasibility or Pre feasibility"/>
    <n v="595.01"/>
    <s v="-"/>
    <n v="580"/>
    <s v="-"/>
    <m/>
    <m/>
    <n v="1"/>
    <n v="360.04"/>
    <m/>
    <n v="76.12"/>
    <n v="29.65"/>
    <n v="12.36"/>
    <n v="56.83"/>
    <m/>
    <n v="535"/>
    <s v="Textiles and RMG"/>
    <s v="Food and Beverage"/>
    <s v="Agro based"/>
    <s v="Plastic and Rubber"/>
    <s v="Chemicals"/>
    <m/>
    <m/>
    <m/>
    <m/>
    <m/>
    <m/>
    <s v="45km from Saidpur Airport"/>
    <s v="7km from Domar railway station_x000a_20km from Nilfamari railway station"/>
    <s v="520km from Mongla Port_x000a_280 km from Baghabari river port"/>
    <s v="79km from Burimari land port"/>
    <n v="62"/>
    <n v="12300"/>
    <n v="24680"/>
    <n v="6000"/>
    <m/>
    <m/>
    <m/>
    <m/>
    <m/>
    <m/>
  </r>
  <r>
    <n v="21"/>
    <s v="Mongla Economic Zone"/>
    <x v="6"/>
    <s v="Bagerhat"/>
    <s v="Mongla"/>
    <x v="1"/>
    <m/>
    <m/>
    <x v="1"/>
    <m/>
    <m/>
    <m/>
    <m/>
    <m/>
    <m/>
    <m/>
    <m/>
    <s v="Yes"/>
    <m/>
    <m/>
    <m/>
    <m/>
    <s v="Feasibility or Pre feasibility"/>
    <n v="205"/>
    <s v="-"/>
    <s v="-"/>
    <n v="205"/>
    <m/>
    <m/>
    <n v="1"/>
    <n v="119.66"/>
    <m/>
    <n v="27.66"/>
    <n v="4.96"/>
    <n v="3.79"/>
    <n v="26.12"/>
    <n v="22.909999999999997"/>
    <n v="205.1"/>
    <s v="Textiles and RMG"/>
    <s v="Food processing"/>
    <s v="Light engineering"/>
    <m/>
    <m/>
    <m/>
    <m/>
    <m/>
    <m/>
    <m/>
    <m/>
    <s v="105km from Jessore airport"/>
    <m/>
    <s v="Adjacent to Mongla Port"/>
    <m/>
    <n v="19.8"/>
    <n v="3303.82"/>
    <m/>
    <n v="2242.7399999999998"/>
    <m/>
    <m/>
    <m/>
    <m/>
    <m/>
    <m/>
  </r>
  <r>
    <n v="22"/>
    <s v="Naf Tourism Park"/>
    <x v="1"/>
    <s v="Cox’s Bazar"/>
    <s v="Teknaf"/>
    <x v="0"/>
    <s v="Under Development"/>
    <s v="This is exact match with Jaliardip Economic Zone file"/>
    <x v="1"/>
    <m/>
    <m/>
    <m/>
    <m/>
    <s v="Yes"/>
    <n v="2016"/>
    <m/>
    <m/>
    <m/>
    <m/>
    <m/>
    <m/>
    <m/>
    <s v="Feasibility or Pre feasibility"/>
    <n v="271.93"/>
    <s v="-"/>
    <n v="271.93"/>
    <s v="-"/>
    <m/>
    <m/>
    <m/>
    <m/>
    <m/>
    <m/>
    <m/>
    <m/>
    <m/>
    <m/>
    <n v="271.93"/>
    <s v="Tourism"/>
    <m/>
    <m/>
    <m/>
    <m/>
    <m/>
    <m/>
    <m/>
    <m/>
    <m/>
    <m/>
    <s v="80km from Cox's Bazar Airport"/>
    <s v="160km from Dohazari railway station"/>
    <m/>
    <m/>
    <m/>
    <m/>
    <m/>
    <m/>
    <m/>
    <m/>
    <m/>
    <m/>
    <m/>
    <m/>
  </r>
  <r>
    <n v="23"/>
    <s v="Anowara Economic Zone – 2"/>
    <x v="1"/>
    <s v="Chattogram"/>
    <s v="Anowara"/>
    <x v="0"/>
    <s v="Planning Stage"/>
    <s v="This is exact match. However the other Anowara Economic Zone area doesn't match with Anowara EZ1 area , the other report possibly represents both"/>
    <x v="0"/>
    <m/>
    <m/>
    <m/>
    <m/>
    <s v="Yes"/>
    <n v="2016"/>
    <m/>
    <m/>
    <m/>
    <m/>
    <m/>
    <m/>
    <m/>
    <s v="Feasibility or Pre feasibility"/>
    <n v="774.48"/>
    <s v="-"/>
    <n v="774.43"/>
    <s v="-"/>
    <m/>
    <m/>
    <m/>
    <n v="420.57"/>
    <m/>
    <m/>
    <m/>
    <m/>
    <m/>
    <m/>
    <n v="774.43"/>
    <s v="Textiles and RMG"/>
    <s v="Pharmaceuticals"/>
    <s v="Leather Goods"/>
    <s v="Light engineering"/>
    <s v="Electrical and Electronics"/>
    <m/>
    <m/>
    <m/>
    <m/>
    <m/>
    <m/>
    <s v="30km from Shah Amanat International Airport"/>
    <s v="17km from Chittagong railway station"/>
    <s v="18km from Chittagong port_x000a_12km from Chittagong port by sea route"/>
    <m/>
    <n v="100"/>
    <n v="90000"/>
    <m/>
    <m/>
    <m/>
    <m/>
    <m/>
    <m/>
    <m/>
    <m/>
  </r>
  <r>
    <n v="24"/>
    <s v="Dhaka SEZ, Keraniganj"/>
    <x v="4"/>
    <s v="Dhaka"/>
    <s v="Keraniganj"/>
    <x v="0"/>
    <s v="Planning Stage"/>
    <m/>
    <x v="0"/>
    <m/>
    <m/>
    <m/>
    <m/>
    <s v="Yes"/>
    <n v="2016"/>
    <m/>
    <m/>
    <m/>
    <m/>
    <m/>
    <m/>
    <m/>
    <s v="Feasibility or Pre feasibility"/>
    <n v="105"/>
    <s v="-"/>
    <n v="105"/>
    <s v="-"/>
    <m/>
    <m/>
    <m/>
    <m/>
    <m/>
    <m/>
    <m/>
    <m/>
    <m/>
    <m/>
    <n v="104.985"/>
    <s v="RMG"/>
    <s v="Integrated Textiles"/>
    <s v="Pharmaceuticals"/>
    <s v="Light engineering"/>
    <s v="Plastics"/>
    <m/>
    <m/>
    <m/>
    <m/>
    <m/>
    <m/>
    <s v="30km from Shajalal International Airport"/>
    <s v="20km from Dhaka railway station"/>
    <m/>
    <m/>
    <n v="10"/>
    <n v="10000"/>
    <m/>
    <m/>
    <m/>
    <m/>
    <m/>
    <m/>
    <m/>
    <m/>
  </r>
  <r>
    <n v="25"/>
    <s v="Sitakundo Economic Zone"/>
    <x v="1"/>
    <s v="Chattogram"/>
    <s v="Sitakundo"/>
    <x v="0"/>
    <s v="Planning Stage"/>
    <m/>
    <x v="1"/>
    <m/>
    <m/>
    <m/>
    <m/>
    <s v="Yes"/>
    <n v="2021"/>
    <m/>
    <m/>
    <m/>
    <m/>
    <m/>
    <m/>
    <m/>
    <s v="Feasibility or Pre feasibility + Site Visit Report for BSMSN"/>
    <m/>
    <s v="-"/>
    <n v="2368.5700000000002"/>
    <s v="-"/>
    <m/>
    <m/>
    <m/>
    <m/>
    <m/>
    <m/>
    <m/>
    <m/>
    <m/>
    <m/>
    <n v="2368.5700000000002"/>
    <s v="Chemicals"/>
    <s v="Non-Metallic mineral products"/>
    <s v="Automobile Parts and Assembly"/>
    <s v="Heavy Machinery, Iron &amp; Steel and metals"/>
    <s v="Petroleum and petroleum products"/>
    <m/>
    <m/>
    <m/>
    <m/>
    <m/>
    <m/>
    <s v="51 km from Shah Amanat International Airport "/>
    <s v="19 km from rail head at Sitakundo"/>
    <s v="51km from Chittagong sea port"/>
    <s v=" 113 km from Bibirbazar land port"/>
    <n v="207.3"/>
    <n v="72000"/>
    <m/>
    <n v="32000"/>
    <m/>
    <m/>
    <m/>
    <m/>
    <m/>
    <m/>
  </r>
  <r>
    <n v="26"/>
    <s v="Sylhet Special Economic Zone"/>
    <x v="7"/>
    <s v="Sylhet"/>
    <s v="Gowainghat"/>
    <x v="0"/>
    <s v="Planning Stage"/>
    <m/>
    <x v="2"/>
    <m/>
    <m/>
    <m/>
    <m/>
    <s v="Yes"/>
    <n v="2021"/>
    <m/>
    <m/>
    <m/>
    <m/>
    <m/>
    <m/>
    <m/>
    <s v="Feasibility or Pre feasibility"/>
    <n v="255.83"/>
    <s v="-"/>
    <n v="255.83"/>
    <s v="-"/>
    <m/>
    <m/>
    <n v="1"/>
    <n v="176.93"/>
    <m/>
    <n v="38.61"/>
    <n v="10.220000000000001"/>
    <m/>
    <n v="26.08"/>
    <n v="3.99"/>
    <n v="255.83000000000004"/>
    <s v="Textiles and RMG"/>
    <s v="Food and Beverage"/>
    <s v="Agro based"/>
    <s v="Electrical and Electronics"/>
    <s v="Light Machinery, Equipment and Furniture"/>
    <m/>
    <m/>
    <m/>
    <m/>
    <m/>
    <m/>
    <s v="52 km from the Osmani International Airport"/>
    <s v="~52 km from the Sylhet railway station"/>
    <s v="427km from Chittagong Seaport"/>
    <s v="approx. 2km from Tamabil land port"/>
    <n v="30"/>
    <n v="11000"/>
    <n v="12128"/>
    <n v="3000"/>
    <m/>
    <m/>
    <m/>
    <m/>
    <m/>
    <m/>
  </r>
  <r>
    <n v="27"/>
    <s v="Tangail Economic Zone"/>
    <x v="4"/>
    <s v="Tangail"/>
    <s v="Bhuapur"/>
    <x v="0"/>
    <s v="Planning Stage"/>
    <m/>
    <x v="2"/>
    <m/>
    <m/>
    <s v="Yes"/>
    <n v="2020"/>
    <s v="Yes"/>
    <n v="2021"/>
    <m/>
    <m/>
    <m/>
    <m/>
    <m/>
    <m/>
    <m/>
    <s v="Feasibility or Pre feasibility + Site Visit Report"/>
    <m/>
    <n v="502.02"/>
    <n v="1761.85"/>
    <s v="-"/>
    <m/>
    <m/>
    <m/>
    <n v="1277.5999999999999"/>
    <m/>
    <n v="183.85"/>
    <n v="98.43"/>
    <n v="22.82"/>
    <n v="176.19"/>
    <n v="2.97"/>
    <n v="1761.85"/>
    <s v="Textiles and RMG"/>
    <s v="Food and Beverage"/>
    <s v="Agro based"/>
    <s v="Plastic and Rubber"/>
    <s v="Paper and packaging"/>
    <s v="Chemicals"/>
    <s v="Non-Metallic mineral products"/>
    <s v="Electrical and Electronics"/>
    <s v="Light Machinery, Equipment and Furniture"/>
    <m/>
    <m/>
    <s v="109 km from Hazrat ShahJalal Intl Airport"/>
    <s v="3km from Bangabandhu Setu East railway station"/>
    <s v="339 km from Mongla Sea Port/65km from Baghabari river port"/>
    <s v="approx 211km from Akhaura Land port"/>
    <n v="217"/>
    <n v="62000"/>
    <n v="87000"/>
    <n v="3027.31"/>
    <m/>
    <m/>
    <m/>
    <m/>
    <m/>
    <m/>
  </r>
  <r>
    <n v="28"/>
    <s v="Alutila Special Tourism Zone"/>
    <x v="1"/>
    <s v="Khagrachari Hill Tracts"/>
    <s v="Matiranga &amp; Khagrachari"/>
    <x v="0"/>
    <s v="In-Principle Approval"/>
    <m/>
    <x v="0"/>
    <m/>
    <m/>
    <m/>
    <m/>
    <m/>
    <m/>
    <m/>
    <m/>
    <m/>
    <m/>
    <m/>
    <m/>
    <m/>
    <m/>
    <m/>
    <s v="-"/>
    <s v="-"/>
    <s v="-"/>
    <m/>
    <m/>
    <m/>
    <m/>
    <m/>
    <m/>
    <m/>
    <m/>
    <m/>
    <m/>
    <m/>
    <m/>
    <m/>
    <m/>
    <m/>
    <m/>
    <m/>
    <m/>
    <m/>
    <m/>
    <m/>
    <m/>
    <m/>
    <m/>
    <m/>
    <m/>
    <m/>
    <m/>
    <m/>
    <m/>
    <m/>
    <m/>
    <m/>
    <m/>
    <m/>
    <m/>
  </r>
  <r>
    <n v="29"/>
    <s v="Araihazar Economic Zone"/>
    <x v="4"/>
    <s v="Narayanganj"/>
    <s v="Araihazar"/>
    <x v="0"/>
    <s v="In-Principle Approval"/>
    <m/>
    <x v="0"/>
    <m/>
    <m/>
    <m/>
    <m/>
    <m/>
    <m/>
    <m/>
    <m/>
    <m/>
    <m/>
    <m/>
    <m/>
    <m/>
    <m/>
    <m/>
    <s v="-"/>
    <s v="-"/>
    <s v="-"/>
    <m/>
    <m/>
    <m/>
    <m/>
    <m/>
    <m/>
    <m/>
    <m/>
    <m/>
    <m/>
    <m/>
    <m/>
    <m/>
    <m/>
    <m/>
    <m/>
    <m/>
    <m/>
    <m/>
    <m/>
    <m/>
    <m/>
    <m/>
    <m/>
    <m/>
    <m/>
    <m/>
    <m/>
    <m/>
    <m/>
    <m/>
    <m/>
    <m/>
    <m/>
    <m/>
    <m/>
  </r>
  <r>
    <n v="30"/>
    <s v="Ashuganj Economic Zone"/>
    <x v="1"/>
    <s v="Brahmanbaria"/>
    <s v="Ashuganj"/>
    <x v="0"/>
    <s v="In-Principle Approval"/>
    <m/>
    <x v="0"/>
    <m/>
    <m/>
    <m/>
    <m/>
    <m/>
    <m/>
    <m/>
    <m/>
    <m/>
    <m/>
    <m/>
    <m/>
    <m/>
    <m/>
    <m/>
    <s v="-"/>
    <s v="-"/>
    <s v="-"/>
    <m/>
    <m/>
    <m/>
    <m/>
    <m/>
    <m/>
    <m/>
    <m/>
    <m/>
    <m/>
    <m/>
    <m/>
    <m/>
    <m/>
    <m/>
    <m/>
    <m/>
    <m/>
    <m/>
    <m/>
    <m/>
    <m/>
    <m/>
    <m/>
    <m/>
    <m/>
    <m/>
    <m/>
    <m/>
    <m/>
    <m/>
    <m/>
    <m/>
    <m/>
    <m/>
    <m/>
  </r>
  <r>
    <n v="31"/>
    <s v="Chandpur Economic Zone – 2"/>
    <x v="1"/>
    <s v="Chandpur"/>
    <s v="Haimchar"/>
    <x v="0"/>
    <s v="Pre-Planning Stage"/>
    <m/>
    <x v="0"/>
    <m/>
    <m/>
    <s v="Yes"/>
    <n v="2017"/>
    <m/>
    <m/>
    <m/>
    <m/>
    <m/>
    <m/>
    <m/>
    <m/>
    <m/>
    <s v="Site Visit Report"/>
    <m/>
    <n v="4755"/>
    <s v="-"/>
    <s v="-"/>
    <m/>
    <m/>
    <m/>
    <m/>
    <m/>
    <m/>
    <m/>
    <m/>
    <m/>
    <m/>
    <m/>
    <m/>
    <m/>
    <m/>
    <m/>
    <m/>
    <m/>
    <m/>
    <m/>
    <m/>
    <m/>
    <m/>
    <m/>
    <m/>
    <m/>
    <m/>
    <m/>
    <m/>
    <m/>
    <m/>
    <m/>
    <m/>
    <m/>
    <m/>
    <m/>
    <m/>
  </r>
  <r>
    <n v="32"/>
    <s v="Chor Megha Economic Zone"/>
    <x v="0"/>
    <s v="Barishal"/>
    <s v="Hizla"/>
    <x v="0"/>
    <s v="Pre-Planning Stage"/>
    <m/>
    <x v="0"/>
    <m/>
    <m/>
    <s v="Yes"/>
    <n v="2018"/>
    <m/>
    <m/>
    <m/>
    <m/>
    <m/>
    <m/>
    <m/>
    <m/>
    <m/>
    <s v="Site Visit Report"/>
    <m/>
    <n v="2255.96"/>
    <s v="-"/>
    <s v="-"/>
    <m/>
    <m/>
    <m/>
    <m/>
    <m/>
    <m/>
    <m/>
    <m/>
    <m/>
    <m/>
    <m/>
    <m/>
    <m/>
    <m/>
    <m/>
    <m/>
    <m/>
    <m/>
    <m/>
    <m/>
    <m/>
    <m/>
    <m/>
    <m/>
    <m/>
    <m/>
    <m/>
    <m/>
    <m/>
    <m/>
    <m/>
    <m/>
    <m/>
    <m/>
    <m/>
    <m/>
  </r>
  <r>
    <n v="33"/>
    <s v="Cox’s Bazar Special Economic Zone, Moheshkhali"/>
    <x v="1"/>
    <s v="Cox’s Bazar"/>
    <s v="Moheshkhali"/>
    <x v="0"/>
    <s v="In-Principle Approval"/>
    <m/>
    <x v="0"/>
    <m/>
    <m/>
    <m/>
    <m/>
    <m/>
    <m/>
    <m/>
    <m/>
    <m/>
    <m/>
    <m/>
    <m/>
    <m/>
    <m/>
    <m/>
    <s v="-"/>
    <s v="-"/>
    <s v="-"/>
    <s v="Confusion amongst 18, 33, 47"/>
    <m/>
    <m/>
    <m/>
    <m/>
    <m/>
    <m/>
    <m/>
    <m/>
    <m/>
    <m/>
    <m/>
    <m/>
    <m/>
    <m/>
    <m/>
    <m/>
    <m/>
    <m/>
    <m/>
    <m/>
    <m/>
    <m/>
    <m/>
    <m/>
    <m/>
    <m/>
    <m/>
    <m/>
    <m/>
    <m/>
    <m/>
    <m/>
    <m/>
    <m/>
    <m/>
  </r>
  <r>
    <n v="34"/>
    <s v="Dhaka Economic Zone, Dohar"/>
    <x v="4"/>
    <s v="Dhaka"/>
    <s v="Dohar"/>
    <x v="0"/>
    <s v="Pre-Planning Stage"/>
    <m/>
    <x v="0"/>
    <m/>
    <m/>
    <s v="Yes"/>
    <n v="2015"/>
    <m/>
    <m/>
    <m/>
    <m/>
    <m/>
    <m/>
    <m/>
    <m/>
    <m/>
    <s v="Site Visit Report"/>
    <m/>
    <n v="316.35000000000002"/>
    <s v="-"/>
    <s v="-"/>
    <m/>
    <m/>
    <m/>
    <m/>
    <m/>
    <m/>
    <m/>
    <m/>
    <m/>
    <m/>
    <m/>
    <m/>
    <m/>
    <m/>
    <m/>
    <m/>
    <m/>
    <m/>
    <m/>
    <m/>
    <m/>
    <m/>
    <m/>
    <m/>
    <m/>
    <m/>
    <m/>
    <m/>
    <m/>
    <m/>
    <m/>
    <m/>
    <m/>
    <m/>
    <m/>
    <m/>
  </r>
  <r>
    <n v="35"/>
    <s v="Dinajpur Economic Zone"/>
    <x v="5"/>
    <s v="Dinajpur"/>
    <s v="Dinajpur"/>
    <x v="0"/>
    <s v="In-Principle Approval"/>
    <m/>
    <x v="0"/>
    <m/>
    <m/>
    <m/>
    <m/>
    <m/>
    <m/>
    <m/>
    <m/>
    <m/>
    <m/>
    <m/>
    <m/>
    <m/>
    <m/>
    <m/>
    <s v="-"/>
    <s v="-"/>
    <s v="-"/>
    <m/>
    <m/>
    <m/>
    <m/>
    <m/>
    <m/>
    <m/>
    <m/>
    <m/>
    <m/>
    <m/>
    <m/>
    <m/>
    <m/>
    <m/>
    <m/>
    <m/>
    <m/>
    <m/>
    <m/>
    <m/>
    <m/>
    <m/>
    <m/>
    <m/>
    <m/>
    <m/>
    <m/>
    <m/>
    <m/>
    <m/>
    <m/>
    <m/>
    <m/>
    <m/>
    <m/>
  </r>
  <r>
    <n v="36"/>
    <s v="Faridpur Economic Zone"/>
    <x v="4"/>
    <s v="Faridpur"/>
    <s v="Faridpur Sadar"/>
    <x v="0"/>
    <s v="In-Principle Approval"/>
    <m/>
    <x v="0"/>
    <m/>
    <m/>
    <m/>
    <m/>
    <m/>
    <m/>
    <m/>
    <m/>
    <m/>
    <m/>
    <m/>
    <m/>
    <m/>
    <m/>
    <m/>
    <s v="-"/>
    <s v="-"/>
    <s v="-"/>
    <m/>
    <m/>
    <m/>
    <m/>
    <m/>
    <m/>
    <m/>
    <m/>
    <m/>
    <m/>
    <m/>
    <m/>
    <m/>
    <m/>
    <m/>
    <m/>
    <m/>
    <m/>
    <m/>
    <m/>
    <m/>
    <m/>
    <m/>
    <m/>
    <m/>
    <m/>
    <m/>
    <m/>
    <m/>
    <m/>
    <m/>
    <m/>
    <m/>
    <m/>
    <m/>
    <m/>
  </r>
  <r>
    <n v="37"/>
    <s v="Gajaria Economic Zone"/>
    <x v="4"/>
    <s v="Munshiganj"/>
    <s v="Gajaria"/>
    <x v="0"/>
    <s v="In-Principle Approval"/>
    <m/>
    <x v="0"/>
    <m/>
    <m/>
    <m/>
    <m/>
    <m/>
    <m/>
    <m/>
    <m/>
    <m/>
    <m/>
    <m/>
    <m/>
    <m/>
    <m/>
    <m/>
    <s v="-"/>
    <s v="-"/>
    <s v="-"/>
    <m/>
    <m/>
    <m/>
    <m/>
    <m/>
    <m/>
    <m/>
    <m/>
    <m/>
    <m/>
    <m/>
    <m/>
    <m/>
    <m/>
    <m/>
    <m/>
    <m/>
    <m/>
    <m/>
    <m/>
    <m/>
    <m/>
    <m/>
    <m/>
    <m/>
    <m/>
    <m/>
    <m/>
    <m/>
    <m/>
    <m/>
    <m/>
    <m/>
    <m/>
    <m/>
    <m/>
  </r>
  <r>
    <n v="38"/>
    <s v="Gopalganj Economic Zone"/>
    <x v="4"/>
    <s v="Gopalganj"/>
    <s v="Kotalipara"/>
    <x v="0"/>
    <s v="In-Principle Approval"/>
    <m/>
    <x v="1"/>
    <m/>
    <m/>
    <m/>
    <m/>
    <s v="Yes"/>
    <n v="2019"/>
    <m/>
    <m/>
    <m/>
    <m/>
    <m/>
    <m/>
    <m/>
    <s v="Feasibility or Pre feasibility"/>
    <n v="200"/>
    <s v="-"/>
    <n v="200"/>
    <s v="-"/>
    <m/>
    <m/>
    <n v="1"/>
    <n v="131.97999999999999"/>
    <m/>
    <n v="29.18"/>
    <n v="4.0199999999999996"/>
    <m/>
    <n v="19.940000000000001"/>
    <n v="14.89"/>
    <n v="200.01"/>
    <s v="Food and Beverage"/>
    <s v="Agro based"/>
    <s v="Electrical and Electronics"/>
    <s v="Light Machinery, Equipment and Furniture"/>
    <m/>
    <m/>
    <m/>
    <m/>
    <m/>
    <m/>
    <m/>
    <s v="180km from Hazrat Shahjalal International Airport"/>
    <s v="50km from Khulna Railway Station"/>
    <s v="65km from Mongla Port"/>
    <m/>
    <n v="22.4"/>
    <n v="7300"/>
    <m/>
    <n v="5100"/>
    <m/>
    <m/>
    <m/>
    <m/>
    <m/>
    <m/>
  </r>
  <r>
    <n v="39"/>
    <s v="Habiganj Economic Zone"/>
    <x v="7"/>
    <s v="Habiganj"/>
    <s v="Chunarughat"/>
    <x v="0"/>
    <s v="In-Principle Approval"/>
    <m/>
    <x v="0"/>
    <m/>
    <m/>
    <m/>
    <m/>
    <m/>
    <m/>
    <m/>
    <m/>
    <m/>
    <m/>
    <m/>
    <m/>
    <m/>
    <m/>
    <m/>
    <s v="-"/>
    <s v="-"/>
    <s v="-"/>
    <m/>
    <m/>
    <m/>
    <m/>
    <m/>
    <m/>
    <m/>
    <m/>
    <m/>
    <m/>
    <m/>
    <m/>
    <m/>
    <m/>
    <m/>
    <m/>
    <m/>
    <m/>
    <m/>
    <m/>
    <m/>
    <m/>
    <m/>
    <m/>
    <m/>
    <m/>
    <m/>
    <m/>
    <m/>
    <m/>
    <m/>
    <m/>
    <m/>
    <m/>
    <m/>
    <m/>
  </r>
  <r>
    <n v="40"/>
    <s v="Khulna Economic Zone – 1"/>
    <x v="6"/>
    <s v="Khulna"/>
    <s v="Batiaghata"/>
    <x v="0"/>
    <s v="Pre-Planning Stage"/>
    <m/>
    <x v="2"/>
    <m/>
    <m/>
    <s v="Yes"/>
    <n v="2015"/>
    <m/>
    <m/>
    <m/>
    <m/>
    <m/>
    <m/>
    <m/>
    <m/>
    <m/>
    <s v="Site Visit Report"/>
    <m/>
    <n v="593.64"/>
    <s v="-"/>
    <s v="-"/>
    <m/>
    <m/>
    <m/>
    <m/>
    <m/>
    <m/>
    <m/>
    <m/>
    <m/>
    <m/>
    <m/>
    <m/>
    <m/>
    <m/>
    <m/>
    <m/>
    <m/>
    <m/>
    <m/>
    <m/>
    <m/>
    <m/>
    <m/>
    <m/>
    <m/>
    <m/>
    <m/>
    <m/>
    <m/>
    <m/>
    <m/>
    <m/>
    <m/>
    <m/>
    <m/>
    <m/>
  </r>
  <r>
    <n v="41"/>
    <s v="Khulna Economic Zone – 2"/>
    <x v="6"/>
    <s v="Khulna"/>
    <s v="Terokhada"/>
    <x v="0"/>
    <s v="In-Principle Approval"/>
    <m/>
    <x v="0"/>
    <m/>
    <m/>
    <m/>
    <m/>
    <m/>
    <m/>
    <m/>
    <m/>
    <m/>
    <m/>
    <m/>
    <m/>
    <m/>
    <m/>
    <m/>
    <s v="-"/>
    <s v="-"/>
    <s v="-"/>
    <m/>
    <m/>
    <m/>
    <m/>
    <m/>
    <m/>
    <m/>
    <m/>
    <m/>
    <m/>
    <m/>
    <m/>
    <m/>
    <m/>
    <m/>
    <m/>
    <m/>
    <m/>
    <m/>
    <m/>
    <m/>
    <m/>
    <m/>
    <m/>
    <m/>
    <m/>
    <m/>
    <m/>
    <m/>
    <m/>
    <m/>
    <m/>
    <m/>
    <m/>
    <m/>
    <m/>
  </r>
  <r>
    <n v="42"/>
    <s v="Kurigram Economic Zone – 1"/>
    <x v="5"/>
    <s v="Kurigram"/>
    <s v="Kurigram Sadar"/>
    <x v="0"/>
    <s v="In-Principle Approval"/>
    <m/>
    <x v="2"/>
    <m/>
    <m/>
    <m/>
    <m/>
    <m/>
    <m/>
    <m/>
    <m/>
    <m/>
    <m/>
    <m/>
    <m/>
    <m/>
    <m/>
    <m/>
    <s v="-"/>
    <s v="-"/>
    <s v="-"/>
    <m/>
    <m/>
    <m/>
    <m/>
    <m/>
    <m/>
    <m/>
    <m/>
    <m/>
    <m/>
    <m/>
    <m/>
    <m/>
    <m/>
    <m/>
    <m/>
    <m/>
    <m/>
    <m/>
    <m/>
    <m/>
    <m/>
    <m/>
    <m/>
    <m/>
    <m/>
    <m/>
    <m/>
    <m/>
    <m/>
    <m/>
    <m/>
    <m/>
    <m/>
    <m/>
    <m/>
  </r>
  <r>
    <n v="43"/>
    <s v="Kushtia Economic Zone"/>
    <x v="6"/>
    <s v="Kushtia"/>
    <s v="Bheramara"/>
    <x v="1"/>
    <s v="Pre-Planning Stage"/>
    <m/>
    <x v="2"/>
    <m/>
    <m/>
    <s v="Yes"/>
    <n v="2022"/>
    <m/>
    <m/>
    <m/>
    <m/>
    <m/>
    <m/>
    <m/>
    <m/>
    <m/>
    <s v="Site Visit Report"/>
    <m/>
    <n v="200"/>
    <s v="-"/>
    <s v="-"/>
    <m/>
    <m/>
    <m/>
    <m/>
    <m/>
    <m/>
    <m/>
    <m/>
    <m/>
    <m/>
    <m/>
    <m/>
    <m/>
    <m/>
    <m/>
    <m/>
    <m/>
    <m/>
    <m/>
    <m/>
    <m/>
    <m/>
    <m/>
    <m/>
    <m/>
    <m/>
    <m/>
    <m/>
    <m/>
    <m/>
    <m/>
    <m/>
    <m/>
    <m/>
    <m/>
    <m/>
  </r>
  <r>
    <n v="44"/>
    <s v="Madaripur Economic Zone"/>
    <x v="4"/>
    <s v="Madaripur"/>
    <s v="Rajoir"/>
    <x v="0"/>
    <s v="Pre-Planning Stage"/>
    <m/>
    <x v="0"/>
    <m/>
    <m/>
    <s v="Yes"/>
    <n v="2016"/>
    <m/>
    <m/>
    <m/>
    <m/>
    <m/>
    <m/>
    <m/>
    <m/>
    <m/>
    <s v="Site Visit Report"/>
    <m/>
    <n v="113.54"/>
    <s v="-"/>
    <s v="-"/>
    <m/>
    <m/>
    <m/>
    <m/>
    <m/>
    <m/>
    <m/>
    <m/>
    <m/>
    <m/>
    <m/>
    <m/>
    <m/>
    <m/>
    <m/>
    <m/>
    <m/>
    <m/>
    <m/>
    <m/>
    <m/>
    <m/>
    <m/>
    <m/>
    <m/>
    <m/>
    <m/>
    <m/>
    <m/>
    <m/>
    <m/>
    <m/>
    <m/>
    <m/>
    <m/>
    <m/>
  </r>
  <r>
    <n v="45"/>
    <s v="Moheshkhali Economic Zone – 2, Kalarmarchara, Cox’s Bazar"/>
    <x v="1"/>
    <s v="Cox’s Bazar"/>
    <s v="Moheshkhali"/>
    <x v="0"/>
    <s v="In-Principle Approval"/>
    <m/>
    <x v="0"/>
    <m/>
    <m/>
    <m/>
    <m/>
    <m/>
    <m/>
    <m/>
    <m/>
    <m/>
    <m/>
    <m/>
    <m/>
    <m/>
    <m/>
    <m/>
    <s v="-"/>
    <s v="-"/>
    <s v="-"/>
    <m/>
    <m/>
    <m/>
    <m/>
    <m/>
    <m/>
    <m/>
    <m/>
    <m/>
    <m/>
    <m/>
    <m/>
    <m/>
    <m/>
    <m/>
    <m/>
    <m/>
    <m/>
    <m/>
    <m/>
    <m/>
    <m/>
    <m/>
    <m/>
    <m/>
    <m/>
    <m/>
    <m/>
    <m/>
    <m/>
    <m/>
    <m/>
    <m/>
    <m/>
    <m/>
    <m/>
  </r>
  <r>
    <n v="46"/>
    <s v="Moheshkhali Economic Zone, Kalarmarchara"/>
    <x v="1"/>
    <s v="Cox’s Bazar"/>
    <s v="Kalarmarchara"/>
    <x v="0"/>
    <s v="In-Principle Approval"/>
    <m/>
    <x v="0"/>
    <m/>
    <m/>
    <m/>
    <m/>
    <m/>
    <m/>
    <m/>
    <m/>
    <m/>
    <m/>
    <m/>
    <m/>
    <m/>
    <m/>
    <m/>
    <s v="-"/>
    <s v="-"/>
    <s v="-"/>
    <m/>
    <m/>
    <m/>
    <m/>
    <m/>
    <m/>
    <m/>
    <m/>
    <m/>
    <m/>
    <m/>
    <m/>
    <m/>
    <m/>
    <m/>
    <m/>
    <m/>
    <m/>
    <m/>
    <m/>
    <m/>
    <m/>
    <m/>
    <m/>
    <m/>
    <m/>
    <m/>
    <m/>
    <m/>
    <m/>
    <m/>
    <m/>
    <m/>
    <m/>
    <m/>
    <m/>
  </r>
  <r>
    <n v="47"/>
    <s v="Moheshkhali Special Economic Zone Cox’s Bazar"/>
    <x v="1"/>
    <s v="Cox’s Bazar"/>
    <s v="Moheshkhali"/>
    <x v="0"/>
    <s v="In-Principle Approval"/>
    <m/>
    <x v="0"/>
    <m/>
    <m/>
    <m/>
    <m/>
    <m/>
    <m/>
    <m/>
    <m/>
    <m/>
    <m/>
    <m/>
    <m/>
    <m/>
    <m/>
    <m/>
    <s v="-"/>
    <s v="-"/>
    <s v="-"/>
    <s v="Confusion amongst 18, 33, 47"/>
    <m/>
    <m/>
    <m/>
    <m/>
    <m/>
    <m/>
    <m/>
    <m/>
    <m/>
    <m/>
    <m/>
    <m/>
    <m/>
    <m/>
    <m/>
    <m/>
    <m/>
    <m/>
    <m/>
    <m/>
    <m/>
    <m/>
    <m/>
    <m/>
    <m/>
    <m/>
    <m/>
    <m/>
    <m/>
    <m/>
    <m/>
    <m/>
    <m/>
    <m/>
    <m/>
  </r>
  <r>
    <n v="48"/>
    <s v="Mongla Special Economic Zone (Indian SEZ)"/>
    <x v="6"/>
    <s v="Bagerhat"/>
    <s v="Mongla"/>
    <x v="0"/>
    <s v="Under Development"/>
    <m/>
    <x v="1"/>
    <m/>
    <m/>
    <m/>
    <m/>
    <m/>
    <m/>
    <m/>
    <m/>
    <m/>
    <m/>
    <m/>
    <m/>
    <m/>
    <m/>
    <m/>
    <s v="-"/>
    <s v="-"/>
    <s v="-"/>
    <m/>
    <m/>
    <m/>
    <m/>
    <m/>
    <m/>
    <m/>
    <m/>
    <m/>
    <m/>
    <m/>
    <m/>
    <m/>
    <m/>
    <m/>
    <m/>
    <m/>
    <m/>
    <m/>
    <m/>
    <m/>
    <m/>
    <m/>
    <m/>
    <m/>
    <m/>
    <m/>
    <m/>
    <m/>
    <m/>
    <m/>
    <m/>
    <m/>
    <m/>
    <m/>
    <m/>
  </r>
  <r>
    <n v="49"/>
    <s v="Mymensingh Economic Zone"/>
    <x v="2"/>
    <s v="Mymensingh"/>
    <s v="Mymensingh Sadar"/>
    <x v="0"/>
    <s v="Pre-Planning Stage"/>
    <m/>
    <x v="0"/>
    <m/>
    <m/>
    <s v="Yes"/>
    <n v="2016"/>
    <m/>
    <m/>
    <m/>
    <m/>
    <m/>
    <m/>
    <m/>
    <m/>
    <m/>
    <s v="Site Visit Report"/>
    <m/>
    <n v="494"/>
    <s v="-"/>
    <s v="-"/>
    <m/>
    <m/>
    <m/>
    <m/>
    <m/>
    <m/>
    <m/>
    <m/>
    <m/>
    <m/>
    <m/>
    <m/>
    <m/>
    <m/>
    <m/>
    <m/>
    <m/>
    <m/>
    <m/>
    <m/>
    <m/>
    <m/>
    <m/>
    <m/>
    <m/>
    <m/>
    <m/>
    <m/>
    <m/>
    <m/>
    <m/>
    <m/>
    <m/>
    <m/>
    <m/>
    <m/>
  </r>
  <r>
    <n v="50"/>
    <s v="Mymensingh Economic Zone, Ishwarganj"/>
    <x v="2"/>
    <s v="Mymensingh"/>
    <s v="Ishwarganj"/>
    <x v="0"/>
    <s v="In-Principle Approval"/>
    <m/>
    <x v="0"/>
    <m/>
    <m/>
    <m/>
    <m/>
    <m/>
    <m/>
    <m/>
    <m/>
    <m/>
    <m/>
    <m/>
    <m/>
    <m/>
    <m/>
    <m/>
    <s v="-"/>
    <s v="-"/>
    <s v="-"/>
    <m/>
    <m/>
    <m/>
    <m/>
    <m/>
    <m/>
    <m/>
    <m/>
    <m/>
    <m/>
    <m/>
    <m/>
    <m/>
    <m/>
    <m/>
    <m/>
    <m/>
    <m/>
    <m/>
    <m/>
    <m/>
    <m/>
    <m/>
    <m/>
    <m/>
    <m/>
    <m/>
    <m/>
    <m/>
    <m/>
    <m/>
    <m/>
    <m/>
    <m/>
    <m/>
    <m/>
  </r>
  <r>
    <n v="51"/>
    <s v="Narayanganj Economic Zone"/>
    <x v="4"/>
    <s v="Narayanganj"/>
    <s v="Bandar and Sonargaon"/>
    <x v="0"/>
    <s v="Pre-Planning Stage"/>
    <m/>
    <x v="0"/>
    <m/>
    <m/>
    <s v="Yes"/>
    <n v="2021"/>
    <s v="Yes"/>
    <n v="2016"/>
    <m/>
    <m/>
    <m/>
    <m/>
    <m/>
    <m/>
    <m/>
    <s v="Site Visit Report"/>
    <m/>
    <n v="193.66"/>
    <s v="N/A"/>
    <s v="-"/>
    <s v="No information about Narayanganj on the pre feasibility report"/>
    <m/>
    <m/>
    <m/>
    <m/>
    <m/>
    <m/>
    <m/>
    <m/>
    <m/>
    <m/>
    <m/>
    <m/>
    <m/>
    <m/>
    <m/>
    <m/>
    <m/>
    <m/>
    <m/>
    <m/>
    <m/>
    <m/>
    <m/>
    <m/>
    <m/>
    <m/>
    <m/>
    <m/>
    <m/>
    <m/>
    <m/>
    <m/>
    <m/>
    <m/>
    <m/>
  </r>
  <r>
    <n v="52"/>
    <s v="Narayanganj Economic Zone, Sonargaon"/>
    <x v="4"/>
    <s v="Narayanganj"/>
    <s v="Sonargaon"/>
    <x v="0"/>
    <s v="In-Principle Approval"/>
    <m/>
    <x v="0"/>
    <m/>
    <m/>
    <s v="Yes"/>
    <n v="2021"/>
    <m/>
    <m/>
    <m/>
    <m/>
    <m/>
    <m/>
    <m/>
    <m/>
    <m/>
    <m/>
    <m/>
    <s v="-"/>
    <s v="-"/>
    <s v="-"/>
    <m/>
    <m/>
    <m/>
    <m/>
    <m/>
    <m/>
    <m/>
    <m/>
    <m/>
    <m/>
    <m/>
    <m/>
    <m/>
    <m/>
    <m/>
    <m/>
    <m/>
    <m/>
    <m/>
    <m/>
    <m/>
    <m/>
    <m/>
    <m/>
    <m/>
    <m/>
    <m/>
    <m/>
    <m/>
    <m/>
    <m/>
    <m/>
    <m/>
    <m/>
    <m/>
    <m/>
  </r>
  <r>
    <n v="53"/>
    <s v="Natore Economic Zone – 2"/>
    <x v="3"/>
    <s v="Natore"/>
    <s v="Nator Sadar"/>
    <x v="0"/>
    <s v="In-Principle Approval"/>
    <m/>
    <x v="3"/>
    <m/>
    <m/>
    <m/>
    <m/>
    <m/>
    <m/>
    <m/>
    <m/>
    <m/>
    <m/>
    <m/>
    <m/>
    <m/>
    <m/>
    <m/>
    <s v="-"/>
    <s v="-"/>
    <s v="-"/>
    <s v="Not Found in Priority List"/>
    <m/>
    <m/>
    <m/>
    <m/>
    <m/>
    <m/>
    <m/>
    <m/>
    <m/>
    <m/>
    <m/>
    <m/>
    <m/>
    <m/>
    <m/>
    <m/>
    <m/>
    <m/>
    <m/>
    <m/>
    <m/>
    <m/>
    <m/>
    <m/>
    <m/>
    <m/>
    <m/>
    <m/>
    <m/>
    <m/>
    <m/>
    <m/>
    <m/>
    <m/>
    <m/>
  </r>
  <r>
    <n v="54"/>
    <s v="Natore Economic Zone"/>
    <x v="3"/>
    <s v="Natore"/>
    <s v="Lalpur"/>
    <x v="0"/>
    <s v="In-Principle Approval"/>
    <m/>
    <x v="0"/>
    <m/>
    <m/>
    <m/>
    <m/>
    <s v="Yes"/>
    <n v="2018"/>
    <m/>
    <m/>
    <m/>
    <m/>
    <m/>
    <m/>
    <m/>
    <m/>
    <m/>
    <s v="-"/>
    <n v="300"/>
    <s v="-"/>
    <m/>
    <m/>
    <m/>
    <m/>
    <m/>
    <m/>
    <m/>
    <m/>
    <m/>
    <m/>
    <m/>
    <m/>
    <m/>
    <m/>
    <m/>
    <m/>
    <m/>
    <m/>
    <m/>
    <m/>
    <m/>
    <m/>
    <m/>
    <m/>
    <m/>
    <m/>
    <m/>
    <m/>
    <m/>
    <m/>
    <m/>
    <m/>
    <m/>
    <m/>
    <m/>
    <m/>
  </r>
  <r>
    <n v="55"/>
    <s v="Noakhali Economic Zone, Companiganj"/>
    <x v="1"/>
    <s v="Noakhali"/>
    <s v="Companiganj"/>
    <x v="0"/>
    <s v="Pre-Planning Stage"/>
    <m/>
    <x v="0"/>
    <m/>
    <m/>
    <s v="Yes"/>
    <n v="2019"/>
    <m/>
    <m/>
    <m/>
    <m/>
    <m/>
    <m/>
    <m/>
    <m/>
    <m/>
    <s v="Site Visit Report"/>
    <m/>
    <n v="350"/>
    <s v="-"/>
    <s v="-"/>
    <m/>
    <m/>
    <m/>
    <m/>
    <m/>
    <m/>
    <m/>
    <m/>
    <m/>
    <m/>
    <m/>
    <m/>
    <m/>
    <m/>
    <m/>
    <m/>
    <m/>
    <m/>
    <m/>
    <m/>
    <m/>
    <m/>
    <m/>
    <m/>
    <m/>
    <m/>
    <m/>
    <m/>
    <m/>
    <m/>
    <m/>
    <m/>
    <m/>
    <m/>
    <m/>
    <m/>
  </r>
  <r>
    <n v="56"/>
    <s v="Norshingdi Economic Zone"/>
    <x v="4"/>
    <s v="Norshingdi"/>
    <s v="Norshingdi Sadar"/>
    <x v="0"/>
    <s v="In-Principle Approval"/>
    <m/>
    <x v="0"/>
    <m/>
    <m/>
    <m/>
    <m/>
    <m/>
    <m/>
    <m/>
    <m/>
    <m/>
    <m/>
    <m/>
    <m/>
    <m/>
    <m/>
    <m/>
    <s v="-"/>
    <s v="-"/>
    <s v="-"/>
    <m/>
    <m/>
    <m/>
    <m/>
    <m/>
    <m/>
    <m/>
    <m/>
    <m/>
    <m/>
    <m/>
    <m/>
    <m/>
    <m/>
    <m/>
    <m/>
    <m/>
    <m/>
    <m/>
    <m/>
    <m/>
    <m/>
    <m/>
    <m/>
    <m/>
    <m/>
    <m/>
    <m/>
    <m/>
    <m/>
    <m/>
    <m/>
    <m/>
    <m/>
    <m/>
    <m/>
  </r>
  <r>
    <n v="57"/>
    <s v="Pabna Economic Zone"/>
    <x v="3"/>
    <s v="Pabna"/>
    <s v="Bera"/>
    <x v="0"/>
    <s v="In-Principle Approval"/>
    <m/>
    <x v="0"/>
    <m/>
    <m/>
    <m/>
    <m/>
    <m/>
    <m/>
    <m/>
    <m/>
    <m/>
    <m/>
    <m/>
    <m/>
    <m/>
    <m/>
    <m/>
    <s v="-"/>
    <s v="-"/>
    <s v="-"/>
    <m/>
    <m/>
    <m/>
    <m/>
    <m/>
    <m/>
    <m/>
    <m/>
    <m/>
    <m/>
    <m/>
    <m/>
    <m/>
    <m/>
    <m/>
    <m/>
    <m/>
    <m/>
    <m/>
    <m/>
    <m/>
    <m/>
    <m/>
    <m/>
    <m/>
    <m/>
    <m/>
    <m/>
    <m/>
    <m/>
    <m/>
    <m/>
    <m/>
    <m/>
    <m/>
    <m/>
  </r>
  <r>
    <n v="58"/>
    <s v="Patia Economic Zone"/>
    <x v="1"/>
    <s v="Chattogram"/>
    <s v="Patia"/>
    <x v="0"/>
    <s v="In-Principle Approval"/>
    <m/>
    <x v="0"/>
    <m/>
    <m/>
    <m/>
    <m/>
    <m/>
    <m/>
    <m/>
    <m/>
    <m/>
    <m/>
    <m/>
    <m/>
    <m/>
    <m/>
    <m/>
    <s v="-"/>
    <s v="-"/>
    <s v="-"/>
    <m/>
    <m/>
    <m/>
    <m/>
    <m/>
    <m/>
    <m/>
    <m/>
    <m/>
    <m/>
    <m/>
    <m/>
    <m/>
    <m/>
    <m/>
    <m/>
    <m/>
    <m/>
    <m/>
    <m/>
    <m/>
    <m/>
    <m/>
    <m/>
    <m/>
    <m/>
    <m/>
    <m/>
    <m/>
    <m/>
    <m/>
    <m/>
    <m/>
    <m/>
    <m/>
    <m/>
  </r>
  <r>
    <n v="59"/>
    <s v="Rajshahi Economic Zone"/>
    <x v="3"/>
    <s v="Rajshahi"/>
    <s v="Paba"/>
    <x v="0"/>
    <s v="In-Principle Approval"/>
    <m/>
    <x v="0"/>
    <m/>
    <m/>
    <m/>
    <m/>
    <m/>
    <m/>
    <m/>
    <m/>
    <m/>
    <m/>
    <m/>
    <m/>
    <m/>
    <m/>
    <m/>
    <s v="-"/>
    <s v="-"/>
    <s v="-"/>
    <m/>
    <m/>
    <m/>
    <m/>
    <m/>
    <m/>
    <m/>
    <m/>
    <m/>
    <m/>
    <m/>
    <m/>
    <m/>
    <m/>
    <m/>
    <m/>
    <m/>
    <m/>
    <m/>
    <m/>
    <m/>
    <m/>
    <m/>
    <m/>
    <m/>
    <m/>
    <m/>
    <m/>
    <m/>
    <m/>
    <m/>
    <m/>
    <m/>
    <m/>
    <m/>
    <m/>
  </r>
  <r>
    <n v="60"/>
    <s v="Rampal Economic Zone"/>
    <x v="6"/>
    <s v="Bagerhat"/>
    <s v="Rampal"/>
    <x v="0"/>
    <s v="In-Principle Approval"/>
    <m/>
    <x v="0"/>
    <m/>
    <m/>
    <m/>
    <m/>
    <m/>
    <m/>
    <m/>
    <m/>
    <m/>
    <m/>
    <m/>
    <m/>
    <m/>
    <m/>
    <m/>
    <s v="-"/>
    <s v="-"/>
    <s v="-"/>
    <m/>
    <m/>
    <m/>
    <m/>
    <m/>
    <m/>
    <m/>
    <m/>
    <m/>
    <m/>
    <m/>
    <m/>
    <m/>
    <m/>
    <m/>
    <m/>
    <m/>
    <m/>
    <m/>
    <m/>
    <m/>
    <m/>
    <m/>
    <m/>
    <m/>
    <m/>
    <m/>
    <m/>
    <m/>
    <m/>
    <m/>
    <m/>
    <m/>
    <m/>
    <m/>
    <m/>
  </r>
  <r>
    <n v="61"/>
    <s v="Sabrang Tourism Park"/>
    <x v="1"/>
    <s v="Cox’s Bazar"/>
    <s v="Teknaf"/>
    <x v="0"/>
    <s v="Under Development"/>
    <m/>
    <x v="1"/>
    <m/>
    <m/>
    <m/>
    <m/>
    <s v="Yes"/>
    <n v="2016"/>
    <m/>
    <m/>
    <s v="Yes"/>
    <m/>
    <m/>
    <m/>
    <m/>
    <s v="There is a feasibility report but it has no quantitative data"/>
    <m/>
    <s v="-"/>
    <n v="774.43"/>
    <n v="1027.56"/>
    <s v="There is a feasibility report but it has no quantitative data"/>
    <m/>
    <m/>
    <m/>
    <m/>
    <m/>
    <m/>
    <m/>
    <m/>
    <m/>
    <m/>
    <m/>
    <m/>
    <m/>
    <m/>
    <m/>
    <m/>
    <m/>
    <m/>
    <m/>
    <m/>
    <m/>
    <m/>
    <m/>
    <m/>
    <m/>
    <m/>
    <m/>
    <m/>
    <m/>
    <m/>
    <m/>
    <m/>
    <m/>
    <m/>
    <m/>
  </r>
  <r>
    <n v="62"/>
    <s v="Sandwip Economic Zone"/>
    <x v="1"/>
    <s v="Chottogram"/>
    <s v="Sandwip"/>
    <x v="0"/>
    <s v="In-Principle Approval"/>
    <m/>
    <x v="0"/>
    <m/>
    <m/>
    <m/>
    <m/>
    <m/>
    <m/>
    <m/>
    <m/>
    <m/>
    <m/>
    <m/>
    <m/>
    <m/>
    <m/>
    <m/>
    <s v="-"/>
    <s v="-"/>
    <s v="-"/>
    <m/>
    <m/>
    <m/>
    <m/>
    <m/>
    <m/>
    <m/>
    <m/>
    <m/>
    <m/>
    <m/>
    <m/>
    <m/>
    <m/>
    <m/>
    <m/>
    <m/>
    <m/>
    <m/>
    <m/>
    <m/>
    <m/>
    <m/>
    <m/>
    <m/>
    <m/>
    <m/>
    <m/>
    <m/>
    <m/>
    <m/>
    <m/>
    <m/>
    <m/>
    <m/>
    <m/>
  </r>
  <r>
    <n v="63"/>
    <s v="Sapahar Economic Zone, Naogaon"/>
    <x v="3"/>
    <s v="Naogaon"/>
    <s v="Sapahar"/>
    <x v="0"/>
    <s v="In-Principle Approval"/>
    <m/>
    <x v="0"/>
    <m/>
    <m/>
    <m/>
    <m/>
    <m/>
    <m/>
    <m/>
    <m/>
    <m/>
    <m/>
    <m/>
    <m/>
    <m/>
    <m/>
    <m/>
    <s v="-"/>
    <s v="-"/>
    <s v="-"/>
    <m/>
    <m/>
    <m/>
    <m/>
    <m/>
    <m/>
    <m/>
    <m/>
    <m/>
    <m/>
    <m/>
    <m/>
    <m/>
    <m/>
    <m/>
    <m/>
    <m/>
    <m/>
    <m/>
    <m/>
    <m/>
    <m/>
    <m/>
    <m/>
    <m/>
    <m/>
    <m/>
    <m/>
    <m/>
    <m/>
    <m/>
    <m/>
    <m/>
    <m/>
    <m/>
    <m/>
  </r>
  <r>
    <n v="64"/>
    <s v="Shariatpur Economic Zone, Gosairhat"/>
    <x v="4"/>
    <s v="Shariatpur"/>
    <s v="Gosairhat"/>
    <x v="0"/>
    <s v="Pre-Planning Stage"/>
    <m/>
    <x v="0"/>
    <m/>
    <m/>
    <s v="Yes"/>
    <n v="2022"/>
    <m/>
    <m/>
    <m/>
    <m/>
    <m/>
    <m/>
    <m/>
    <m/>
    <m/>
    <s v="Site Visit Report"/>
    <m/>
    <n v="686"/>
    <s v="-"/>
    <s v="-"/>
    <m/>
    <m/>
    <m/>
    <m/>
    <m/>
    <m/>
    <m/>
    <m/>
    <m/>
    <m/>
    <m/>
    <m/>
    <m/>
    <m/>
    <m/>
    <m/>
    <m/>
    <m/>
    <m/>
    <m/>
    <m/>
    <m/>
    <m/>
    <m/>
    <m/>
    <m/>
    <m/>
    <m/>
    <m/>
    <m/>
    <m/>
    <m/>
    <m/>
    <m/>
    <m/>
    <m/>
  </r>
  <r>
    <n v="65"/>
    <s v="Shreehatta Economic Zone"/>
    <x v="7"/>
    <s v="Moulvibazar"/>
    <s v="Moulvibazar Sadar"/>
    <x v="0"/>
    <s v="Under Development"/>
    <m/>
    <x v="1"/>
    <m/>
    <m/>
    <m/>
    <m/>
    <m/>
    <m/>
    <m/>
    <m/>
    <m/>
    <m/>
    <m/>
    <m/>
    <m/>
    <m/>
    <n v="352"/>
    <s v="-"/>
    <s v="-"/>
    <s v="-"/>
    <m/>
    <m/>
    <m/>
    <m/>
    <m/>
    <m/>
    <m/>
    <m/>
    <m/>
    <m/>
    <m/>
    <m/>
    <m/>
    <m/>
    <m/>
    <m/>
    <m/>
    <m/>
    <m/>
    <m/>
    <m/>
    <m/>
    <m/>
    <m/>
    <m/>
    <m/>
    <m/>
    <m/>
    <m/>
    <m/>
    <m/>
    <m/>
    <m/>
    <m/>
    <m/>
    <m/>
  </r>
  <r>
    <n v="66"/>
    <s v="Shreepur Economic Zone"/>
    <x v="4"/>
    <s v="Gazipur"/>
    <s v="Shreepur"/>
    <x v="0"/>
    <s v="In-Principle Approval"/>
    <m/>
    <x v="0"/>
    <m/>
    <m/>
    <m/>
    <m/>
    <m/>
    <m/>
    <m/>
    <m/>
    <m/>
    <m/>
    <m/>
    <m/>
    <m/>
    <m/>
    <m/>
    <s v="-"/>
    <s v="-"/>
    <s v="-"/>
    <m/>
    <m/>
    <m/>
    <m/>
    <m/>
    <m/>
    <m/>
    <m/>
    <m/>
    <m/>
    <m/>
    <m/>
    <m/>
    <m/>
    <m/>
    <m/>
    <m/>
    <m/>
    <m/>
    <m/>
    <m/>
    <m/>
    <m/>
    <m/>
    <m/>
    <m/>
    <m/>
    <m/>
    <m/>
    <m/>
    <m/>
    <m/>
    <m/>
    <m/>
    <m/>
    <m/>
  </r>
  <r>
    <n v="67"/>
    <s v="Sunamganj Economic Zone, Chhatak"/>
    <x v="7"/>
    <s v="Sunamganj"/>
    <s v=" Chhatak"/>
    <x v="0"/>
    <s v="In-Principle Approval"/>
    <m/>
    <x v="0"/>
    <m/>
    <m/>
    <m/>
    <m/>
    <m/>
    <m/>
    <m/>
    <m/>
    <m/>
    <m/>
    <m/>
    <m/>
    <m/>
    <m/>
    <m/>
    <s v="-"/>
    <s v="-"/>
    <s v="-"/>
    <m/>
    <m/>
    <m/>
    <m/>
    <m/>
    <m/>
    <m/>
    <m/>
    <m/>
    <m/>
    <m/>
    <m/>
    <m/>
    <m/>
    <m/>
    <m/>
    <m/>
    <m/>
    <m/>
    <m/>
    <m/>
    <m/>
    <m/>
    <m/>
    <m/>
    <m/>
    <m/>
    <m/>
    <m/>
    <m/>
    <m/>
    <m/>
    <m/>
    <m/>
    <m/>
    <m/>
  </r>
  <r>
    <n v="68"/>
    <s v="Sundarban Tourism Park"/>
    <x v="6"/>
    <s v="Bagerhat"/>
    <s v="Sharankhola"/>
    <x v="0"/>
    <s v="In-Principle Approval"/>
    <m/>
    <x v="0"/>
    <m/>
    <m/>
    <m/>
    <m/>
    <m/>
    <m/>
    <m/>
    <m/>
    <m/>
    <m/>
    <m/>
    <m/>
    <m/>
    <m/>
    <m/>
    <s v="-"/>
    <s v="-"/>
    <s v="-"/>
    <m/>
    <m/>
    <m/>
    <m/>
    <m/>
    <m/>
    <m/>
    <m/>
    <m/>
    <m/>
    <m/>
    <m/>
    <m/>
    <m/>
    <m/>
    <m/>
    <m/>
    <m/>
    <m/>
    <m/>
    <m/>
    <m/>
    <m/>
    <m/>
    <m/>
    <m/>
    <m/>
    <m/>
    <m/>
    <m/>
    <m/>
    <m/>
    <m/>
    <m/>
    <m/>
    <m/>
  </r>
  <r>
    <n v="69"/>
    <s v="A.K.Khan and Comapny Ltd. Economic Zone,"/>
    <x v="4"/>
    <s v="Narshingdi"/>
    <s v="Palash"/>
    <x v="2"/>
    <s v="N/A"/>
    <s v="N/A"/>
    <x v="4"/>
    <m/>
    <m/>
    <m/>
    <m/>
    <m/>
    <m/>
    <m/>
    <m/>
    <m/>
    <m/>
    <m/>
    <m/>
    <m/>
    <m/>
    <m/>
    <s v="-"/>
    <s v="-"/>
    <s v="-"/>
    <m/>
    <m/>
    <m/>
    <m/>
    <m/>
    <m/>
    <m/>
    <m/>
    <m/>
    <m/>
    <m/>
    <m/>
    <m/>
    <m/>
    <m/>
    <m/>
    <m/>
    <m/>
    <m/>
    <m/>
    <m/>
    <m/>
    <m/>
    <m/>
    <m/>
    <m/>
    <m/>
    <m/>
    <m/>
    <m/>
    <m/>
    <m/>
    <m/>
    <m/>
    <m/>
    <m/>
  </r>
  <r>
    <n v="70"/>
    <s v="Abdul Monem Economic Zone"/>
    <x v="4"/>
    <s v="Munshiganj"/>
    <s v="Gajaria"/>
    <x v="2"/>
    <s v="N/A"/>
    <m/>
    <x v="4"/>
    <m/>
    <m/>
    <m/>
    <m/>
    <m/>
    <m/>
    <m/>
    <m/>
    <m/>
    <m/>
    <m/>
    <m/>
    <m/>
    <m/>
    <m/>
    <s v="-"/>
    <s v="-"/>
    <s v="-"/>
    <m/>
    <m/>
    <m/>
    <m/>
    <m/>
    <m/>
    <m/>
    <m/>
    <m/>
    <m/>
    <m/>
    <m/>
    <m/>
    <m/>
    <m/>
    <m/>
    <m/>
    <m/>
    <m/>
    <m/>
    <m/>
    <m/>
    <m/>
    <m/>
    <m/>
    <m/>
    <m/>
    <m/>
    <m/>
    <m/>
    <m/>
    <m/>
    <m/>
    <m/>
    <m/>
    <m/>
  </r>
  <r>
    <n v="71"/>
    <s v="‘Garments Industries Park’ proposed by BGMEA"/>
    <x v="4"/>
    <s v="Munshiganj"/>
    <s v="Gajaria"/>
    <x v="2"/>
    <s v="N/A"/>
    <m/>
    <x v="4"/>
    <m/>
    <m/>
    <m/>
    <m/>
    <m/>
    <m/>
    <m/>
    <m/>
    <m/>
    <m/>
    <m/>
    <m/>
    <m/>
    <m/>
    <m/>
    <s v="-"/>
    <s v="-"/>
    <s v="-"/>
    <m/>
    <m/>
    <m/>
    <m/>
    <m/>
    <m/>
    <m/>
    <m/>
    <m/>
    <m/>
    <m/>
    <m/>
    <m/>
    <m/>
    <m/>
    <m/>
    <m/>
    <m/>
    <m/>
    <m/>
    <m/>
    <m/>
    <m/>
    <m/>
    <m/>
    <m/>
    <m/>
    <m/>
    <m/>
    <m/>
    <m/>
    <m/>
    <m/>
    <m/>
    <m/>
    <m/>
  </r>
  <r>
    <n v="72"/>
    <s v="Meghna Industrial Economic Zone"/>
    <x v="4"/>
    <s v="Narayanganj"/>
    <s v="Sonargaon"/>
    <x v="2"/>
    <s v="N/A"/>
    <m/>
    <x v="4"/>
    <m/>
    <m/>
    <m/>
    <m/>
    <m/>
    <m/>
    <m/>
    <m/>
    <m/>
    <m/>
    <m/>
    <m/>
    <m/>
    <m/>
    <m/>
    <s v="-"/>
    <s v="-"/>
    <s v="-"/>
    <m/>
    <m/>
    <m/>
    <m/>
    <m/>
    <m/>
    <m/>
    <m/>
    <m/>
    <m/>
    <m/>
    <m/>
    <m/>
    <m/>
    <m/>
    <m/>
    <m/>
    <m/>
    <m/>
    <m/>
    <m/>
    <m/>
    <m/>
    <m/>
    <m/>
    <m/>
    <m/>
    <m/>
    <m/>
    <m/>
    <m/>
    <m/>
    <m/>
    <m/>
    <m/>
    <m/>
  </r>
  <r>
    <n v="73"/>
    <s v="Meghna Economic Zone"/>
    <x v="4"/>
    <s v="Narayanganj"/>
    <s v="Sonargaon"/>
    <x v="2"/>
    <s v="N/A"/>
    <m/>
    <x v="4"/>
    <m/>
    <m/>
    <m/>
    <m/>
    <m/>
    <m/>
    <m/>
    <m/>
    <m/>
    <m/>
    <m/>
    <m/>
    <m/>
    <m/>
    <m/>
    <s v="-"/>
    <s v="-"/>
    <s v="-"/>
    <m/>
    <m/>
    <m/>
    <m/>
    <m/>
    <m/>
    <m/>
    <m/>
    <m/>
    <m/>
    <m/>
    <m/>
    <m/>
    <m/>
    <m/>
    <m/>
    <m/>
    <m/>
    <m/>
    <m/>
    <m/>
    <m/>
    <m/>
    <m/>
    <m/>
    <m/>
    <m/>
    <m/>
    <m/>
    <m/>
    <m/>
    <m/>
    <m/>
    <m/>
    <m/>
    <m/>
  </r>
  <r>
    <n v="74"/>
    <s v="Famkam Economic Zone"/>
    <x v="6"/>
    <s v="Bagerhat"/>
    <s v="Rampal"/>
    <x v="2"/>
    <s v="N/A"/>
    <m/>
    <x v="4"/>
    <m/>
    <m/>
    <m/>
    <m/>
    <m/>
    <m/>
    <m/>
    <m/>
    <m/>
    <m/>
    <m/>
    <m/>
    <m/>
    <m/>
    <m/>
    <s v="-"/>
    <s v="-"/>
    <s v="-"/>
    <m/>
    <m/>
    <m/>
    <m/>
    <m/>
    <m/>
    <m/>
    <m/>
    <m/>
    <m/>
    <m/>
    <m/>
    <m/>
    <m/>
    <m/>
    <m/>
    <m/>
    <m/>
    <m/>
    <m/>
    <m/>
    <m/>
    <m/>
    <m/>
    <m/>
    <m/>
    <m/>
    <m/>
    <m/>
    <m/>
    <m/>
    <m/>
    <m/>
    <m/>
    <m/>
    <m/>
  </r>
  <r>
    <n v="75"/>
    <s v="Cumilla Economic Zone"/>
    <x v="1"/>
    <s v="Cumilla"/>
    <s v="Meghna"/>
    <x v="2"/>
    <s v="N/A"/>
    <m/>
    <x v="4"/>
    <m/>
    <m/>
    <m/>
    <m/>
    <m/>
    <m/>
    <m/>
    <m/>
    <m/>
    <m/>
    <m/>
    <m/>
    <m/>
    <m/>
    <m/>
    <s v="-"/>
    <s v="-"/>
    <s v="-"/>
    <m/>
    <m/>
    <m/>
    <m/>
    <m/>
    <m/>
    <m/>
    <m/>
    <m/>
    <m/>
    <m/>
    <m/>
    <m/>
    <m/>
    <m/>
    <m/>
    <m/>
    <m/>
    <m/>
    <m/>
    <m/>
    <m/>
    <m/>
    <m/>
    <m/>
    <m/>
    <m/>
    <m/>
    <m/>
    <m/>
    <m/>
    <m/>
    <m/>
    <m/>
    <m/>
    <m/>
  </r>
  <r>
    <n v="76"/>
    <s v="Aman Economic Zone"/>
    <x v="4"/>
    <s v="Narayanganj"/>
    <s v="Sonargaon"/>
    <x v="2"/>
    <s v="N/A"/>
    <m/>
    <x v="4"/>
    <m/>
    <m/>
    <m/>
    <m/>
    <m/>
    <m/>
    <m/>
    <m/>
    <m/>
    <m/>
    <m/>
    <m/>
    <m/>
    <m/>
    <m/>
    <s v="-"/>
    <s v="-"/>
    <s v="-"/>
    <m/>
    <m/>
    <m/>
    <m/>
    <m/>
    <m/>
    <m/>
    <m/>
    <m/>
    <m/>
    <m/>
    <m/>
    <m/>
    <m/>
    <m/>
    <m/>
    <m/>
    <m/>
    <m/>
    <m/>
    <m/>
    <m/>
    <m/>
    <m/>
    <m/>
    <m/>
    <m/>
    <m/>
    <m/>
    <m/>
    <m/>
    <m/>
    <m/>
    <m/>
    <m/>
    <m/>
  </r>
  <r>
    <n v="77"/>
    <s v="Bay Economic Zone"/>
    <x v="4"/>
    <s v="Gazipur"/>
    <s v="Konabari"/>
    <x v="2"/>
    <s v="N/A"/>
    <m/>
    <x v="4"/>
    <m/>
    <m/>
    <m/>
    <m/>
    <m/>
    <m/>
    <m/>
    <m/>
    <m/>
    <m/>
    <m/>
    <m/>
    <m/>
    <m/>
    <m/>
    <s v="-"/>
    <s v="-"/>
    <s v="-"/>
    <m/>
    <m/>
    <m/>
    <m/>
    <m/>
    <m/>
    <m/>
    <m/>
    <m/>
    <m/>
    <m/>
    <m/>
    <m/>
    <m/>
    <m/>
    <m/>
    <m/>
    <m/>
    <m/>
    <m/>
    <m/>
    <m/>
    <m/>
    <m/>
    <m/>
    <m/>
    <m/>
    <m/>
    <m/>
    <m/>
    <m/>
    <m/>
    <m/>
    <m/>
    <m/>
    <m/>
  </r>
  <r>
    <n v="78"/>
    <s v="Sirajganj Economic Zone"/>
    <x v="3"/>
    <s v="Sirajganj"/>
    <s v="Sirajganj Sadar, Belkuchi"/>
    <x v="2"/>
    <s v="N/A"/>
    <m/>
    <x v="4"/>
    <m/>
    <m/>
    <m/>
    <m/>
    <m/>
    <m/>
    <m/>
    <m/>
    <m/>
    <m/>
    <m/>
    <m/>
    <m/>
    <m/>
    <m/>
    <s v="-"/>
    <s v="-"/>
    <s v="-"/>
    <m/>
    <m/>
    <m/>
    <m/>
    <m/>
    <m/>
    <m/>
    <m/>
    <m/>
    <m/>
    <m/>
    <m/>
    <m/>
    <m/>
    <m/>
    <m/>
    <m/>
    <m/>
    <m/>
    <m/>
    <m/>
    <m/>
    <m/>
    <m/>
    <m/>
    <m/>
    <m/>
    <m/>
    <m/>
    <m/>
    <m/>
    <m/>
    <m/>
    <m/>
    <m/>
    <m/>
  </r>
  <r>
    <n v="79"/>
    <s v="Aliance Economic Zone"/>
    <x v="1"/>
    <s v="Cumilla"/>
    <s v="Daudkandi"/>
    <x v="2"/>
    <s v="N/A"/>
    <m/>
    <x v="4"/>
    <m/>
    <m/>
    <m/>
    <m/>
    <m/>
    <m/>
    <m/>
    <m/>
    <m/>
    <m/>
    <m/>
    <m/>
    <m/>
    <m/>
    <m/>
    <s v="-"/>
    <s v="-"/>
    <s v="-"/>
    <m/>
    <m/>
    <m/>
    <m/>
    <m/>
    <m/>
    <m/>
    <m/>
    <m/>
    <m/>
    <m/>
    <m/>
    <m/>
    <m/>
    <m/>
    <m/>
    <m/>
    <m/>
    <m/>
    <m/>
    <m/>
    <m/>
    <m/>
    <m/>
    <m/>
    <m/>
    <m/>
    <m/>
    <m/>
    <m/>
    <m/>
    <m/>
    <m/>
    <m/>
    <m/>
    <m/>
  </r>
  <r>
    <n v="80"/>
    <s v="Arisha Economic Zone"/>
    <x v="4"/>
    <s v="Dhaka"/>
    <s v="Savar, Keraniganj"/>
    <x v="2"/>
    <s v="N/A"/>
    <m/>
    <x v="4"/>
    <m/>
    <m/>
    <m/>
    <m/>
    <m/>
    <m/>
    <m/>
    <m/>
    <m/>
    <m/>
    <m/>
    <m/>
    <m/>
    <m/>
    <m/>
    <s v="-"/>
    <s v="-"/>
    <s v="-"/>
    <m/>
    <m/>
    <m/>
    <m/>
    <m/>
    <m/>
    <m/>
    <m/>
    <m/>
    <m/>
    <m/>
    <m/>
    <m/>
    <m/>
    <m/>
    <m/>
    <m/>
    <m/>
    <m/>
    <m/>
    <m/>
    <m/>
    <m/>
    <m/>
    <m/>
    <m/>
    <m/>
    <m/>
    <m/>
    <m/>
    <m/>
    <m/>
    <m/>
    <m/>
    <m/>
    <m/>
  </r>
  <r>
    <n v="81"/>
    <s v="United City IT Park Ltd."/>
    <x v="4"/>
    <s v="Dhaka"/>
    <s v="Vatara &amp; Badda"/>
    <x v="2"/>
    <s v="N/A"/>
    <m/>
    <x v="4"/>
    <m/>
    <m/>
    <m/>
    <m/>
    <m/>
    <m/>
    <m/>
    <m/>
    <m/>
    <m/>
    <m/>
    <m/>
    <m/>
    <m/>
    <m/>
    <s v="-"/>
    <s v="-"/>
    <s v="-"/>
    <m/>
    <m/>
    <m/>
    <m/>
    <m/>
    <m/>
    <m/>
    <m/>
    <m/>
    <m/>
    <m/>
    <m/>
    <m/>
    <m/>
    <m/>
    <m/>
    <m/>
    <m/>
    <m/>
    <m/>
    <m/>
    <m/>
    <m/>
    <m/>
    <m/>
    <m/>
    <m/>
    <m/>
    <m/>
    <m/>
    <m/>
    <m/>
    <m/>
    <m/>
    <m/>
    <m/>
  </r>
  <r>
    <n v="82"/>
    <s v="East-Coast Group Economic Zone"/>
    <x v="7"/>
    <s v="Habiganj"/>
    <s v="Bahubal"/>
    <x v="2"/>
    <s v="N/A"/>
    <m/>
    <x v="4"/>
    <m/>
    <m/>
    <m/>
    <m/>
    <m/>
    <m/>
    <m/>
    <m/>
    <m/>
    <m/>
    <m/>
    <m/>
    <m/>
    <m/>
    <m/>
    <s v="-"/>
    <s v="-"/>
    <s v="-"/>
    <m/>
    <m/>
    <m/>
    <m/>
    <m/>
    <m/>
    <m/>
    <m/>
    <m/>
    <m/>
    <m/>
    <m/>
    <m/>
    <m/>
    <m/>
    <m/>
    <m/>
    <m/>
    <m/>
    <m/>
    <m/>
    <m/>
    <m/>
    <m/>
    <m/>
    <m/>
    <m/>
    <m/>
    <m/>
    <m/>
    <m/>
    <m/>
    <m/>
    <m/>
    <m/>
    <m/>
  </r>
  <r>
    <n v="83"/>
    <s v="Sonargaon Economic Zone"/>
    <x v="4"/>
    <s v="Narayanganj"/>
    <s v="Sonargaon"/>
    <x v="2"/>
    <s v="N/A"/>
    <m/>
    <x v="4"/>
    <m/>
    <m/>
    <m/>
    <m/>
    <m/>
    <m/>
    <m/>
    <m/>
    <m/>
    <m/>
    <m/>
    <m/>
    <m/>
    <m/>
    <m/>
    <s v="-"/>
    <s v="-"/>
    <s v="-"/>
    <m/>
    <m/>
    <m/>
    <m/>
    <m/>
    <m/>
    <m/>
    <m/>
    <m/>
    <m/>
    <m/>
    <m/>
    <m/>
    <m/>
    <m/>
    <m/>
    <m/>
    <m/>
    <m/>
    <m/>
    <m/>
    <m/>
    <m/>
    <m/>
    <m/>
    <m/>
    <m/>
    <m/>
    <m/>
    <m/>
    <m/>
    <m/>
    <m/>
    <m/>
    <m/>
    <m/>
  </r>
  <r>
    <n v="84"/>
    <s v="Bashundhara Economic Zone"/>
    <x v="4"/>
    <s v="Dhaka"/>
    <s v="Keraniganj"/>
    <x v="2"/>
    <s v="N/A"/>
    <m/>
    <x v="4"/>
    <m/>
    <m/>
    <m/>
    <m/>
    <m/>
    <m/>
    <m/>
    <m/>
    <m/>
    <m/>
    <m/>
    <m/>
    <m/>
    <m/>
    <m/>
    <s v="-"/>
    <s v="-"/>
    <s v="-"/>
    <m/>
    <m/>
    <m/>
    <m/>
    <m/>
    <m/>
    <m/>
    <m/>
    <m/>
    <m/>
    <m/>
    <m/>
    <m/>
    <m/>
    <m/>
    <m/>
    <m/>
    <m/>
    <m/>
    <m/>
    <m/>
    <m/>
    <m/>
    <m/>
    <m/>
    <m/>
    <m/>
    <m/>
    <m/>
    <m/>
    <m/>
    <m/>
    <m/>
    <m/>
    <m/>
    <m/>
  </r>
  <r>
    <n v="85"/>
    <s v="East-West Special Economic Zone"/>
    <x v="4"/>
    <s v="Dhaka"/>
    <s v="Keraniganj"/>
    <x v="2"/>
    <s v="N/A"/>
    <m/>
    <x v="4"/>
    <m/>
    <m/>
    <m/>
    <m/>
    <m/>
    <m/>
    <m/>
    <m/>
    <m/>
    <m/>
    <m/>
    <m/>
    <m/>
    <m/>
    <m/>
    <s v="-"/>
    <s v="-"/>
    <s v="-"/>
    <m/>
    <m/>
    <m/>
    <m/>
    <m/>
    <m/>
    <m/>
    <m/>
    <m/>
    <m/>
    <m/>
    <m/>
    <m/>
    <m/>
    <m/>
    <m/>
    <m/>
    <m/>
    <m/>
    <m/>
    <m/>
    <m/>
    <m/>
    <m/>
    <m/>
    <m/>
    <m/>
    <m/>
    <m/>
    <m/>
    <m/>
    <m/>
    <m/>
    <m/>
    <m/>
    <m/>
  </r>
  <r>
    <n v="86"/>
    <s v="City Economic Zone"/>
    <x v="4"/>
    <s v="Narayanganj"/>
    <s v="Rupganj"/>
    <x v="2"/>
    <s v="N/A"/>
    <m/>
    <x v="4"/>
    <m/>
    <m/>
    <m/>
    <m/>
    <m/>
    <m/>
    <m/>
    <m/>
    <m/>
    <m/>
    <m/>
    <m/>
    <m/>
    <m/>
    <m/>
    <s v="-"/>
    <s v="-"/>
    <s v="-"/>
    <m/>
    <m/>
    <m/>
    <m/>
    <m/>
    <m/>
    <m/>
    <m/>
    <m/>
    <m/>
    <m/>
    <m/>
    <m/>
    <m/>
    <m/>
    <m/>
    <m/>
    <m/>
    <m/>
    <m/>
    <m/>
    <m/>
    <m/>
    <m/>
    <m/>
    <m/>
    <m/>
    <m/>
    <m/>
    <m/>
    <m/>
    <m/>
    <m/>
    <m/>
    <m/>
    <m/>
  </r>
  <r>
    <n v="87"/>
    <s v="City Special Economic Zone"/>
    <x v="4"/>
    <s v="Dhaka"/>
    <s v="Demra"/>
    <x v="2"/>
    <s v="N/A"/>
    <m/>
    <x v="4"/>
    <m/>
    <m/>
    <m/>
    <m/>
    <m/>
    <m/>
    <m/>
    <m/>
    <m/>
    <m/>
    <m/>
    <m/>
    <m/>
    <m/>
    <m/>
    <s v="-"/>
    <s v="-"/>
    <s v="-"/>
    <m/>
    <m/>
    <m/>
    <m/>
    <m/>
    <m/>
    <m/>
    <m/>
    <m/>
    <m/>
    <m/>
    <m/>
    <m/>
    <m/>
    <m/>
    <m/>
    <m/>
    <m/>
    <m/>
    <m/>
    <m/>
    <m/>
    <m/>
    <m/>
    <m/>
    <m/>
    <m/>
    <m/>
    <m/>
    <m/>
    <m/>
    <m/>
    <m/>
    <m/>
    <m/>
    <m/>
  </r>
  <r>
    <n v="88"/>
    <s v="Akij Economic Zone"/>
    <x v="2"/>
    <s v="Mymensingh"/>
    <s v="Trishal"/>
    <x v="2"/>
    <s v="N/A"/>
    <m/>
    <x v="4"/>
    <m/>
    <m/>
    <m/>
    <m/>
    <m/>
    <m/>
    <m/>
    <m/>
    <m/>
    <m/>
    <m/>
    <m/>
    <m/>
    <m/>
    <m/>
    <s v="-"/>
    <s v="-"/>
    <s v="-"/>
    <m/>
    <m/>
    <m/>
    <m/>
    <m/>
    <m/>
    <m/>
    <m/>
    <m/>
    <m/>
    <m/>
    <m/>
    <m/>
    <m/>
    <m/>
    <m/>
    <m/>
    <m/>
    <m/>
    <m/>
    <m/>
    <m/>
    <m/>
    <m/>
    <m/>
    <m/>
    <m/>
    <m/>
    <m/>
    <m/>
    <m/>
    <m/>
    <m/>
    <m/>
    <m/>
    <m/>
  </r>
  <r>
    <n v="89"/>
    <s v="Karnaphuli Dry Dock Special Economic Zone"/>
    <x v="1"/>
    <s v="Chattogram"/>
    <s v="Anowara"/>
    <x v="2"/>
    <s v="N/A"/>
    <m/>
    <x v="4"/>
    <m/>
    <m/>
    <m/>
    <m/>
    <m/>
    <m/>
    <m/>
    <m/>
    <m/>
    <m/>
    <m/>
    <m/>
    <m/>
    <m/>
    <m/>
    <s v="-"/>
    <s v="-"/>
    <s v="-"/>
    <m/>
    <m/>
    <m/>
    <m/>
    <m/>
    <m/>
    <m/>
    <m/>
    <m/>
    <m/>
    <m/>
    <m/>
    <m/>
    <m/>
    <m/>
    <m/>
    <m/>
    <m/>
    <m/>
    <m/>
    <m/>
    <m/>
    <m/>
    <m/>
    <m/>
    <m/>
    <m/>
    <m/>
    <m/>
    <m/>
    <m/>
    <m/>
    <m/>
    <m/>
    <m/>
    <m/>
  </r>
  <r>
    <n v="90"/>
    <s v="Abul Khair Economic Zone"/>
    <x v="4"/>
    <s v="Munshiganj"/>
    <s v="Gajaria"/>
    <x v="2"/>
    <s v="N/A"/>
    <m/>
    <x v="4"/>
    <m/>
    <m/>
    <m/>
    <m/>
    <m/>
    <m/>
    <m/>
    <m/>
    <m/>
    <m/>
    <m/>
    <m/>
    <m/>
    <m/>
    <m/>
    <s v="-"/>
    <s v="-"/>
    <s v="-"/>
    <m/>
    <m/>
    <m/>
    <m/>
    <m/>
    <m/>
    <m/>
    <m/>
    <m/>
    <m/>
    <m/>
    <m/>
    <m/>
    <m/>
    <m/>
    <m/>
    <m/>
    <m/>
    <m/>
    <m/>
    <m/>
    <m/>
    <m/>
    <m/>
    <m/>
    <m/>
    <m/>
    <m/>
    <m/>
    <m/>
    <m/>
    <m/>
    <m/>
    <m/>
    <m/>
    <m/>
  </r>
  <r>
    <n v="91"/>
    <s v="Kishoreganj Economic Zone (Nitol Motors Ltd.)"/>
    <x v="4"/>
    <s v="Kishoreganj"/>
    <s v="Pakundia"/>
    <x v="2"/>
    <s v="N/A"/>
    <m/>
    <x v="4"/>
    <m/>
    <m/>
    <m/>
    <m/>
    <m/>
    <m/>
    <m/>
    <m/>
    <m/>
    <m/>
    <m/>
    <m/>
    <m/>
    <m/>
    <m/>
    <s v="-"/>
    <s v="-"/>
    <s v="-"/>
    <m/>
    <m/>
    <m/>
    <m/>
    <m/>
    <m/>
    <m/>
    <m/>
    <m/>
    <m/>
    <m/>
    <m/>
    <m/>
    <m/>
    <m/>
    <m/>
    <m/>
    <m/>
    <m/>
    <m/>
    <m/>
    <m/>
    <m/>
    <m/>
    <m/>
    <m/>
    <m/>
    <m/>
    <m/>
    <m/>
    <m/>
    <m/>
    <m/>
    <m/>
    <m/>
    <m/>
  </r>
  <r>
    <n v="92"/>
    <s v="Hamid Economic Zone"/>
    <x v="2"/>
    <s v="Mymensingh"/>
    <s v="Trishal"/>
    <x v="2"/>
    <s v="N/A"/>
    <m/>
    <x v="4"/>
    <m/>
    <m/>
    <m/>
    <m/>
    <m/>
    <m/>
    <m/>
    <m/>
    <m/>
    <m/>
    <m/>
    <m/>
    <m/>
    <m/>
    <m/>
    <s v="-"/>
    <s v="-"/>
    <s v="-"/>
    <m/>
    <m/>
    <m/>
    <m/>
    <m/>
    <m/>
    <m/>
    <m/>
    <m/>
    <m/>
    <m/>
    <m/>
    <m/>
    <m/>
    <m/>
    <m/>
    <m/>
    <m/>
    <m/>
    <m/>
    <m/>
    <m/>
    <m/>
    <m/>
    <m/>
    <m/>
    <m/>
    <m/>
    <m/>
    <m/>
    <m/>
    <m/>
    <m/>
    <m/>
    <m/>
    <m/>
  </r>
  <r>
    <n v="93"/>
    <s v="Chatak Economic Zone"/>
    <x v="7"/>
    <s v="Sunamganj"/>
    <s v="Chatak"/>
    <x v="2"/>
    <s v="N/A"/>
    <m/>
    <x v="4"/>
    <m/>
    <m/>
    <m/>
    <m/>
    <m/>
    <m/>
    <m/>
    <m/>
    <m/>
    <m/>
    <m/>
    <m/>
    <m/>
    <m/>
    <m/>
    <s v="-"/>
    <s v="-"/>
    <s v="-"/>
    <m/>
    <m/>
    <m/>
    <m/>
    <m/>
    <m/>
    <m/>
    <m/>
    <m/>
    <m/>
    <m/>
    <m/>
    <m/>
    <m/>
    <m/>
    <m/>
    <m/>
    <m/>
    <m/>
    <m/>
    <m/>
    <m/>
    <m/>
    <m/>
    <m/>
    <m/>
    <m/>
    <m/>
    <m/>
    <m/>
    <m/>
    <m/>
    <m/>
    <m/>
    <m/>
    <m/>
  </r>
  <r>
    <n v="94"/>
    <s v="Standard Global Economic Zone"/>
    <x v="4"/>
    <s v="Munshiganj"/>
    <s v="Gajaria"/>
    <x v="2"/>
    <s v="N/A"/>
    <m/>
    <x v="4"/>
    <m/>
    <m/>
    <m/>
    <m/>
    <m/>
    <m/>
    <m/>
    <m/>
    <m/>
    <m/>
    <m/>
    <m/>
    <m/>
    <m/>
    <m/>
    <s v="-"/>
    <s v="-"/>
    <s v="-"/>
    <m/>
    <m/>
    <m/>
    <m/>
    <m/>
    <m/>
    <m/>
    <m/>
    <m/>
    <m/>
    <m/>
    <m/>
    <m/>
    <m/>
    <m/>
    <m/>
    <m/>
    <m/>
    <m/>
    <m/>
    <m/>
    <m/>
    <m/>
    <m/>
    <m/>
    <m/>
    <m/>
    <m/>
    <m/>
    <m/>
    <m/>
    <m/>
    <m/>
    <m/>
    <m/>
    <m/>
  </r>
  <r>
    <n v="95"/>
    <s v="Hoshendi Economic Zone"/>
    <x v="4"/>
    <s v="Munshiganj"/>
    <s v="Gajaria"/>
    <x v="2"/>
    <s v="N/A"/>
    <m/>
    <x v="4"/>
    <m/>
    <m/>
    <m/>
    <m/>
    <m/>
    <m/>
    <m/>
    <m/>
    <m/>
    <m/>
    <m/>
    <m/>
    <m/>
    <m/>
    <m/>
    <s v="-"/>
    <s v="-"/>
    <s v="-"/>
    <m/>
    <m/>
    <m/>
    <m/>
    <m/>
    <m/>
    <m/>
    <m/>
    <m/>
    <m/>
    <m/>
    <m/>
    <m/>
    <m/>
    <m/>
    <m/>
    <m/>
    <m/>
    <m/>
    <m/>
    <m/>
    <m/>
    <m/>
    <m/>
    <m/>
    <m/>
    <m/>
    <m/>
    <m/>
    <m/>
    <m/>
    <m/>
    <m/>
    <m/>
    <m/>
    <m/>
  </r>
  <r>
    <n v="96"/>
    <s v="Kazi Farms Economic Zone Ltd."/>
    <x v="1"/>
    <s v="Chattogram"/>
    <s v="Chandanaish"/>
    <x v="2"/>
    <s v="N/A"/>
    <m/>
    <x v="4"/>
    <m/>
    <m/>
    <m/>
    <m/>
    <m/>
    <m/>
    <m/>
    <m/>
    <m/>
    <m/>
    <m/>
    <m/>
    <m/>
    <m/>
    <m/>
    <s v="-"/>
    <s v="-"/>
    <s v="-"/>
    <m/>
    <m/>
    <m/>
    <m/>
    <m/>
    <m/>
    <m/>
    <m/>
    <m/>
    <m/>
    <m/>
    <m/>
    <m/>
    <m/>
    <m/>
    <m/>
    <m/>
    <m/>
    <m/>
    <m/>
    <m/>
    <m/>
    <m/>
    <m/>
    <m/>
    <m/>
    <m/>
    <m/>
    <m/>
    <m/>
    <m/>
    <m/>
    <m/>
    <m/>
    <m/>
    <m/>
  </r>
  <r>
    <n v="97"/>
    <s v="Anowar Economic Zone"/>
    <x v="4"/>
    <s v="Munshiganj"/>
    <s v="Gajaria"/>
    <x v="2"/>
    <s v="N/A"/>
    <m/>
    <x v="4"/>
    <m/>
    <m/>
    <m/>
    <m/>
    <m/>
    <m/>
    <m/>
    <m/>
    <m/>
    <m/>
    <m/>
    <m/>
    <m/>
    <m/>
    <m/>
    <s v="-"/>
    <s v="-"/>
    <s v="-"/>
    <m/>
    <m/>
    <m/>
    <m/>
    <m/>
    <m/>
    <m/>
    <m/>
    <m/>
    <m/>
    <m/>
    <m/>
    <m/>
    <m/>
    <m/>
    <m/>
    <m/>
    <m/>
    <m/>
    <m/>
    <m/>
    <m/>
    <m/>
    <m/>
    <m/>
    <m/>
    <m/>
    <m/>
    <m/>
    <m/>
    <m/>
    <m/>
    <m/>
    <m/>
    <m/>
    <m/>
  </r>
  <r>
    <s v="A"/>
    <s v="Mirershorai 2 Economic Zone"/>
    <x v="1"/>
    <s v="Chittagong"/>
    <s v="Mirshorai"/>
    <x v="0"/>
    <m/>
    <s v="BSMSN"/>
    <x v="3"/>
    <m/>
    <m/>
    <m/>
    <m/>
    <m/>
    <m/>
    <s v="Yes"/>
    <n v="2016"/>
    <m/>
    <m/>
    <m/>
    <m/>
    <m/>
    <s v="Feasibility or Pre feasibility"/>
    <m/>
    <m/>
    <m/>
    <m/>
    <s v="Possible Duplicate. Mirsarai 1 and 2 considered same zone or seperate?"/>
    <m/>
    <n v="1"/>
    <n v="690.47"/>
    <m/>
    <m/>
    <m/>
    <m/>
    <m/>
    <m/>
    <n v="1300"/>
    <s v="Integrated Textiles"/>
    <s v="RMG"/>
    <s v="Food processing"/>
    <s v="Light engineering"/>
    <s v="Petroleum and petroleum products"/>
    <s v="Pharmaceuticals"/>
    <s v="Shipbuilding"/>
    <s v="Electrical and Electronics"/>
    <m/>
    <m/>
    <m/>
    <m/>
    <m/>
    <m/>
    <m/>
    <n v="130"/>
    <n v="134666"/>
    <m/>
    <m/>
    <m/>
    <m/>
    <m/>
    <m/>
    <m/>
    <m/>
  </r>
  <r>
    <s v="B"/>
    <s v="Bhola (Bagmara) Economic Zone"/>
    <x v="8"/>
    <s v="Bhola"/>
    <s v="Bagmara"/>
    <x v="3"/>
    <m/>
    <m/>
    <x v="2"/>
    <m/>
    <m/>
    <m/>
    <m/>
    <m/>
    <m/>
    <m/>
    <m/>
    <m/>
    <m/>
    <m/>
    <m/>
    <m/>
    <m/>
    <m/>
    <m/>
    <m/>
    <m/>
    <s v="EZ in Planning Wing Priority List but not in Website List."/>
    <m/>
    <m/>
    <m/>
    <m/>
    <m/>
    <m/>
    <m/>
    <m/>
    <m/>
    <m/>
    <m/>
    <m/>
    <m/>
    <m/>
    <m/>
    <m/>
    <m/>
    <m/>
    <m/>
    <m/>
    <m/>
    <m/>
    <m/>
    <m/>
    <m/>
    <m/>
    <m/>
    <m/>
    <m/>
    <m/>
    <m/>
    <m/>
    <m/>
    <m/>
    <m/>
  </r>
  <r>
    <s v="C"/>
    <s v="Lakshmipur Economic Zone"/>
    <x v="8"/>
    <s v="Lakshmipur"/>
    <m/>
    <x v="3"/>
    <m/>
    <m/>
    <x v="2"/>
    <m/>
    <m/>
    <m/>
    <m/>
    <m/>
    <m/>
    <m/>
    <m/>
    <m/>
    <m/>
    <m/>
    <m/>
    <m/>
    <m/>
    <m/>
    <m/>
    <m/>
    <m/>
    <s v="EZ in Planning Wing Priority List but not in Website List."/>
    <m/>
    <m/>
    <m/>
    <m/>
    <m/>
    <m/>
    <m/>
    <m/>
    <m/>
    <m/>
    <m/>
    <m/>
    <m/>
    <m/>
    <m/>
    <m/>
    <m/>
    <m/>
    <m/>
    <m/>
    <m/>
    <m/>
    <m/>
    <m/>
    <m/>
    <m/>
    <m/>
    <m/>
    <m/>
    <m/>
    <m/>
    <m/>
    <m/>
    <m/>
    <m/>
  </r>
  <r>
    <s v="D"/>
    <s v="Magura Economic Zone"/>
    <x v="8"/>
    <s v="Magura"/>
    <m/>
    <x v="3"/>
    <m/>
    <m/>
    <x v="2"/>
    <m/>
    <m/>
    <m/>
    <m/>
    <m/>
    <m/>
    <m/>
    <m/>
    <m/>
    <m/>
    <m/>
    <m/>
    <m/>
    <m/>
    <m/>
    <m/>
    <m/>
    <m/>
    <s v="EZ in Planning Wing Priority List but not in Website List."/>
    <m/>
    <m/>
    <m/>
    <m/>
    <m/>
    <m/>
    <m/>
    <m/>
    <m/>
    <m/>
    <m/>
    <m/>
    <m/>
    <m/>
    <m/>
    <m/>
    <m/>
    <m/>
    <m/>
    <m/>
    <m/>
    <m/>
    <m/>
    <m/>
    <m/>
    <m/>
    <m/>
    <m/>
    <m/>
    <m/>
    <m/>
    <m/>
    <m/>
    <m/>
    <m/>
  </r>
  <r>
    <s v="E"/>
    <s v="Sathkira Economic Zone"/>
    <x v="8"/>
    <s v="Sathkira"/>
    <m/>
    <x v="3"/>
    <m/>
    <m/>
    <x v="2"/>
    <m/>
    <m/>
    <m/>
    <m/>
    <m/>
    <m/>
    <m/>
    <m/>
    <m/>
    <m/>
    <m/>
    <m/>
    <m/>
    <m/>
    <m/>
    <m/>
    <m/>
    <m/>
    <s v="EZ in Planning Wing Priority List but not in Website List."/>
    <m/>
    <m/>
    <m/>
    <m/>
    <m/>
    <m/>
    <m/>
    <m/>
    <m/>
    <m/>
    <m/>
    <m/>
    <m/>
    <m/>
    <m/>
    <m/>
    <m/>
    <m/>
    <m/>
    <m/>
    <m/>
    <m/>
    <m/>
    <m/>
    <m/>
    <m/>
    <m/>
    <m/>
    <m/>
    <m/>
    <m/>
    <m/>
    <m/>
    <m/>
    <m/>
  </r>
  <r>
    <m/>
    <m/>
    <x v="8"/>
    <m/>
    <m/>
    <x v="3"/>
    <m/>
    <m/>
    <x v="3"/>
    <m/>
    <m/>
    <m/>
    <m/>
    <m/>
    <m/>
    <m/>
    <m/>
    <m/>
    <m/>
    <m/>
    <m/>
    <m/>
    <m/>
    <m/>
    <m/>
    <m/>
    <m/>
    <m/>
    <m/>
    <m/>
    <m/>
    <m/>
    <m/>
    <m/>
    <m/>
    <m/>
    <m/>
    <m/>
    <m/>
    <m/>
    <m/>
    <m/>
    <m/>
    <m/>
    <m/>
    <m/>
    <m/>
    <m/>
    <m/>
    <m/>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n v="1"/>
    <x v="0"/>
    <s v="Barishal"/>
    <s v="Barishal"/>
    <s v="Agoiljhara"/>
    <s v="Government"/>
    <s v="Planning Stage"/>
    <s v="N/A"/>
    <x v="0"/>
    <s v="Yes"/>
    <m/>
    <m/>
    <m/>
    <m/>
    <m/>
    <m/>
    <m/>
    <m/>
    <m/>
    <s v="Yes"/>
    <n v="2021"/>
    <m/>
    <m/>
    <s v="Yes"/>
    <s v="N/A"/>
    <s v="N/A"/>
    <m/>
    <s v="Feasibility or Pre feasibility"/>
    <n v="300"/>
    <s v="-"/>
    <m/>
    <s v="-"/>
    <n v="329.43"/>
    <s v="N/A"/>
    <s v="N/A"/>
    <s v="N/A"/>
    <n v="4.6756589295076506E-2"/>
    <s v="Yes"/>
    <m/>
    <s v="329.43 acres"/>
    <n v="329.4"/>
    <s v="Land acquisition and development cost are very high. It will take very long."/>
    <x v="0"/>
    <m/>
    <n v="1.3973939393939394"/>
    <n v="230.57"/>
    <m/>
    <n v="38.03"/>
    <n v="16.79"/>
    <n v="11.1"/>
    <n v="32.94"/>
    <m/>
    <n v="329.43000000000006"/>
    <s v="Textiles and RMG"/>
    <s v="Wood products and furniture"/>
    <s v="Food and beverages"/>
    <s v="Agro based"/>
    <s v="Paper and packaging"/>
    <s v="Light engineering"/>
    <s v="-"/>
    <s v="-"/>
    <s v="-"/>
    <m/>
    <m/>
    <s v="45km from Barishal domestic airport"/>
    <s v="No prevailing rail network, nearest railway station is Khulna railway station 94 km away"/>
    <s v="110km from Mongla port"/>
    <s v="145 km from Bhomra land port"/>
    <n v="40.1"/>
    <n v="13000"/>
    <n v="15800"/>
    <n v="4939.82"/>
    <m/>
    <m/>
    <m/>
    <s v="Short-Term"/>
    <m/>
    <m/>
  </r>
  <r>
    <n v="2"/>
    <x v="1"/>
    <s v="Chattogram"/>
    <s v="Khagrachari Hill Tracts"/>
    <s v="Matiranga &amp; Khagrachari"/>
    <s v="Government"/>
    <s v="In-Principle Approval"/>
    <s v="N/A"/>
    <x v="0"/>
    <s v="Yes"/>
    <m/>
    <m/>
    <m/>
    <m/>
    <m/>
    <m/>
    <m/>
    <m/>
    <m/>
    <m/>
    <m/>
    <m/>
    <m/>
    <s v="No"/>
    <s v="N/A"/>
    <s v="N/A"/>
    <m/>
    <m/>
    <m/>
    <s v="-"/>
    <m/>
    <s v="-"/>
    <s v="-"/>
    <s v="N/A"/>
    <s v="N/A"/>
    <s v="N/A"/>
    <s v=""/>
    <s v="Area Not Found"/>
    <s v="Area Not Found"/>
    <s v="Ignore for now. CHT reservations."/>
    <s v="-"/>
    <s v="CHT area laws don't allow EZ development."/>
    <x v="0"/>
    <m/>
    <m/>
    <m/>
    <m/>
    <m/>
    <m/>
    <m/>
    <m/>
    <m/>
    <m/>
    <s v="-"/>
    <s v="-"/>
    <s v="-"/>
    <s v="-"/>
    <s v="-"/>
    <s v="-"/>
    <s v="-"/>
    <s v="-"/>
    <s v="-"/>
    <m/>
    <m/>
    <m/>
    <m/>
    <m/>
    <m/>
    <m/>
    <m/>
    <m/>
    <m/>
    <m/>
    <m/>
    <m/>
    <m/>
    <m/>
    <m/>
  </r>
  <r>
    <n v="3"/>
    <x v="2"/>
    <s v="Chattogram"/>
    <s v="Chattogram"/>
    <s v="Anowara"/>
    <s v="Government"/>
    <s v="Planning Stage"/>
    <s v="N/A"/>
    <x v="0"/>
    <s v="Yes"/>
    <s v="Link"/>
    <m/>
    <m/>
    <s v="Yes"/>
    <n v="2015"/>
    <s v="Yes"/>
    <n v="2016"/>
    <m/>
    <m/>
    <m/>
    <m/>
    <m/>
    <m/>
    <s v="Yes"/>
    <s v="N/A"/>
    <s v="N/A"/>
    <m/>
    <s v="Feasibility or Pre feasibility"/>
    <n v="774.48"/>
    <s v="-"/>
    <n v="774.42499999999995"/>
    <n v="774.43"/>
    <s v="-"/>
    <s v="N/A"/>
    <s v="N/A"/>
    <s v="N/A"/>
    <n v="3.2065251945521919E-5"/>
    <s v="No"/>
    <m/>
    <m/>
    <n v="774.4"/>
    <s v="Development Stage"/>
    <x v="1"/>
    <m/>
    <m/>
    <n v="420.57"/>
    <m/>
    <m/>
    <m/>
    <m/>
    <m/>
    <m/>
    <n v="774.43"/>
    <s v="Textiles and RMG"/>
    <s v="Pharmaceuticals"/>
    <s v="Leather Goods"/>
    <s v="Light engineering"/>
    <s v="Electrical and Electronics"/>
    <s v="-"/>
    <s v="-"/>
    <s v="-"/>
    <s v="-"/>
    <m/>
    <m/>
    <s v="30km from Shah Amanat International Airport"/>
    <s v="17km from Chittagong railway station"/>
    <s v="18km from Chittagong port_x000a_12km from Chittagong port by sea route"/>
    <m/>
    <n v="100"/>
    <n v="90000"/>
    <m/>
    <m/>
    <m/>
    <m/>
    <m/>
    <m/>
    <m/>
    <m/>
  </r>
  <r>
    <n v="4"/>
    <x v="3"/>
    <s v="Dhaka"/>
    <s v="Narayanganj"/>
    <s v="Araihazar"/>
    <s v="Government"/>
    <s v="In-Principle Approval"/>
    <s v="N/A"/>
    <x v="0"/>
    <s v="Yes"/>
    <m/>
    <m/>
    <m/>
    <m/>
    <m/>
    <m/>
    <m/>
    <m/>
    <m/>
    <m/>
    <m/>
    <m/>
    <m/>
    <s v="No"/>
    <s v="N/A"/>
    <s v="N/A"/>
    <m/>
    <m/>
    <n v="1010.9"/>
    <s v="-"/>
    <m/>
    <s v="-"/>
    <s v="-"/>
    <s v="N/A"/>
    <s v="N/A"/>
    <s v="N/A"/>
    <n v="0"/>
    <s v="No"/>
    <m/>
    <m/>
    <n v="1010.9"/>
    <s v="Under Construction"/>
    <x v="1"/>
    <m/>
    <m/>
    <m/>
    <m/>
    <m/>
    <m/>
    <m/>
    <m/>
    <m/>
    <m/>
    <s v="-"/>
    <s v="-"/>
    <s v="-"/>
    <s v="-"/>
    <s v="-"/>
    <s v="-"/>
    <s v="-"/>
    <s v="-"/>
    <s v="-"/>
    <m/>
    <m/>
    <m/>
    <m/>
    <m/>
    <m/>
    <m/>
    <m/>
    <m/>
    <m/>
    <m/>
    <m/>
    <m/>
    <m/>
    <m/>
    <m/>
  </r>
  <r>
    <n v="5"/>
    <x v="4"/>
    <s v="Chattogram"/>
    <s v="Brahmanbaria"/>
    <s v="Ashuganj"/>
    <s v="Government"/>
    <s v="In-Principle Approval"/>
    <s v="N/A"/>
    <x v="0"/>
    <s v="Yes"/>
    <m/>
    <m/>
    <m/>
    <m/>
    <m/>
    <m/>
    <m/>
    <m/>
    <m/>
    <m/>
    <m/>
    <m/>
    <m/>
    <s v="No"/>
    <s v="N/A"/>
    <s v="N/A"/>
    <m/>
    <m/>
    <n v="328.61"/>
    <s v="-"/>
    <m/>
    <s v="-"/>
    <s v="-"/>
    <s v="N/A"/>
    <s v="N/A"/>
    <s v="N/A"/>
    <n v="0"/>
    <s v="No"/>
    <m/>
    <m/>
    <n v="328.6"/>
    <s v="Electric poles and grid lines in area. Expensive to relocate."/>
    <x v="0"/>
    <m/>
    <m/>
    <m/>
    <m/>
    <m/>
    <m/>
    <m/>
    <m/>
    <m/>
    <m/>
    <s v="-"/>
    <s v="-"/>
    <s v="-"/>
    <s v="-"/>
    <s v="-"/>
    <s v="-"/>
    <s v="-"/>
    <s v="-"/>
    <s v="-"/>
    <m/>
    <m/>
    <m/>
    <m/>
    <m/>
    <m/>
    <m/>
    <m/>
    <m/>
    <m/>
    <m/>
    <m/>
    <m/>
    <m/>
    <m/>
    <m/>
  </r>
  <r>
    <n v="6"/>
    <x v="5"/>
    <s v="Barishal"/>
    <s v="Bhola"/>
    <s v="Bhola Sadar"/>
    <s v="Government"/>
    <s v="Planning Stage"/>
    <s v="N/A"/>
    <x v="0"/>
    <s v="Yes"/>
    <m/>
    <m/>
    <m/>
    <s v="Yes"/>
    <n v="2015"/>
    <s v="Yes"/>
    <n v="2021"/>
    <m/>
    <m/>
    <m/>
    <m/>
    <m/>
    <m/>
    <s v="Yes"/>
    <s v="N/A"/>
    <s v="N/A"/>
    <m/>
    <s v="Feasibility or Pre feasibility + Site Visit Report"/>
    <n v="304.07"/>
    <s v="-"/>
    <n v="304.07"/>
    <n v="304.07"/>
    <s v="-"/>
    <s v="N/A"/>
    <s v="N/A"/>
    <s v="N/A"/>
    <n v="0"/>
    <s v="No"/>
    <m/>
    <m/>
    <n v="304.10000000000002"/>
    <s v="Most land is private and cost-prohibitive."/>
    <x v="0"/>
    <m/>
    <n v="1"/>
    <n v="212.27"/>
    <m/>
    <n v="39.989999999999995"/>
    <n v="14.83"/>
    <n v="4.9400000000000004"/>
    <n v="31.97"/>
    <m/>
    <n v="304"/>
    <s v="Food and Beverage"/>
    <s v="Agro based"/>
    <s v="Chemicals"/>
    <s v="Non-Metallic mineral products"/>
    <s v="-"/>
    <s v="-"/>
    <s v="-"/>
    <s v="-"/>
    <s v="-"/>
    <m/>
    <m/>
    <s v="53km from Barisal Airport"/>
    <m/>
    <s v="206km from Mongla Port_x000a_215km from Chittagong Port"/>
    <m/>
    <n v="36"/>
    <n v="7000"/>
    <n v="14550"/>
    <m/>
    <m/>
    <m/>
    <m/>
    <m/>
    <m/>
    <m/>
  </r>
  <r>
    <n v="7"/>
    <x v="6"/>
    <s v="Rajshahi"/>
    <s v="Bogura"/>
    <s v="Shahajahanpur"/>
    <s v="Government"/>
    <s v="Planning Stage"/>
    <s v="N/A"/>
    <x v="1"/>
    <s v="Yes"/>
    <m/>
    <m/>
    <m/>
    <m/>
    <m/>
    <s v="Yes"/>
    <n v="2018"/>
    <m/>
    <m/>
    <s v="Yes"/>
    <n v="2022"/>
    <m/>
    <m/>
    <s v="Yes"/>
    <s v="N/A"/>
    <s v="N/A"/>
    <m/>
    <s v="Feasibility or Pre feasibility"/>
    <n v="251.43"/>
    <s v="-"/>
    <m/>
    <n v="251.43"/>
    <n v="251.43"/>
    <s v="N/A"/>
    <s v="N/A"/>
    <s v="N/A"/>
    <n v="1.130402475058824E-16"/>
    <s v="No"/>
    <m/>
    <m/>
    <n v="251.4"/>
    <s v="DPP being prepared."/>
    <x v="2"/>
    <m/>
    <n v="1"/>
    <n v="158.53"/>
    <m/>
    <n v="36.56"/>
    <n v="9.34"/>
    <m/>
    <n v="18.12"/>
    <n v="28.879999999999995"/>
    <n v="251.43"/>
    <s v="Light Engineering"/>
    <s v="Textiles and Jute"/>
    <s v="Pharmaceuticals"/>
    <s v="Agro based"/>
    <s v="Plastics"/>
    <s v="Wood products and furniture"/>
    <s v="-"/>
    <s v="-"/>
    <s v="-"/>
    <m/>
    <m/>
    <s v="160 km from Rajshahi airport_x000a_180 lm from Hazrat Shahjalal Int'l Airport"/>
    <m/>
    <m/>
    <m/>
    <n v="25.2"/>
    <n v="28218"/>
    <n v="8199"/>
    <m/>
    <m/>
    <m/>
    <m/>
    <m/>
    <m/>
    <m/>
  </r>
  <r>
    <n v="8"/>
    <x v="7"/>
    <s v="Chattogram"/>
    <s v="Chandpur"/>
    <s v="Matlab Uttar"/>
    <s v="Government"/>
    <s v="Planning Stage"/>
    <s v="N/A"/>
    <x v="0"/>
    <s v="Yes"/>
    <m/>
    <m/>
    <m/>
    <m/>
    <m/>
    <s v="Yes"/>
    <n v="2021"/>
    <m/>
    <m/>
    <m/>
    <m/>
    <m/>
    <m/>
    <s v="Yes"/>
    <s v="N/A"/>
    <s v="N/A"/>
    <m/>
    <s v="Feasibility or Pre feasibility"/>
    <m/>
    <s v="-"/>
    <m/>
    <n v="3037.85"/>
    <s v="-"/>
    <s v="N/A"/>
    <s v="N/A"/>
    <s v="N/A"/>
    <n v="0"/>
    <s v="No"/>
    <m/>
    <m/>
    <n v="3037.8"/>
    <s v="Proposed Agro Photo Voltaic Zone"/>
    <x v="2"/>
    <m/>
    <n v="1"/>
    <n v="2109.88"/>
    <m/>
    <n v="419.94"/>
    <n v="170.93"/>
    <n v="32.29"/>
    <n v="334.14"/>
    <m/>
    <n v="3067.18"/>
    <s v="Food and Beverage"/>
    <s v="Agro based"/>
    <s v="Leather Goods"/>
    <s v="Plastic and Rubber"/>
    <s v="Paper and packaging"/>
    <s v="Chemicals"/>
    <s v="Non-Metallic mineral products"/>
    <s v="Heavy Machinery, Iron &amp; Steel and metals"/>
    <s v="Petroleum and petroleum products"/>
    <s v="Light Machinery, Equipment and Furniture"/>
    <m/>
    <s v="85km from Hazrat Shahjalal International Airport"/>
    <s v="42km from Chandpur Railway Station"/>
    <s v="235km from Chittagong Port_x000a_40lm from Chandpur River Port"/>
    <s v="108km from Bibirbazar Land Port"/>
    <n v="360"/>
    <n v="93000"/>
    <n v="144632"/>
    <n v="36175.410000000003"/>
    <m/>
    <m/>
    <m/>
    <m/>
    <m/>
    <m/>
  </r>
  <r>
    <n v="9"/>
    <x v="8"/>
    <s v="Chattogram"/>
    <s v="Chandpur"/>
    <s v="Haimchar"/>
    <s v="Government"/>
    <s v="Pre-Planning Stage"/>
    <s v="N/A"/>
    <x v="0"/>
    <s v="Yes"/>
    <m/>
    <s v="Yes"/>
    <n v="2017"/>
    <m/>
    <m/>
    <m/>
    <m/>
    <m/>
    <m/>
    <m/>
    <m/>
    <m/>
    <m/>
    <s v="No"/>
    <s v="N/A"/>
    <s v="N/A"/>
    <m/>
    <s v="Site Visit Report"/>
    <m/>
    <n v="4755"/>
    <m/>
    <s v="-"/>
    <s v="-"/>
    <s v="N/A"/>
    <s v="N/A"/>
    <s v="N/A"/>
    <n v="0"/>
    <s v="No"/>
    <m/>
    <m/>
    <n v="4755"/>
    <s v="Proposed Agro Photo Voltaic Zone"/>
    <x v="2"/>
    <m/>
    <m/>
    <m/>
    <m/>
    <m/>
    <m/>
    <m/>
    <m/>
    <m/>
    <m/>
    <s v="-"/>
    <s v="-"/>
    <s v="-"/>
    <s v="-"/>
    <s v="-"/>
    <s v="-"/>
    <s v="-"/>
    <s v="-"/>
    <s v="-"/>
    <m/>
    <m/>
    <m/>
    <m/>
    <m/>
    <m/>
    <m/>
    <m/>
    <m/>
    <m/>
    <m/>
    <m/>
    <m/>
    <m/>
    <m/>
    <m/>
  </r>
  <r>
    <n v="10"/>
    <x v="9"/>
    <s v="Barishal"/>
    <s v="Barishal"/>
    <s v="Hizla"/>
    <s v="Government"/>
    <s v="Pre-Planning Stage"/>
    <s v="N/A"/>
    <x v="0"/>
    <s v="Yes"/>
    <m/>
    <s v="Yes"/>
    <n v="2018"/>
    <m/>
    <m/>
    <m/>
    <m/>
    <m/>
    <m/>
    <m/>
    <m/>
    <m/>
    <m/>
    <s v="No"/>
    <s v="N/A"/>
    <s v="N/A"/>
    <m/>
    <s v="Site Visit Report"/>
    <m/>
    <n v="2255.96"/>
    <m/>
    <s v="-"/>
    <s v="-"/>
    <s v="N/A"/>
    <s v="N/A"/>
    <s v="N/A"/>
    <n v="0"/>
    <s v="No"/>
    <m/>
    <m/>
    <n v="2255.9"/>
    <s v="River Commission Objections. Hilsa Breeding Area."/>
    <x v="3"/>
    <m/>
    <m/>
    <m/>
    <m/>
    <m/>
    <m/>
    <m/>
    <m/>
    <m/>
    <m/>
    <s v="-"/>
    <s v="-"/>
    <s v="-"/>
    <s v="-"/>
    <s v="-"/>
    <s v="-"/>
    <s v="-"/>
    <s v="-"/>
    <s v="-"/>
    <m/>
    <m/>
    <m/>
    <m/>
    <m/>
    <m/>
    <m/>
    <m/>
    <m/>
    <m/>
    <m/>
    <m/>
    <m/>
    <m/>
    <m/>
    <m/>
  </r>
  <r>
    <n v="11"/>
    <x v="10"/>
    <s v="Chattogram"/>
    <s v="Cox’s Bazar"/>
    <s v="Moheshkhali"/>
    <s v="Government"/>
    <s v="In-Principle Approval"/>
    <s v="N/A"/>
    <x v="0"/>
    <s v="Yes"/>
    <m/>
    <m/>
    <m/>
    <m/>
    <m/>
    <m/>
    <m/>
    <m/>
    <m/>
    <m/>
    <m/>
    <m/>
    <m/>
    <s v="No"/>
    <s v="N/A"/>
    <s v="N/A"/>
    <m/>
    <m/>
    <n v="8784.77"/>
    <s v="-"/>
    <m/>
    <s v="-"/>
    <s v="-"/>
    <s v="N/A"/>
    <s v="N/A"/>
    <s v="N/A"/>
    <n v="0"/>
    <s v="No"/>
    <m/>
    <m/>
    <n v="8784"/>
    <s v="No information on land availability"/>
    <x v="0"/>
    <m/>
    <m/>
    <m/>
    <m/>
    <m/>
    <m/>
    <m/>
    <m/>
    <m/>
    <m/>
    <s v="-"/>
    <s v="-"/>
    <s v="-"/>
    <s v="-"/>
    <s v="-"/>
    <s v="-"/>
    <s v="-"/>
    <s v="-"/>
    <s v="-"/>
    <m/>
    <m/>
    <m/>
    <m/>
    <m/>
    <m/>
    <m/>
    <m/>
    <m/>
    <m/>
    <m/>
    <m/>
    <m/>
    <m/>
    <m/>
    <m/>
  </r>
  <r>
    <n v="12"/>
    <x v="11"/>
    <s v="Dhaka"/>
    <s v="Dhaka"/>
    <s v="Dohar"/>
    <s v="Government"/>
    <s v="Pre-Planning Stage"/>
    <s v="N/A"/>
    <x v="0"/>
    <s v="Yes"/>
    <m/>
    <s v="Yes"/>
    <n v="2015"/>
    <s v="Yes"/>
    <n v="2015"/>
    <m/>
    <m/>
    <m/>
    <m/>
    <m/>
    <m/>
    <m/>
    <m/>
    <s v="No"/>
    <s v="N/A"/>
    <s v="N/A"/>
    <m/>
    <s v="Site Visit Report"/>
    <n v="316.35000000000002"/>
    <n v="316.35000000000002"/>
    <n v="316.35000000000002"/>
    <s v="-"/>
    <s v="-"/>
    <s v="N/A"/>
    <s v="N/A"/>
    <s v="N/A"/>
    <n v="0"/>
    <s v="No"/>
    <m/>
    <m/>
    <n v="316.3"/>
    <s v="Planning Stage."/>
    <x v="2"/>
    <m/>
    <m/>
    <m/>
    <m/>
    <m/>
    <m/>
    <m/>
    <m/>
    <m/>
    <m/>
    <s v="-"/>
    <s v="-"/>
    <s v="-"/>
    <s v="-"/>
    <s v="-"/>
    <s v="-"/>
    <s v="-"/>
    <s v="-"/>
    <s v="-"/>
    <m/>
    <m/>
    <m/>
    <m/>
    <m/>
    <m/>
    <m/>
    <m/>
    <m/>
    <m/>
    <m/>
    <m/>
    <m/>
    <m/>
    <m/>
    <m/>
  </r>
  <r>
    <n v="13"/>
    <x v="12"/>
    <s v="Dhaka"/>
    <s v="Dhaka"/>
    <s v="Keraniganj"/>
    <s v="Government"/>
    <s v="Planning Stage"/>
    <s v="N/A"/>
    <x v="0"/>
    <s v="Yes"/>
    <s v="Link"/>
    <m/>
    <m/>
    <s v="Yes"/>
    <n v="2015"/>
    <s v="Yes"/>
    <n v="2016"/>
    <m/>
    <m/>
    <m/>
    <m/>
    <m/>
    <m/>
    <s v="Yes"/>
    <s v="N/A"/>
    <s v="N/A"/>
    <m/>
    <s v="Feasibility or Pre feasibility"/>
    <n v="105"/>
    <s v="-"/>
    <n v="105"/>
    <n v="105"/>
    <s v="-"/>
    <s v="N/A"/>
    <s v="N/A"/>
    <s v="N/A"/>
    <n v="0"/>
    <s v="No"/>
    <m/>
    <m/>
    <n v="105"/>
    <s v="Planning Stage. "/>
    <x v="2"/>
    <m/>
    <m/>
    <m/>
    <m/>
    <m/>
    <m/>
    <m/>
    <m/>
    <m/>
    <n v="104.985"/>
    <s v="RMG"/>
    <s v="Integrated Textiles"/>
    <s v="Pharmaceuticals"/>
    <s v="Light engineering"/>
    <s v="Plastics"/>
    <s v="-"/>
    <s v="-"/>
    <s v="-"/>
    <s v="-"/>
    <m/>
    <m/>
    <s v="30km from Shajalal International Airport"/>
    <s v="20km from Dhaka railway station"/>
    <m/>
    <m/>
    <n v="10"/>
    <n v="10000"/>
    <m/>
    <m/>
    <m/>
    <m/>
    <m/>
    <m/>
    <m/>
    <m/>
  </r>
  <r>
    <n v="14"/>
    <x v="13"/>
    <s v="Rangpur"/>
    <s v="Dinajpur"/>
    <s v="Dinajpur Sadar"/>
    <s v="Government"/>
    <s v="In-Principle Approval"/>
    <s v="N/A"/>
    <x v="0"/>
    <s v="Yes"/>
    <m/>
    <m/>
    <m/>
    <m/>
    <m/>
    <m/>
    <m/>
    <m/>
    <m/>
    <m/>
    <m/>
    <m/>
    <m/>
    <s v="No"/>
    <s v="N/A"/>
    <s v="N/A"/>
    <m/>
    <m/>
    <m/>
    <s v="-"/>
    <m/>
    <s v="-"/>
    <s v="-"/>
    <s v="N/A"/>
    <s v="N/A"/>
    <s v="N/A"/>
    <s v=""/>
    <s v="Area Not Found"/>
    <s v="Area Not Found"/>
    <s v="344.16 acres (Sadar). No feasibility."/>
    <n v="344.16"/>
    <s v="Planning Stage. "/>
    <x v="2"/>
    <m/>
    <m/>
    <m/>
    <m/>
    <m/>
    <m/>
    <m/>
    <m/>
    <m/>
    <m/>
    <s v="-"/>
    <s v="-"/>
    <s v="-"/>
    <s v="-"/>
    <s v="-"/>
    <s v="-"/>
    <s v="-"/>
    <s v="-"/>
    <s v="-"/>
    <m/>
    <m/>
    <m/>
    <m/>
    <m/>
    <m/>
    <m/>
    <m/>
    <m/>
    <m/>
    <m/>
    <m/>
    <m/>
    <m/>
    <m/>
    <m/>
  </r>
  <r>
    <n v="15"/>
    <x v="14"/>
    <s v="Dhaka"/>
    <s v="Faridpur"/>
    <s v="Faridpur Sadar"/>
    <s v="Government"/>
    <s v="In-Principle Approval"/>
    <s v="N/A"/>
    <x v="0"/>
    <s v="Yes"/>
    <m/>
    <m/>
    <m/>
    <m/>
    <m/>
    <m/>
    <m/>
    <m/>
    <m/>
    <m/>
    <m/>
    <m/>
    <m/>
    <s v="No"/>
    <s v="N/A"/>
    <s v="N/A"/>
    <m/>
    <m/>
    <m/>
    <s v="-"/>
    <m/>
    <s v="-"/>
    <s v="-"/>
    <s v="N/A"/>
    <s v="N/A"/>
    <s v="N/A"/>
    <s v=""/>
    <s v="Area Not Found"/>
    <s v="Area Not Found"/>
    <s v="888.28. No feasiblity."/>
    <n v="888.28"/>
    <s v="Planning Stage."/>
    <x v="3"/>
    <m/>
    <m/>
    <m/>
    <m/>
    <m/>
    <m/>
    <m/>
    <m/>
    <m/>
    <m/>
    <s v="-"/>
    <s v="-"/>
    <s v="-"/>
    <s v="-"/>
    <s v="-"/>
    <s v="-"/>
    <s v="-"/>
    <s v="-"/>
    <s v="-"/>
    <m/>
    <m/>
    <m/>
    <m/>
    <m/>
    <m/>
    <m/>
    <m/>
    <m/>
    <m/>
    <m/>
    <m/>
    <m/>
    <m/>
    <m/>
    <m/>
  </r>
  <r>
    <n v="16"/>
    <x v="15"/>
    <s v="Chattogram"/>
    <s v="Feni"/>
    <s v="Sonagazi"/>
    <s v="Government"/>
    <s v="Planning Stage"/>
    <s v="N/A"/>
    <x v="1"/>
    <s v="Yes"/>
    <m/>
    <m/>
    <m/>
    <m/>
    <m/>
    <s v="Yes"/>
    <n v="2019"/>
    <m/>
    <m/>
    <m/>
    <m/>
    <m/>
    <m/>
    <s v="Yes"/>
    <s v="N/A"/>
    <s v="N/A"/>
    <m/>
    <s v="Feasibility or Pre feasibility + Site Visit Report for BSMSN"/>
    <n v="7219.79"/>
    <s v="-"/>
    <m/>
    <n v="7000"/>
    <s v="-"/>
    <s v="N/A"/>
    <s v="N/A"/>
    <s v="N/A"/>
    <n v="1.5456627699846478E-2"/>
    <s v="Yes"/>
    <m/>
    <s v="7000 acres"/>
    <n v="7000"/>
    <s v="Planning Stage."/>
    <x v="2"/>
    <m/>
    <n v="4.9065420560747661"/>
    <m/>
    <m/>
    <m/>
    <m/>
    <m/>
    <m/>
    <m/>
    <n v="7000"/>
    <s v="Textiles and RMG"/>
    <s v="Light Machinery, Equipment and Furniture"/>
    <s v="Electrical and Electronics"/>
    <s v="Leather Goods"/>
    <s v="Non-Metallic mineral products"/>
    <s v="Petroleum and petroleum products"/>
    <s v="Heavy Machinery, Iron &amp; Steel and metals"/>
    <s v="Shipbuilding"/>
    <s v="Automobile Parts and Assembly"/>
    <m/>
    <m/>
    <s v="75km from Chittagong Airport"/>
    <s v="15 km from Boraiyarhat Railway Station"/>
    <s v="75km from Chittagong Port_x000a_85km from Chittagong Port by Sea Route"/>
    <s v="60km from Belonia Land port"/>
    <n v="589"/>
    <n v="127600"/>
    <m/>
    <n v="91100"/>
    <m/>
    <m/>
    <m/>
    <m/>
    <m/>
    <m/>
  </r>
  <r>
    <n v="17"/>
    <x v="16"/>
    <s v="Dhaka"/>
    <s v="Munshiganj"/>
    <s v="Gajaria"/>
    <s v="Government"/>
    <s v="In-Principle Approval"/>
    <s v="N/A"/>
    <x v="0"/>
    <s v="Yes"/>
    <m/>
    <m/>
    <m/>
    <m/>
    <m/>
    <m/>
    <m/>
    <m/>
    <m/>
    <m/>
    <m/>
    <m/>
    <m/>
    <s v="No"/>
    <s v="N/A"/>
    <s v="N/A"/>
    <m/>
    <m/>
    <n v="97.98"/>
    <s v="-"/>
    <m/>
    <s v="-"/>
    <s v="-"/>
    <s v="N/A"/>
    <s v="N/A"/>
    <s v="N/A"/>
    <n v="0"/>
    <s v="No"/>
    <m/>
    <m/>
    <n v="97.9"/>
    <s v="No activity at this stage"/>
    <x v="0"/>
    <m/>
    <m/>
    <m/>
    <m/>
    <m/>
    <m/>
    <m/>
    <m/>
    <m/>
    <m/>
    <s v="-"/>
    <s v="-"/>
    <s v="-"/>
    <s v="-"/>
    <s v="-"/>
    <s v="-"/>
    <s v="-"/>
    <s v="-"/>
    <s v="-"/>
    <m/>
    <m/>
    <m/>
    <m/>
    <m/>
    <m/>
    <m/>
    <m/>
    <m/>
    <m/>
    <m/>
    <m/>
    <m/>
    <m/>
    <m/>
    <m/>
  </r>
  <r>
    <n v="18"/>
    <x v="17"/>
    <s v="Dhaka"/>
    <s v="Gopalganj"/>
    <s v="Kotalipara"/>
    <s v="Government"/>
    <s v="In-Principle Approval"/>
    <s v="N/A"/>
    <x v="1"/>
    <s v="Yes"/>
    <m/>
    <m/>
    <m/>
    <m/>
    <m/>
    <s v="Yes"/>
    <n v="2019"/>
    <m/>
    <m/>
    <m/>
    <m/>
    <m/>
    <m/>
    <s v="Yes"/>
    <s v="N/A"/>
    <s v="N/A"/>
    <m/>
    <s v="Feasibility or Pre feasibility"/>
    <n v="201.83"/>
    <s v="-"/>
    <m/>
    <n v="200"/>
    <s v="-"/>
    <s v="N/A"/>
    <s v="N/A"/>
    <s v="N/A"/>
    <n v="4.5541646965134817E-3"/>
    <s v="No"/>
    <m/>
    <m/>
    <n v="200"/>
    <s v="Planning Stage"/>
    <x v="1"/>
    <m/>
    <n v="1"/>
    <n v="131.97999999999999"/>
    <m/>
    <n v="29.18"/>
    <n v="4.0199999999999996"/>
    <m/>
    <n v="19.940000000000001"/>
    <n v="14.89"/>
    <n v="200.01"/>
    <s v="Food and Beverage"/>
    <s v="Agro based"/>
    <s v="Electrical and Electronics"/>
    <s v="Light Machinery, Equipment and Furniture"/>
    <s v="-"/>
    <s v="-"/>
    <s v="-"/>
    <s v="-"/>
    <s v="-"/>
    <m/>
    <m/>
    <s v="180km from Hazrat Shahjalal International Airport"/>
    <s v="50km from Khulna Railway Station"/>
    <s v="65km from Mongla Port"/>
    <m/>
    <n v="22.4"/>
    <n v="7300"/>
    <m/>
    <n v="5100"/>
    <m/>
    <m/>
    <m/>
    <m/>
    <m/>
    <m/>
  </r>
  <r>
    <n v="19"/>
    <x v="18"/>
    <s v="Dhaka"/>
    <s v="Gopalganj"/>
    <s v="Gopalganj Sadar"/>
    <s v="Government"/>
    <s v="Planning Stage"/>
    <s v="N/A"/>
    <x v="0"/>
    <s v="Yes"/>
    <m/>
    <m/>
    <m/>
    <m/>
    <m/>
    <m/>
    <m/>
    <m/>
    <m/>
    <m/>
    <m/>
    <m/>
    <m/>
    <s v="No"/>
    <s v="N/A"/>
    <s v="N/A"/>
    <m/>
    <m/>
    <n v="200"/>
    <s v="-"/>
    <m/>
    <s v="-"/>
    <s v="-"/>
    <s v="N/A"/>
    <s v="N/A"/>
    <s v="N/A"/>
    <n v="0"/>
    <s v="No"/>
    <m/>
    <m/>
    <n v="200"/>
    <s v="As per decision of HPM. This site has been omitted."/>
    <x v="0"/>
    <m/>
    <m/>
    <m/>
    <m/>
    <m/>
    <m/>
    <m/>
    <m/>
    <m/>
    <m/>
    <s v="-"/>
    <s v="-"/>
    <s v="-"/>
    <s v="-"/>
    <s v="-"/>
    <s v="-"/>
    <s v="-"/>
    <s v="-"/>
    <s v="-"/>
    <m/>
    <m/>
    <m/>
    <m/>
    <m/>
    <m/>
    <m/>
    <m/>
    <m/>
    <m/>
    <m/>
    <m/>
    <m/>
    <m/>
    <m/>
    <m/>
  </r>
  <r>
    <n v="20"/>
    <x v="19"/>
    <s v="Sylhet"/>
    <s v="Habiganj"/>
    <s v="Chunarughat"/>
    <s v="Government"/>
    <s v="In-Principle Approval"/>
    <s v="N/A"/>
    <x v="0"/>
    <s v="Yes"/>
    <m/>
    <m/>
    <m/>
    <m/>
    <m/>
    <m/>
    <m/>
    <m/>
    <m/>
    <m/>
    <m/>
    <m/>
    <m/>
    <s v="No"/>
    <s v="N/A"/>
    <s v="N/A"/>
    <m/>
    <m/>
    <n v="511.83"/>
    <s v="-"/>
    <m/>
    <s v="-"/>
    <s v="-"/>
    <s v="N/A"/>
    <s v="N/A"/>
    <s v="N/A"/>
    <n v="0"/>
    <s v="No"/>
    <m/>
    <m/>
    <n v="511.8"/>
    <s v="Planning Stage."/>
    <x v="2"/>
    <m/>
    <m/>
    <m/>
    <m/>
    <m/>
    <m/>
    <m/>
    <m/>
    <m/>
    <m/>
    <s v="-"/>
    <s v="-"/>
    <s v="-"/>
    <s v="-"/>
    <s v="-"/>
    <s v="-"/>
    <s v="-"/>
    <s v="-"/>
    <s v="-"/>
    <m/>
    <m/>
    <m/>
    <m/>
    <m/>
    <m/>
    <m/>
    <m/>
    <m/>
    <m/>
    <m/>
    <m/>
    <m/>
    <m/>
    <m/>
    <m/>
  </r>
  <r>
    <n v="21"/>
    <x v="20"/>
    <s v="Mymensingh"/>
    <s v="Jamalpur"/>
    <s v="Jamalpur Sadar"/>
    <s v="Government"/>
    <s v="Under Development"/>
    <s v="N/A"/>
    <x v="1"/>
    <s v="Yes"/>
    <s v="Link"/>
    <m/>
    <m/>
    <m/>
    <m/>
    <s v="Yes"/>
    <n v="2021"/>
    <m/>
    <m/>
    <s v="Yes"/>
    <n v="2017"/>
    <m/>
    <m/>
    <s v="Yes"/>
    <s v="N/A"/>
    <s v="N/A"/>
    <m/>
    <s v="Feasibility or Pre feasibility"/>
    <n v="457.77"/>
    <s v="-"/>
    <m/>
    <n v="402.66"/>
    <n v="443"/>
    <s v="N/A"/>
    <s v="N/A"/>
    <s v="N/A"/>
    <n v="5.3608912588970131E-2"/>
    <s v="Yes"/>
    <m/>
    <s v="Rename Jamalpur 2 to Sherpur-Jamalpur EZ. 403.63 acres"/>
    <n v="403.6"/>
    <s v="Development Stage"/>
    <x v="1"/>
    <m/>
    <m/>
    <n v="268.56"/>
    <m/>
    <n v="60.27"/>
    <n v="18.32"/>
    <n v="12.31"/>
    <n v="41.71"/>
    <n v="35.750000000000057"/>
    <n v="436.92"/>
    <s v="Food and Beverage"/>
    <s v="Agro based"/>
    <s v="Leather Goods"/>
    <s v="Chemicals"/>
    <s v="Electrical and Electronics"/>
    <s v="Pharmaceuticals"/>
    <s v="-"/>
    <s v="-"/>
    <s v="-"/>
    <m/>
    <m/>
    <s v="167km from Hazrat Shahjalal International Airport"/>
    <s v="60km from Mymensingh railway station"/>
    <s v="377km from Mongla Port"/>
    <m/>
    <n v="47"/>
    <n v="9000"/>
    <n v="18400"/>
    <m/>
    <m/>
    <m/>
    <m/>
    <s v="Long-Term"/>
    <m/>
    <m/>
  </r>
  <r>
    <n v="22"/>
    <x v="21"/>
    <s v="Khulna"/>
    <s v="Khulna"/>
    <s v="Batiaghata"/>
    <s v="Government"/>
    <s v="Pre-Planning Stage"/>
    <s v="N/A"/>
    <x v="2"/>
    <s v="Yes"/>
    <m/>
    <s v="Yes"/>
    <n v="2015"/>
    <m/>
    <m/>
    <m/>
    <m/>
    <m/>
    <m/>
    <m/>
    <m/>
    <m/>
    <m/>
    <s v="No"/>
    <s v="N/A"/>
    <s v="N/A"/>
    <m/>
    <s v="Site Visit Report"/>
    <n v="519.52"/>
    <n v="593.64"/>
    <m/>
    <s v="-"/>
    <s v="-"/>
    <s v="N/A"/>
    <s v="N/A"/>
    <s v="N/A"/>
    <n v="6.6585216860109972E-2"/>
    <s v="Yes"/>
    <s v="Does this have a feasibility study?"/>
    <s v="208.63. No feasibility"/>
    <n v="208.6"/>
    <s v="Proposed land under litigation"/>
    <x v="0"/>
    <m/>
    <m/>
    <m/>
    <m/>
    <m/>
    <m/>
    <m/>
    <m/>
    <m/>
    <m/>
    <s v="-"/>
    <s v="-"/>
    <s v="-"/>
    <s v="-"/>
    <s v="-"/>
    <s v="-"/>
    <s v="-"/>
    <s v="-"/>
    <s v="-"/>
    <m/>
    <m/>
    <m/>
    <m/>
    <m/>
    <m/>
    <m/>
    <m/>
    <m/>
    <m/>
    <m/>
    <m/>
    <m/>
    <m/>
    <m/>
    <m/>
  </r>
  <r>
    <n v="23"/>
    <x v="22"/>
    <s v="Khulna"/>
    <s v="Khulna"/>
    <s v="Terokhada"/>
    <s v="Government"/>
    <s v="In-Principle Approval"/>
    <s v="N/A"/>
    <x v="0"/>
    <s v="Yes"/>
    <m/>
    <m/>
    <m/>
    <m/>
    <m/>
    <m/>
    <m/>
    <m/>
    <m/>
    <m/>
    <m/>
    <m/>
    <m/>
    <s v="No"/>
    <s v="N/A"/>
    <s v="N/A"/>
    <m/>
    <m/>
    <n v="509.64"/>
    <s v="-"/>
    <m/>
    <s v="-"/>
    <s v="-"/>
    <s v="N/A"/>
    <s v="N/A"/>
    <s v="N/A"/>
    <n v="0"/>
    <s v="No"/>
    <m/>
    <s v="506. No feasibility."/>
    <n v="506"/>
    <s v="Proposed land under litigation"/>
    <x v="0"/>
    <m/>
    <m/>
    <m/>
    <m/>
    <m/>
    <m/>
    <m/>
    <m/>
    <m/>
    <m/>
    <s v="-"/>
    <s v="-"/>
    <s v="-"/>
    <s v="-"/>
    <s v="-"/>
    <s v="-"/>
    <s v="-"/>
    <s v="-"/>
    <s v="-"/>
    <m/>
    <m/>
    <m/>
    <m/>
    <m/>
    <m/>
    <m/>
    <m/>
    <m/>
    <m/>
    <m/>
    <m/>
    <m/>
    <m/>
    <m/>
    <m/>
  </r>
  <r>
    <n v="24"/>
    <x v="23"/>
    <s v="Rangpur"/>
    <s v="Kurigram"/>
    <s v="Kurigram Sadar"/>
    <s v="Government"/>
    <s v="In-Principle Approval"/>
    <s v="N/A"/>
    <x v="2"/>
    <s v="Yes"/>
    <m/>
    <m/>
    <m/>
    <m/>
    <m/>
    <m/>
    <m/>
    <m/>
    <m/>
    <m/>
    <m/>
    <m/>
    <m/>
    <s v="No"/>
    <s v="N/A"/>
    <s v="N/A"/>
    <m/>
    <m/>
    <m/>
    <s v="-"/>
    <m/>
    <s v="-"/>
    <s v="-"/>
    <s v="N/A"/>
    <s v="N/A"/>
    <s v="N/A"/>
    <s v=""/>
    <s v="Area Not Found"/>
    <s v="Does this have a feasibility study?"/>
    <s v="211.6 acres. No feasibility."/>
    <n v="211.6"/>
    <s v="Land not available"/>
    <x v="0"/>
    <m/>
    <m/>
    <m/>
    <m/>
    <m/>
    <m/>
    <m/>
    <m/>
    <m/>
    <m/>
    <s v="-"/>
    <s v="-"/>
    <s v="-"/>
    <s v="-"/>
    <s v="-"/>
    <s v="-"/>
    <s v="-"/>
    <s v="-"/>
    <s v="-"/>
    <m/>
    <m/>
    <m/>
    <m/>
    <m/>
    <m/>
    <m/>
    <m/>
    <m/>
    <m/>
    <m/>
    <m/>
    <m/>
    <m/>
    <m/>
    <m/>
  </r>
  <r>
    <n v="25"/>
    <x v="24"/>
    <s v="Dhaka"/>
    <s v="Madaripur"/>
    <s v="Rajoir"/>
    <s v="Government"/>
    <s v="Pre-Planning Stage"/>
    <s v="N/A"/>
    <x v="0"/>
    <s v="Yes"/>
    <m/>
    <s v="Yes"/>
    <n v="2016"/>
    <m/>
    <m/>
    <m/>
    <m/>
    <m/>
    <m/>
    <m/>
    <m/>
    <m/>
    <m/>
    <s v="No"/>
    <s v="N/A"/>
    <s v="N/A"/>
    <m/>
    <s v="Site Visit Report"/>
    <m/>
    <n v="113.54"/>
    <m/>
    <s v="-"/>
    <s v="-"/>
    <s v="N/A"/>
    <s v="N/A"/>
    <s v="N/A"/>
    <n v="0"/>
    <s v="No"/>
    <m/>
    <s v="1125 acres"/>
    <n v="1125"/>
    <s v="Planning Stage."/>
    <x v="3"/>
    <m/>
    <m/>
    <m/>
    <m/>
    <m/>
    <m/>
    <m/>
    <m/>
    <m/>
    <m/>
    <s v="-"/>
    <s v="-"/>
    <s v="-"/>
    <s v="-"/>
    <s v="-"/>
    <s v="-"/>
    <s v="-"/>
    <s v="-"/>
    <s v="-"/>
    <m/>
    <m/>
    <m/>
    <m/>
    <m/>
    <m/>
    <m/>
    <m/>
    <m/>
    <m/>
    <m/>
    <m/>
    <m/>
    <m/>
    <m/>
    <m/>
  </r>
  <r>
    <n v="26"/>
    <x v="25"/>
    <s v="Dhaka"/>
    <s v="Manikganj"/>
    <s v="Shibaloy"/>
    <s v="Government"/>
    <s v="Planning Stage"/>
    <s v="N/A"/>
    <x v="0"/>
    <s v="Yes"/>
    <m/>
    <m/>
    <m/>
    <s v="Yes"/>
    <n v="2015"/>
    <s v="Yes"/>
    <n v="2021"/>
    <m/>
    <m/>
    <m/>
    <m/>
    <m/>
    <m/>
    <s v="Yes"/>
    <s v="N/A"/>
    <s v="N/A"/>
    <m/>
    <s v="Feasibility or Pre feasibility"/>
    <n v="300"/>
    <s v="-"/>
    <n v="303.47000000000003"/>
    <n v="320.37"/>
    <s v="-"/>
    <s v="N/A"/>
    <s v="N/A"/>
    <s v="N/A"/>
    <n v="2.8894982057607304E-2"/>
    <s v="Yes"/>
    <m/>
    <s v="320.37 acres"/>
    <n v="320.37"/>
    <s v="Feasibility Ongoing"/>
    <x v="2"/>
    <m/>
    <n v="1"/>
    <n v="226.68"/>
    <m/>
    <n v="39.729999999999997"/>
    <n v="13.55"/>
    <n v="8.3699999999999992"/>
    <n v="32.04"/>
    <m/>
    <n v="320.37000000000006"/>
    <s v="Textiles and RMG"/>
    <s v="Food and Beverage"/>
    <s v="Leather Goods"/>
    <s v="Chemicals"/>
    <s v="Non-Metallic mineral products"/>
    <s v="Electrical and Electronics"/>
    <s v="Pharmaceuticals"/>
    <s v="-"/>
    <s v="-"/>
    <m/>
    <m/>
    <s v="79km from Hazrat Shahjalal International Airport"/>
    <s v="77km from Kamalapur Railway Station"/>
    <s v="207km from Mongla Port_x000a_91km from Naraynganj River Port"/>
    <s v="171km from Benapole Land Port"/>
    <n v="38"/>
    <n v="12000"/>
    <n v="15500"/>
    <n v="1000"/>
    <m/>
    <m/>
    <m/>
    <m/>
    <m/>
    <m/>
  </r>
  <r>
    <n v="27"/>
    <x v="26"/>
    <s v="Chattogram"/>
    <s v="Chittagong"/>
    <s v="Mirsarai"/>
    <s v="Government"/>
    <s v="Under Development"/>
    <s v="N/A"/>
    <x v="1"/>
    <s v="Yes"/>
    <s v="Link"/>
    <s v="Yes"/>
    <n v="2022"/>
    <m/>
    <m/>
    <m/>
    <m/>
    <s v="Yes"/>
    <n v="2016"/>
    <s v="Yes"/>
    <n v="2014"/>
    <s v="Yes"/>
    <n v="2014"/>
    <s v="Yes"/>
    <s v="N/A"/>
    <s v="N/A"/>
    <m/>
    <s v="Feasibility or Pre feasibility + Site Visit Report for BSMSN"/>
    <n v="13117.78"/>
    <s v="N/A"/>
    <m/>
    <s v="-"/>
    <n v="7195.3"/>
    <s v="N/A"/>
    <s v="N/A"/>
    <s v="N/A"/>
    <n v="0.29155992099671724"/>
    <s v="Yes"/>
    <m/>
    <s v="11005 acres"/>
    <n v="11005"/>
    <s v="Operational"/>
    <x v="1"/>
    <m/>
    <n v="2.4700000000000002"/>
    <n v="3110.31"/>
    <m/>
    <n v="547.40000000000009"/>
    <m/>
    <m/>
    <n v="365.67"/>
    <m/>
    <n v="7195.3"/>
    <s v="RMG"/>
    <s v="Integrated Textiles"/>
    <s v="Automobile Parts and Assembly"/>
    <s v="Food and Beverage"/>
    <s v="Paint and Chemical"/>
    <s v="Paper and packaging"/>
    <s v="Plastics"/>
    <s v="Other parts and machinery"/>
    <s v="-"/>
    <m/>
    <m/>
    <s v="79km from Chittagong Airport"/>
    <s v="11.5km from Borotakia Railway Station"/>
    <s v="67km from Chittagong Port_x000a_85km from Chittagong Port by Sea Route"/>
    <m/>
    <n v="600"/>
    <n v="280000"/>
    <m/>
    <n v="224000"/>
    <s v="."/>
    <m/>
    <m/>
    <m/>
    <m/>
    <m/>
  </r>
  <r>
    <n v="28"/>
    <x v="27"/>
    <s v="Chattogram"/>
    <s v="Cox’s Bazar"/>
    <s v="Moheshkhali"/>
    <s v="Government"/>
    <s v="Planning Stage"/>
    <s v="N/A"/>
    <x v="0"/>
    <s v="Yes"/>
    <m/>
    <m/>
    <m/>
    <m/>
    <m/>
    <s v="Yes"/>
    <n v="2019"/>
    <m/>
    <m/>
    <m/>
    <m/>
    <m/>
    <m/>
    <s v="Yes"/>
    <s v="N/A"/>
    <s v="N/A"/>
    <m/>
    <s v="Feasibility or Pre feasibility"/>
    <n v="1438.52"/>
    <s v="-"/>
    <m/>
    <n v="2847"/>
    <s v="-"/>
    <s v="N/A"/>
    <s v="N/A"/>
    <s v="N/A"/>
    <n v="0.32866023259721067"/>
    <s v="Yes"/>
    <m/>
    <n v="1438.52"/>
    <n v="1438.52"/>
    <s v="No land available"/>
    <x v="0"/>
    <m/>
    <n v="1"/>
    <n v="2047.11"/>
    <m/>
    <n v="286.74"/>
    <n v="35.1"/>
    <n v="54.78"/>
    <n v="321.58999999999997"/>
    <n v="101.28999999999999"/>
    <n v="2846.61"/>
    <s v="Food and Beverage"/>
    <s v="Agro based"/>
    <s v="Chemicals"/>
    <s v="Non-Metallic mineral products"/>
    <s v="Pharmaceuticals"/>
    <s v="Heavy Machinery, Iron &amp; Steel and metals"/>
    <s v="Shipbuilding"/>
    <s v="Petroleum and petroleum products"/>
    <s v="-"/>
    <m/>
    <m/>
    <s v="100km from Shah Amanat International Airport"/>
    <s v="100km from Chittagong Railway Station"/>
    <s v="98km from Chittagong Port"/>
    <m/>
    <n v="358.63"/>
    <n v="73000"/>
    <m/>
    <n v="47963.27"/>
    <m/>
    <m/>
    <m/>
    <m/>
    <m/>
    <m/>
  </r>
  <r>
    <n v="29"/>
    <x v="28"/>
    <s v="Chattogram"/>
    <s v="Cox’s Bazar"/>
    <s v="Moheshkhali"/>
    <s v="Government"/>
    <s v="In-Principle Approval"/>
    <s v="N/A"/>
    <x v="0"/>
    <s v="Yes"/>
    <m/>
    <m/>
    <m/>
    <m/>
    <m/>
    <m/>
    <m/>
    <m/>
    <m/>
    <m/>
    <m/>
    <m/>
    <m/>
    <s v="No"/>
    <s v="N/A"/>
    <s v="N/A"/>
    <m/>
    <m/>
    <n v="827.31"/>
    <s v="-"/>
    <m/>
    <s v="-"/>
    <s v="-"/>
    <s v="N/A"/>
    <s v="N/A"/>
    <s v="N/A"/>
    <n v="0"/>
    <s v="No"/>
    <m/>
    <m/>
    <n v="827.3"/>
    <s v="No land available"/>
    <x v="0"/>
    <m/>
    <m/>
    <m/>
    <m/>
    <m/>
    <m/>
    <m/>
    <m/>
    <m/>
    <m/>
    <s v="-"/>
    <s v="-"/>
    <s v="-"/>
    <s v="-"/>
    <s v="-"/>
    <s v="-"/>
    <s v="-"/>
    <s v="-"/>
    <s v="-"/>
    <m/>
    <m/>
    <m/>
    <m/>
    <m/>
    <m/>
    <m/>
    <m/>
    <m/>
    <m/>
    <m/>
    <m/>
    <m/>
    <m/>
    <m/>
    <m/>
  </r>
  <r>
    <n v="30"/>
    <x v="29"/>
    <s v="Chattogram"/>
    <s v="Cox’s Bazar"/>
    <s v="Moheshkhali"/>
    <s v="Government"/>
    <s v="Planning Stage"/>
    <s v="N/A"/>
    <x v="1"/>
    <s v="Yes"/>
    <s v="Link"/>
    <m/>
    <m/>
    <m/>
    <m/>
    <m/>
    <m/>
    <m/>
    <m/>
    <s v="Yes"/>
    <n v="2022"/>
    <m/>
    <m/>
    <s v="Yes"/>
    <s v="N/A"/>
    <s v="N/A"/>
    <m/>
    <s v="Feasibility or Pre feasibility"/>
    <n v="1501.04"/>
    <s v="-"/>
    <m/>
    <s v="-"/>
    <n v="1240"/>
    <s v="N/A"/>
    <s v="N/A"/>
    <s v="N/A"/>
    <n v="9.5233925809181899E-2"/>
    <s v="Yes"/>
    <m/>
    <n v="1240.72"/>
    <n v="1240.72"/>
    <s v="Under Construction"/>
    <x v="1"/>
    <m/>
    <m/>
    <m/>
    <m/>
    <m/>
    <m/>
    <m/>
    <m/>
    <m/>
    <n v="1240"/>
    <s v="Oil Refinery and Petrochemicals"/>
    <s v="Marine Fish Processing"/>
    <s v="Shipbuilding"/>
    <s v="Steel Manufacturing"/>
    <s v="Steel Rerolling"/>
    <s v="Logistics Hub/Gas Bottling"/>
    <s v="Automobile and Heavy Engg."/>
    <s v="-"/>
    <s v="-"/>
    <m/>
    <m/>
    <s v="25.8 km from Cox's Bazar Airport"/>
    <s v="70.7 km from Chittagong Railway station"/>
    <s v="70.3 km from Chittagong sea port_x000a_167.3 km from Payra sea port"/>
    <m/>
    <n v="291.7"/>
    <n v="8594"/>
    <n v="2385698"/>
    <m/>
    <m/>
    <m/>
    <m/>
    <m/>
    <m/>
    <m/>
  </r>
  <r>
    <n v="31"/>
    <x v="30"/>
    <s v="Chattogram"/>
    <s v="Cox’s Bazar"/>
    <s v="Kalarmarchara"/>
    <s v="Government"/>
    <s v="In-Principle Approval"/>
    <s v="N/A"/>
    <x v="0"/>
    <s v="Yes"/>
    <m/>
    <m/>
    <m/>
    <m/>
    <m/>
    <m/>
    <m/>
    <m/>
    <m/>
    <m/>
    <m/>
    <m/>
    <m/>
    <s v="No"/>
    <s v="N/A"/>
    <s v="N/A"/>
    <m/>
    <m/>
    <n v="3980.07"/>
    <s v="-"/>
    <m/>
    <s v="-"/>
    <s v="-"/>
    <s v="N/A"/>
    <s v="N/A"/>
    <s v="N/A"/>
    <n v="0"/>
    <s v="No"/>
    <m/>
    <m/>
    <n v="3980.1"/>
    <s v="No land available"/>
    <x v="0"/>
    <m/>
    <m/>
    <m/>
    <m/>
    <m/>
    <m/>
    <m/>
    <m/>
    <m/>
    <m/>
    <s v="-"/>
    <s v="-"/>
    <s v="-"/>
    <s v="-"/>
    <s v="-"/>
    <s v="-"/>
    <s v="-"/>
    <s v="-"/>
    <s v="-"/>
    <m/>
    <m/>
    <m/>
    <m/>
    <m/>
    <m/>
    <m/>
    <m/>
    <m/>
    <m/>
    <m/>
    <m/>
    <m/>
    <m/>
    <m/>
    <m/>
  </r>
  <r>
    <n v="32"/>
    <x v="31"/>
    <s v="Chattogram"/>
    <s v="Cox’s Bazar"/>
    <s v="Moheshkhali"/>
    <s v="Government"/>
    <s v="In-Principle Approval"/>
    <s v="N/A"/>
    <x v="0"/>
    <s v="Yes"/>
    <m/>
    <m/>
    <m/>
    <m/>
    <m/>
    <m/>
    <m/>
    <m/>
    <m/>
    <m/>
    <m/>
    <m/>
    <m/>
    <s v="No"/>
    <s v="N/A"/>
    <s v="N/A"/>
    <m/>
    <m/>
    <m/>
    <s v="-"/>
    <m/>
    <s v="-"/>
    <s v="-"/>
    <s v="N/A"/>
    <s v="N/A"/>
    <s v="N/A"/>
    <s v=""/>
    <s v="Area Not Found"/>
    <s v="Area Not Found"/>
    <s v="20315.8. Tourism focused."/>
    <n v="20315.8"/>
    <s v="No land available"/>
    <x v="0"/>
    <m/>
    <m/>
    <m/>
    <m/>
    <m/>
    <m/>
    <m/>
    <m/>
    <m/>
    <m/>
    <s v="-"/>
    <s v="-"/>
    <s v="-"/>
    <s v="-"/>
    <s v="-"/>
    <s v="-"/>
    <s v="-"/>
    <s v="-"/>
    <s v="-"/>
    <m/>
    <m/>
    <m/>
    <m/>
    <m/>
    <m/>
    <m/>
    <m/>
    <m/>
    <m/>
    <m/>
    <m/>
    <m/>
    <m/>
    <m/>
    <m/>
  </r>
  <r>
    <n v="33"/>
    <x v="32"/>
    <s v="Chattogram"/>
    <s v="Cox’s Bazar"/>
    <s v="Moheshkhali"/>
    <s v="Government"/>
    <s v="Under Development"/>
    <s v="N/A"/>
    <x v="1"/>
    <s v="Yes"/>
    <s v="Link"/>
    <m/>
    <m/>
    <m/>
    <m/>
    <m/>
    <m/>
    <m/>
    <m/>
    <s v="Yes"/>
    <n v="2021"/>
    <m/>
    <m/>
    <s v="Yes"/>
    <s v="N/A"/>
    <s v="N/A"/>
    <m/>
    <s v="Feasibility or Pre feasibility"/>
    <n v="12962.22"/>
    <s v="-"/>
    <m/>
    <s v="-"/>
    <n v="8967"/>
    <s v="N/A"/>
    <s v="N/A"/>
    <s v="N/A"/>
    <n v="0.18218705453271899"/>
    <s v="Yes"/>
    <s v="Name changed to Sonadia Eco Tourism Park"/>
    <s v="1000 acre"/>
    <n v="1000"/>
    <s v="Under Construction"/>
    <x v="1"/>
    <m/>
    <m/>
    <m/>
    <m/>
    <m/>
    <m/>
    <m/>
    <m/>
    <m/>
    <n v="8967"/>
    <s v="Tourism"/>
    <s v="-"/>
    <s v="-"/>
    <s v="-"/>
    <s v="-"/>
    <s v="-"/>
    <s v="-"/>
    <s v="-"/>
    <s v="-"/>
    <m/>
    <m/>
    <s v="110 km from Cox’s Bazar domestic airport"/>
    <s v="120 km from Chittagong Railway Station"/>
    <s v="124 km from Chittagong Port"/>
    <m/>
    <n v="35.76"/>
    <n v="3464.97"/>
    <m/>
    <m/>
    <m/>
    <m/>
    <m/>
    <m/>
    <m/>
    <m/>
  </r>
  <r>
    <n v="34"/>
    <x v="33"/>
    <s v="Khulna"/>
    <s v="Bagerhat"/>
    <s v="Mongla"/>
    <s v="Government"/>
    <s v="Planning Stage"/>
    <s v="N/A"/>
    <x v="1"/>
    <s v="Yes"/>
    <s v="Link"/>
    <m/>
    <m/>
    <m/>
    <m/>
    <m/>
    <m/>
    <m/>
    <m/>
    <s v="Yes"/>
    <m/>
    <m/>
    <m/>
    <s v="Yes"/>
    <s v="N/A"/>
    <s v="N/A"/>
    <m/>
    <s v="Feasibility or Pre feasibility"/>
    <n v="205"/>
    <s v="-"/>
    <m/>
    <s v="-"/>
    <n v="205"/>
    <s v="N/A"/>
    <s v="N/A"/>
    <s v="N/A"/>
    <n v="0"/>
    <s v="No"/>
    <m/>
    <m/>
    <n v="205"/>
    <s v="Under Construction"/>
    <x v="1"/>
    <m/>
    <n v="1"/>
    <n v="119.66"/>
    <m/>
    <n v="27.66"/>
    <n v="4.96"/>
    <n v="3.79"/>
    <n v="26.12"/>
    <n v="22.909999999999997"/>
    <n v="205.1"/>
    <s v="Textiles and RMG"/>
    <s v="Food processing"/>
    <s v="Light engineering"/>
    <s v="-"/>
    <s v="-"/>
    <s v="-"/>
    <s v="-"/>
    <s v="-"/>
    <s v="-"/>
    <m/>
    <m/>
    <s v="105km from Jessore airport"/>
    <m/>
    <s v="Adjacent to Mongla Port"/>
    <m/>
    <n v="19.8"/>
    <n v="3303.82"/>
    <m/>
    <n v="2242.7399999999998"/>
    <m/>
    <m/>
    <m/>
    <m/>
    <m/>
    <m/>
  </r>
  <r>
    <n v="35"/>
    <x v="34"/>
    <s v="Mymensingh"/>
    <s v="Mymensingh"/>
    <s v="Mymensingh Sadar"/>
    <s v="Government"/>
    <s v="Pre-Planning Stage"/>
    <s v="N/A"/>
    <x v="0"/>
    <s v="Yes"/>
    <m/>
    <s v="Yes"/>
    <n v="2016"/>
    <m/>
    <m/>
    <m/>
    <m/>
    <m/>
    <m/>
    <m/>
    <m/>
    <m/>
    <m/>
    <s v="No"/>
    <s v="N/A"/>
    <s v="N/A"/>
    <m/>
    <s v="Site Visit Report"/>
    <n v="494"/>
    <n v="494"/>
    <m/>
    <s v="-"/>
    <s v="-"/>
    <s v="N/A"/>
    <s v="N/A"/>
    <s v="N/A"/>
    <n v="0"/>
    <s v="No"/>
    <m/>
    <m/>
    <n v="494"/>
    <s v="Land under litigation"/>
    <x v="3"/>
    <m/>
    <m/>
    <m/>
    <m/>
    <m/>
    <m/>
    <m/>
    <m/>
    <m/>
    <m/>
    <s v="-"/>
    <s v="-"/>
    <s v="-"/>
    <s v="-"/>
    <s v="-"/>
    <s v="-"/>
    <s v="-"/>
    <s v="-"/>
    <s v="-"/>
    <m/>
    <m/>
    <m/>
    <m/>
    <m/>
    <m/>
    <m/>
    <m/>
    <m/>
    <m/>
    <m/>
    <m/>
    <m/>
    <m/>
    <m/>
    <m/>
  </r>
  <r>
    <n v="36"/>
    <x v="35"/>
    <s v="Mymensingh"/>
    <s v="Mymensingh"/>
    <s v="Ishwarganj"/>
    <s v="Government"/>
    <s v="In-Principle Approval"/>
    <s v="N/A"/>
    <x v="0"/>
    <s v="Yes"/>
    <m/>
    <m/>
    <m/>
    <m/>
    <m/>
    <m/>
    <m/>
    <m/>
    <m/>
    <m/>
    <m/>
    <m/>
    <m/>
    <s v="No"/>
    <s v="N/A"/>
    <s v="N/A"/>
    <m/>
    <m/>
    <n v="487.77"/>
    <s v="-"/>
    <m/>
    <s v="-"/>
    <s v="-"/>
    <s v="N/A"/>
    <s v="N/A"/>
    <s v="N/A"/>
    <n v="0"/>
    <s v="No"/>
    <m/>
    <m/>
    <n v="487.8"/>
    <s v="Land under litigation"/>
    <x v="3"/>
    <m/>
    <m/>
    <m/>
    <m/>
    <m/>
    <m/>
    <m/>
    <m/>
    <m/>
    <m/>
    <s v="-"/>
    <s v="-"/>
    <s v="-"/>
    <s v="-"/>
    <s v="-"/>
    <s v="-"/>
    <s v="-"/>
    <s v="-"/>
    <s v="-"/>
    <m/>
    <m/>
    <m/>
    <m/>
    <m/>
    <m/>
    <m/>
    <m/>
    <m/>
    <m/>
    <m/>
    <m/>
    <m/>
    <m/>
    <m/>
    <m/>
  </r>
  <r>
    <n v="37"/>
    <x v="36"/>
    <s v="Chattogram"/>
    <s v="Cox’s Bazar"/>
    <s v="Teknaf"/>
    <s v="Government"/>
    <s v="Under Development"/>
    <s v="N/A"/>
    <x v="1"/>
    <s v="Yes"/>
    <s v="Link"/>
    <m/>
    <m/>
    <s v="Yes"/>
    <n v="2015"/>
    <s v="Yes"/>
    <n v="2016"/>
    <m/>
    <m/>
    <m/>
    <m/>
    <m/>
    <m/>
    <s v="Yes"/>
    <s v="N/A"/>
    <s v="N/A"/>
    <m/>
    <s v="Feasibility or Pre feasibility"/>
    <n v="271.93"/>
    <s v="-"/>
    <n v="271.93"/>
    <n v="271.93"/>
    <s v="-"/>
    <s v="N/A"/>
    <s v="N/A"/>
    <s v="N/A"/>
    <n v="0"/>
    <s v="No"/>
    <m/>
    <m/>
    <n v="271.89999999999998"/>
    <s v="Under Development"/>
    <x v="1"/>
    <m/>
    <m/>
    <m/>
    <m/>
    <m/>
    <m/>
    <m/>
    <m/>
    <m/>
    <n v="271.93"/>
    <s v="Tourism"/>
    <s v="-"/>
    <s v="-"/>
    <s v="-"/>
    <s v="-"/>
    <s v="-"/>
    <s v="-"/>
    <s v="-"/>
    <s v="-"/>
    <m/>
    <m/>
    <s v="80km from Cox's Bazar Airport"/>
    <s v="160km from Dohazari railway station"/>
    <m/>
    <m/>
    <m/>
    <m/>
    <m/>
    <m/>
    <m/>
    <m/>
    <m/>
    <m/>
    <m/>
    <m/>
  </r>
  <r>
    <n v="38"/>
    <x v="37"/>
    <s v="Dhaka"/>
    <s v="Narayanganj"/>
    <s v="Bandar and Sonargaon"/>
    <s v="Government"/>
    <s v="Pre-Planning Stage"/>
    <s v="N/A"/>
    <x v="0"/>
    <s v="Yes"/>
    <m/>
    <s v="Yes"/>
    <n v="2021"/>
    <s v="Yes"/>
    <n v="2015"/>
    <s v="Yes"/>
    <n v="2016"/>
    <m/>
    <m/>
    <m/>
    <m/>
    <m/>
    <m/>
    <s v="Yes"/>
    <s v="N/A"/>
    <s v="N/A"/>
    <m/>
    <s v="Site Visit Report"/>
    <n v="875.65"/>
    <n v="193.66"/>
    <n v="885.84"/>
    <s v="N/A"/>
    <s v="-"/>
    <s v="N/A"/>
    <s v="N/A"/>
    <s v="N/A"/>
    <n v="0.49702839609499394"/>
    <s v="Yes"/>
    <s v="No information about Narayanganj on the pre feasibility report"/>
    <s v="276.12 acres"/>
    <n v="276.12"/>
    <s v="Partial land is available"/>
    <x v="2"/>
    <m/>
    <m/>
    <m/>
    <m/>
    <m/>
    <m/>
    <m/>
    <m/>
    <m/>
    <m/>
    <s v="-"/>
    <s v="-"/>
    <s v="-"/>
    <s v="-"/>
    <s v="-"/>
    <s v="-"/>
    <s v="-"/>
    <s v="-"/>
    <s v="-"/>
    <m/>
    <m/>
    <m/>
    <m/>
    <m/>
    <m/>
    <m/>
    <m/>
    <m/>
    <m/>
    <m/>
    <m/>
    <m/>
    <m/>
    <m/>
    <m/>
  </r>
  <r>
    <n v="39"/>
    <x v="38"/>
    <s v="Dhaka"/>
    <s v="Narayanganj"/>
    <s v="Sonargaon"/>
    <s v="Government"/>
    <s v="In-Principle Approval"/>
    <s v="N/A"/>
    <x v="0"/>
    <s v="Yes"/>
    <m/>
    <s v="Yes"/>
    <n v="2021"/>
    <m/>
    <m/>
    <m/>
    <m/>
    <m/>
    <m/>
    <m/>
    <m/>
    <m/>
    <m/>
    <s v="No"/>
    <s v="N/A"/>
    <s v="N/A"/>
    <m/>
    <m/>
    <n v="1000"/>
    <s v="-"/>
    <m/>
    <s v="-"/>
    <s v="-"/>
    <s v="N/A"/>
    <s v="N/A"/>
    <s v="N/A"/>
    <n v="0"/>
    <s v="No"/>
    <m/>
    <m/>
    <n v="1000"/>
    <s v="Land not available"/>
    <x v="0"/>
    <m/>
    <m/>
    <m/>
    <m/>
    <m/>
    <m/>
    <m/>
    <m/>
    <m/>
    <m/>
    <s v="-"/>
    <s v="-"/>
    <s v="-"/>
    <s v="-"/>
    <s v="-"/>
    <s v="-"/>
    <s v="-"/>
    <s v="-"/>
    <s v="-"/>
    <m/>
    <m/>
    <m/>
    <m/>
    <m/>
    <m/>
    <m/>
    <m/>
    <m/>
    <m/>
    <m/>
    <m/>
    <m/>
    <m/>
    <m/>
    <m/>
  </r>
  <r>
    <n v="40"/>
    <x v="39"/>
    <s v="Rajshahi"/>
    <s v="Natore"/>
    <s v="Lalpur"/>
    <s v="Government"/>
    <s v="In-Principle Approval"/>
    <s v="N/A"/>
    <x v="0"/>
    <s v="Yes"/>
    <m/>
    <m/>
    <m/>
    <m/>
    <m/>
    <s v="Yes"/>
    <n v="2018"/>
    <m/>
    <m/>
    <m/>
    <m/>
    <m/>
    <m/>
    <s v="Yes"/>
    <s v="N/A"/>
    <s v="N/A"/>
    <m/>
    <m/>
    <n v="3220"/>
    <s v="-"/>
    <m/>
    <n v="300"/>
    <s v="-"/>
    <s v="N/A"/>
    <s v="N/A"/>
    <s v="N/A"/>
    <n v="0.82954545454545459"/>
    <s v="Yes"/>
    <m/>
    <s v="300 acres"/>
    <n v="300"/>
    <s v="Land under litigation"/>
    <x v="0"/>
    <m/>
    <m/>
    <m/>
    <m/>
    <m/>
    <m/>
    <m/>
    <m/>
    <m/>
    <m/>
    <s v="-"/>
    <s v="-"/>
    <s v="-"/>
    <s v="-"/>
    <s v="-"/>
    <s v="-"/>
    <s v="-"/>
    <s v="-"/>
    <s v="-"/>
    <m/>
    <m/>
    <m/>
    <m/>
    <m/>
    <m/>
    <m/>
    <m/>
    <m/>
    <m/>
    <m/>
    <m/>
    <m/>
    <m/>
    <m/>
    <m/>
  </r>
  <r>
    <n v="41"/>
    <x v="40"/>
    <s v="Rajshahi"/>
    <s v="Natore"/>
    <s v="Nator Sadar"/>
    <s v="Government"/>
    <s v="In-Principle Approval"/>
    <s v="N/A"/>
    <x v="3"/>
    <s v="Yes"/>
    <m/>
    <m/>
    <m/>
    <m/>
    <m/>
    <m/>
    <m/>
    <m/>
    <m/>
    <m/>
    <m/>
    <m/>
    <m/>
    <s v="No"/>
    <s v="N/A"/>
    <s v="N/A"/>
    <m/>
    <m/>
    <m/>
    <s v="-"/>
    <m/>
    <s v="-"/>
    <s v="-"/>
    <s v="N/A"/>
    <s v="N/A"/>
    <s v="N/A"/>
    <s v=""/>
    <s v="Area Not Found"/>
    <s v="Not Found in Planning Wing Priority List. Is this project active? What is the priority?"/>
    <s v="300 acre. Priority 3."/>
    <n v="300"/>
    <s v="Land is private and cost prohibitive. Grade C"/>
    <x v="3"/>
    <m/>
    <m/>
    <m/>
    <m/>
    <m/>
    <m/>
    <m/>
    <m/>
    <m/>
    <m/>
    <s v="-"/>
    <s v="-"/>
    <s v="-"/>
    <s v="-"/>
    <s v="-"/>
    <s v="-"/>
    <s v="-"/>
    <s v="-"/>
    <s v="-"/>
    <m/>
    <m/>
    <m/>
    <m/>
    <m/>
    <m/>
    <m/>
    <m/>
    <m/>
    <m/>
    <m/>
    <m/>
    <m/>
    <m/>
    <m/>
    <m/>
  </r>
  <r>
    <n v="42"/>
    <x v="41"/>
    <s v="Dhaka"/>
    <s v="Dhaka"/>
    <s v="Nawabganj"/>
    <s v="Government"/>
    <s v="Planning Stage"/>
    <s v="N/A"/>
    <x v="1"/>
    <s v="Yes"/>
    <m/>
    <s v="Yes"/>
    <n v="2019"/>
    <m/>
    <m/>
    <s v="Yes"/>
    <n v="2021"/>
    <m/>
    <m/>
    <m/>
    <m/>
    <m/>
    <m/>
    <s v="Yes"/>
    <s v="N/A"/>
    <s v="N/A"/>
    <m/>
    <s v="Feasibility or Pre feasibility + Site Visit Report"/>
    <m/>
    <n v="600"/>
    <m/>
    <n v="874"/>
    <s v="-"/>
    <s v="N/A"/>
    <s v="N/A"/>
    <s v="N/A"/>
    <n v="0.18588873812754408"/>
    <s v="Yes"/>
    <m/>
    <s v="880.04 acres"/>
    <n v="880.04"/>
    <s v="Planning Stage"/>
    <x v="1"/>
    <m/>
    <n v="1"/>
    <n v="588.80999999999995"/>
    <m/>
    <n v="104.44000000000001"/>
    <n v="65.67"/>
    <n v="18.88"/>
    <n v="96.14"/>
    <m/>
    <n v="873.93999999999994"/>
    <s v="Textiles and RMG"/>
    <s v="Food and Beverage"/>
    <s v="Leather Goods"/>
    <s v="Plastic and Rubber"/>
    <s v="Chemicals"/>
    <s v="Non-Metallic mineral products"/>
    <s v="Electrical and Electronics"/>
    <s v="Pharmaceuticals"/>
    <s v="Light Machinery, Equipment and Furniture"/>
    <m/>
    <m/>
    <s v="39km from Hazrat Shahjalal International Airport"/>
    <s v="39km from Kamalapur Railway Station"/>
    <s v="256km from Chittagong Port_x000a_38km from Narayanganj river port_x000a_91km from Naraynganj River Port"/>
    <s v="122km from Bibirbazar land port"/>
    <n v="97"/>
    <n v="18000"/>
    <n v="40300"/>
    <n v="2000"/>
    <m/>
    <m/>
    <m/>
    <m/>
    <m/>
    <m/>
  </r>
  <r>
    <n v="43"/>
    <x v="42"/>
    <s v="Mymensingh"/>
    <s v="Netrakona"/>
    <s v="Netrakona Sadar"/>
    <s v="Government"/>
    <s v="Planning Stage"/>
    <s v="N/A"/>
    <x v="2"/>
    <s v="Yes"/>
    <m/>
    <m/>
    <m/>
    <m/>
    <m/>
    <m/>
    <m/>
    <m/>
    <m/>
    <s v="Yes"/>
    <n v="2021"/>
    <m/>
    <m/>
    <s v="Yes"/>
    <s v="N/A"/>
    <s v="N/A"/>
    <m/>
    <s v="Feasibility or Pre feasibility"/>
    <n v="266.755"/>
    <s v="-"/>
    <m/>
    <s v="-"/>
    <n v="500"/>
    <s v="N/A"/>
    <s v="N/A"/>
    <s v="N/A"/>
    <n v="0.30419755984636571"/>
    <s v="Yes"/>
    <m/>
    <s v="500 acres"/>
    <n v="500"/>
    <s v="Land not available"/>
    <x v="3"/>
    <m/>
    <n v="1.2954777070063694"/>
    <n v="203.39"/>
    <m/>
    <m/>
    <m/>
    <m/>
    <m/>
    <m/>
    <n v="500"/>
    <s v="Textiles and RMG"/>
    <s v="Pharmaceuticals"/>
    <s v="Ceramic"/>
    <s v="Agro based"/>
    <s v="Light engineering"/>
    <s v="SMEs"/>
    <s v="-"/>
    <s v="-"/>
    <s v="-"/>
    <m/>
    <m/>
    <s v="150km from Hazrat Shahjalal International Airport"/>
    <s v="Adjacent to Netrokona railway line"/>
    <m/>
    <m/>
    <n v="42.85"/>
    <m/>
    <n v="40000"/>
    <m/>
    <m/>
    <m/>
    <m/>
    <m/>
    <m/>
    <m/>
  </r>
  <r>
    <n v="44"/>
    <x v="43"/>
    <s v="Rangpur"/>
    <s v="Nilphamari"/>
    <s v="Nilphamari Sadar"/>
    <s v="Government"/>
    <s v="Planning Stage"/>
    <s v="N/A"/>
    <x v="2"/>
    <s v="Yes"/>
    <m/>
    <m/>
    <m/>
    <s v="Yes"/>
    <n v="2015"/>
    <s v="Yes"/>
    <n v="2021"/>
    <m/>
    <m/>
    <m/>
    <m/>
    <m/>
    <m/>
    <s v="Yes"/>
    <s v="N/A"/>
    <s v="N/A"/>
    <m/>
    <s v="Feasibility or Pre feasibility"/>
    <n v="357.76"/>
    <s v="-"/>
    <n v="357.76"/>
    <n v="357.76"/>
    <s v="-"/>
    <s v="N/A"/>
    <s v="N/A"/>
    <s v="N/A"/>
    <n v="0"/>
    <s v="No"/>
    <m/>
    <m/>
    <n v="357.76"/>
    <s v="Land partially available"/>
    <x v="2"/>
    <m/>
    <n v="1"/>
    <n v="238.09"/>
    <m/>
    <n v="48.139999999999993"/>
    <n v="12.68"/>
    <n v="14.35"/>
    <n v="44.5"/>
    <m/>
    <n v="357.76000000000005"/>
    <s v="Textiles and RMG"/>
    <s v="Food and Beverage"/>
    <s v="Agro based"/>
    <s v="Electrical and Electronics"/>
    <s v="Pharmaceuticals"/>
    <s v="Light Machinery, Equipment and Furniture"/>
    <s v="-"/>
    <s v="-"/>
    <s v="-"/>
    <m/>
    <m/>
    <s v="10km from Saidpur Airport"/>
    <s v="16km from Nilfamari railway station"/>
    <s v="484km from Mongla Port"/>
    <s v="72km from Hilli land port"/>
    <n v="41"/>
    <n v="8174.79"/>
    <n v="16300"/>
    <n v="629.75"/>
    <m/>
    <m/>
    <m/>
    <m/>
    <m/>
    <m/>
  </r>
  <r>
    <n v="45"/>
    <x v="44"/>
    <s v="Chattogram"/>
    <s v="Noakhali"/>
    <s v="Companiganj"/>
    <s v="Government"/>
    <s v="Pre-Planning Stage"/>
    <s v="N/A"/>
    <x v="0"/>
    <s v="Yes"/>
    <m/>
    <s v="Yes"/>
    <n v="2019"/>
    <m/>
    <m/>
    <m/>
    <m/>
    <m/>
    <m/>
    <m/>
    <m/>
    <m/>
    <m/>
    <s v="No"/>
    <s v="N/A"/>
    <s v="N/A"/>
    <m/>
    <s v="Site Visit Report"/>
    <m/>
    <n v="350"/>
    <m/>
    <s v="-"/>
    <s v="-"/>
    <s v="N/A"/>
    <s v="N/A"/>
    <s v="N/A"/>
    <n v="0"/>
    <s v="No"/>
    <m/>
    <m/>
    <n v="350"/>
    <s v="Planning Stage"/>
    <x v="2"/>
    <m/>
    <m/>
    <m/>
    <m/>
    <m/>
    <m/>
    <m/>
    <m/>
    <m/>
    <m/>
    <s v="-"/>
    <s v="-"/>
    <s v="-"/>
    <s v="-"/>
    <s v="-"/>
    <s v="-"/>
    <s v="-"/>
    <s v="-"/>
    <s v="-"/>
    <m/>
    <m/>
    <m/>
    <m/>
    <m/>
    <m/>
    <m/>
    <m/>
    <m/>
    <m/>
    <m/>
    <m/>
    <m/>
    <m/>
    <m/>
    <m/>
  </r>
  <r>
    <n v="46"/>
    <x v="45"/>
    <s v="Dhaka"/>
    <s v="Narsingdi"/>
    <s v="Narsingdi Sadar"/>
    <s v="Government"/>
    <s v="In-Principle Approval"/>
    <s v="N/A"/>
    <x v="0"/>
    <s v="Yes"/>
    <m/>
    <m/>
    <m/>
    <m/>
    <m/>
    <m/>
    <m/>
    <m/>
    <m/>
    <m/>
    <m/>
    <m/>
    <m/>
    <s v="No"/>
    <s v="N/A"/>
    <s v="N/A"/>
    <m/>
    <m/>
    <n v="690.20159999999998"/>
    <s v="-"/>
    <m/>
    <s v="-"/>
    <s v="-"/>
    <s v="N/A"/>
    <s v="N/A"/>
    <s v="N/A"/>
    <n v="0"/>
    <s v="No"/>
    <m/>
    <m/>
    <n v="690"/>
    <s v="Land not available"/>
    <x v="0"/>
    <m/>
    <m/>
    <m/>
    <m/>
    <m/>
    <m/>
    <m/>
    <m/>
    <m/>
    <m/>
    <s v="-"/>
    <s v="-"/>
    <s v="-"/>
    <s v="-"/>
    <s v="-"/>
    <s v="-"/>
    <s v="-"/>
    <s v="-"/>
    <s v="-"/>
    <m/>
    <m/>
    <m/>
    <m/>
    <m/>
    <m/>
    <m/>
    <m/>
    <m/>
    <m/>
    <m/>
    <m/>
    <m/>
    <m/>
    <m/>
    <m/>
  </r>
  <r>
    <n v="47"/>
    <x v="46"/>
    <s v="Rajshahi"/>
    <s v="Pabna"/>
    <s v="Bera"/>
    <s v="Government"/>
    <s v="In-Principle Approval"/>
    <s v="N/A"/>
    <x v="0"/>
    <s v="Yes"/>
    <m/>
    <m/>
    <m/>
    <m/>
    <m/>
    <m/>
    <m/>
    <m/>
    <m/>
    <m/>
    <m/>
    <m/>
    <m/>
    <s v="No"/>
    <s v="N/A"/>
    <s v="N/A"/>
    <m/>
    <m/>
    <m/>
    <s v="-"/>
    <m/>
    <s v="-"/>
    <s v="-"/>
    <s v="N/A"/>
    <s v="N/A"/>
    <s v="N/A"/>
    <s v=""/>
    <s v="Area Not Found"/>
    <s v="Area Not Found"/>
    <s v="516.26 acres"/>
    <n v="516.26"/>
    <s v="Feasibility Ongoing"/>
    <x v="2"/>
    <m/>
    <m/>
    <m/>
    <m/>
    <m/>
    <m/>
    <m/>
    <m/>
    <m/>
    <m/>
    <s v="-"/>
    <s v="-"/>
    <s v="-"/>
    <s v="-"/>
    <s v="-"/>
    <s v="-"/>
    <s v="-"/>
    <s v="-"/>
    <s v="-"/>
    <m/>
    <m/>
    <m/>
    <m/>
    <m/>
    <m/>
    <m/>
    <m/>
    <m/>
    <m/>
    <m/>
    <m/>
    <m/>
    <m/>
    <m/>
    <m/>
  </r>
  <r>
    <n v="48"/>
    <x v="47"/>
    <s v="Rangpur"/>
    <s v="Panchagarh"/>
    <s v="Debiganj"/>
    <s v="Government"/>
    <s v="Planning Stage"/>
    <s v="N/A"/>
    <x v="2"/>
    <s v="Yes"/>
    <m/>
    <m/>
    <m/>
    <s v="Yes"/>
    <n v="2015"/>
    <s v="Yes"/>
    <n v="2021"/>
    <m/>
    <m/>
    <m/>
    <m/>
    <m/>
    <m/>
    <s v="Yes"/>
    <s v="N/A"/>
    <s v="N/A"/>
    <m/>
    <s v="Feasibility or Pre feasibility"/>
    <n v="595.01"/>
    <s v="-"/>
    <n v="595.01"/>
    <n v="580"/>
    <s v="-"/>
    <s v="N/A"/>
    <s v="N/A"/>
    <s v="N/A"/>
    <n v="1.19927150943041E-2"/>
    <s v="No"/>
    <m/>
    <m/>
    <n v="595"/>
    <s v="Feasibility to be done"/>
    <x v="2"/>
    <m/>
    <n v="1"/>
    <n v="360.04"/>
    <m/>
    <n v="76.12"/>
    <n v="29.65"/>
    <n v="12.36"/>
    <n v="56.83"/>
    <m/>
    <n v="535"/>
    <s v="Textiles and RMG"/>
    <s v="Food and Beverage"/>
    <s v="Agro based"/>
    <s v="Plastic and Rubber"/>
    <s v="Chemicals"/>
    <s v="-"/>
    <s v="-"/>
    <s v="-"/>
    <s v="-"/>
    <m/>
    <m/>
    <s v="45km from Saidpur Airport"/>
    <s v="7km from Domar railway station_x000a_20km from Nilfamari railway station"/>
    <s v="520km from Mongla Port_x000a_280 km from Baghabari river port"/>
    <s v="79km from Burimari land port"/>
    <n v="62"/>
    <n v="12300"/>
    <n v="24680"/>
    <n v="6000"/>
    <m/>
    <m/>
    <m/>
    <m/>
    <m/>
    <m/>
  </r>
  <r>
    <n v="49"/>
    <x v="48"/>
    <s v="Chattogram"/>
    <s v="Chattogram"/>
    <s v="Patia"/>
    <s v="Government"/>
    <s v="In-Principle Approval"/>
    <s v="N/A"/>
    <x v="0"/>
    <s v="Yes"/>
    <m/>
    <m/>
    <m/>
    <m/>
    <m/>
    <m/>
    <m/>
    <m/>
    <m/>
    <m/>
    <m/>
    <m/>
    <m/>
    <s v="No"/>
    <s v="N/A"/>
    <s v="N/A"/>
    <m/>
    <m/>
    <n v="774.48"/>
    <s v="-"/>
    <m/>
    <s v="-"/>
    <s v="-"/>
    <s v="N/A"/>
    <s v="N/A"/>
    <s v="N/A"/>
    <n v="0"/>
    <s v="No"/>
    <m/>
    <m/>
    <n v="774.5"/>
    <s v="Hilly area. Land procurement difficult."/>
    <x v="0"/>
    <m/>
    <m/>
    <m/>
    <m/>
    <m/>
    <m/>
    <m/>
    <m/>
    <m/>
    <m/>
    <s v="-"/>
    <s v="-"/>
    <s v="-"/>
    <s v="-"/>
    <s v="-"/>
    <s v="-"/>
    <s v="-"/>
    <s v="-"/>
    <s v="-"/>
    <m/>
    <m/>
    <m/>
    <m/>
    <m/>
    <m/>
    <m/>
    <m/>
    <m/>
    <m/>
    <m/>
    <m/>
    <m/>
    <m/>
    <m/>
    <m/>
  </r>
  <r>
    <n v="50"/>
    <x v="49"/>
    <s v="Rajshahi"/>
    <s v="Rajshahi"/>
    <s v="Paba"/>
    <s v="Government"/>
    <s v="In-Principle Approval"/>
    <s v="N/A"/>
    <x v="0"/>
    <s v="Yes"/>
    <m/>
    <m/>
    <m/>
    <m/>
    <m/>
    <m/>
    <m/>
    <m/>
    <m/>
    <m/>
    <m/>
    <m/>
    <m/>
    <s v="No"/>
    <s v="N/A"/>
    <s v="N/A"/>
    <m/>
    <m/>
    <n v="204.06"/>
    <s v="-"/>
    <m/>
    <s v="-"/>
    <s v="-"/>
    <s v="N/A"/>
    <s v="N/A"/>
    <s v="N/A"/>
    <n v="0"/>
    <s v="No"/>
    <m/>
    <m/>
    <n v="204.06"/>
    <s v="Land acquisition ongoing"/>
    <x v="2"/>
    <m/>
    <m/>
    <m/>
    <m/>
    <m/>
    <m/>
    <m/>
    <m/>
    <m/>
    <m/>
    <s v="-"/>
    <s v="-"/>
    <s v="-"/>
    <s v="-"/>
    <s v="-"/>
    <s v="-"/>
    <s v="-"/>
    <s v="-"/>
    <s v="-"/>
    <m/>
    <m/>
    <m/>
    <m/>
    <m/>
    <m/>
    <m/>
    <m/>
    <m/>
    <m/>
    <m/>
    <m/>
    <m/>
    <m/>
    <m/>
    <m/>
  </r>
  <r>
    <n v="51"/>
    <x v="50"/>
    <s v="Khulna"/>
    <s v="Bagerhat"/>
    <s v="Rampal"/>
    <s v="Government"/>
    <s v="In-Principle Approval"/>
    <s v="N/A"/>
    <x v="0"/>
    <s v="Yes"/>
    <m/>
    <m/>
    <m/>
    <m/>
    <m/>
    <m/>
    <m/>
    <m/>
    <m/>
    <m/>
    <m/>
    <m/>
    <m/>
    <s v="No"/>
    <s v="N/A"/>
    <s v="N/A"/>
    <m/>
    <m/>
    <n v="300"/>
    <s v="-"/>
    <m/>
    <s v="-"/>
    <s v="-"/>
    <s v="N/A"/>
    <s v="N/A"/>
    <s v="N/A"/>
    <n v="0"/>
    <s v="No"/>
    <m/>
    <m/>
    <n v="300"/>
    <s v="Land not available"/>
    <x v="0"/>
    <m/>
    <m/>
    <m/>
    <m/>
    <m/>
    <m/>
    <m/>
    <m/>
    <m/>
    <m/>
    <s v="-"/>
    <s v="-"/>
    <s v="-"/>
    <s v="-"/>
    <s v="-"/>
    <s v="-"/>
    <s v="-"/>
    <s v="-"/>
    <s v="-"/>
    <m/>
    <m/>
    <m/>
    <m/>
    <m/>
    <m/>
    <m/>
    <m/>
    <m/>
    <m/>
    <m/>
    <m/>
    <m/>
    <m/>
    <m/>
    <m/>
  </r>
  <r>
    <n v="52"/>
    <x v="51"/>
    <s v="Chattogram"/>
    <s v="Cox’s Bazar"/>
    <s v="Teknaf"/>
    <s v="Government"/>
    <s v="Under Development"/>
    <s v="N/A"/>
    <x v="1"/>
    <s v="Yes"/>
    <s v="Link"/>
    <m/>
    <m/>
    <s v="Yes"/>
    <n v="2015"/>
    <s v="Yes"/>
    <n v="2016"/>
    <m/>
    <m/>
    <s v="Yes"/>
    <m/>
    <m/>
    <m/>
    <s v="Yes"/>
    <s v="N/A"/>
    <s v="N/A"/>
    <m/>
    <s v="There is a feasibility report but it has no quantitative data"/>
    <n v="1027.56"/>
    <s v="-"/>
    <n v="1027"/>
    <n v="774.43"/>
    <n v="1027.56"/>
    <s v="N/A"/>
    <s v="N/A"/>
    <s v="N/A"/>
    <n v="0.11360196527186577"/>
    <s v="Yes"/>
    <s v="There is a feasibility report but it has no quantitative data"/>
    <s v="965.36 acres"/>
    <n v="965.36"/>
    <s v="Under Construction"/>
    <x v="1"/>
    <m/>
    <m/>
    <m/>
    <m/>
    <m/>
    <m/>
    <m/>
    <m/>
    <m/>
    <m/>
    <s v="Tourism"/>
    <s v="-"/>
    <s v="-"/>
    <s v="-"/>
    <s v="-"/>
    <s v="-"/>
    <s v="-"/>
    <s v="-"/>
    <s v="-"/>
    <m/>
    <m/>
    <m/>
    <m/>
    <m/>
    <m/>
    <m/>
    <m/>
    <m/>
    <m/>
    <m/>
    <m/>
    <m/>
    <m/>
    <m/>
    <m/>
  </r>
  <r>
    <n v="53"/>
    <x v="52"/>
    <s v="Chattogram"/>
    <s v="Chottogram"/>
    <s v="Sandwip"/>
    <s v="Government"/>
    <s v="In-Principle Approval"/>
    <s v="N/A"/>
    <x v="0"/>
    <s v="Yes"/>
    <m/>
    <m/>
    <m/>
    <m/>
    <m/>
    <m/>
    <m/>
    <m/>
    <m/>
    <m/>
    <m/>
    <m/>
    <m/>
    <s v="No"/>
    <s v="N/A"/>
    <s v="N/A"/>
    <m/>
    <m/>
    <m/>
    <s v="-"/>
    <m/>
    <s v="-"/>
    <s v="-"/>
    <s v="N/A"/>
    <s v="N/A"/>
    <s v="N/A"/>
    <s v=""/>
    <s v="Area Not Found"/>
    <s v="Area Not Found"/>
    <s v="13000.42. Tourism + residential"/>
    <n v="13000.42"/>
    <s v="Acquisition ongoing"/>
    <x v="2"/>
    <m/>
    <m/>
    <m/>
    <m/>
    <m/>
    <m/>
    <m/>
    <m/>
    <m/>
    <m/>
    <s v="-"/>
    <s v="-"/>
    <s v="-"/>
    <s v="-"/>
    <s v="-"/>
    <s v="-"/>
    <s v="-"/>
    <s v="-"/>
    <s v="-"/>
    <m/>
    <m/>
    <m/>
    <m/>
    <m/>
    <m/>
    <m/>
    <m/>
    <m/>
    <m/>
    <m/>
    <m/>
    <m/>
    <m/>
    <m/>
    <m/>
  </r>
  <r>
    <n v="54"/>
    <x v="53"/>
    <s v="Rajshahi"/>
    <s v="Naogaon"/>
    <s v="Sapahar"/>
    <s v="Government"/>
    <s v="In-Principle Approval"/>
    <s v="N/A"/>
    <x v="0"/>
    <s v="Yes"/>
    <m/>
    <m/>
    <m/>
    <m/>
    <m/>
    <m/>
    <m/>
    <m/>
    <m/>
    <m/>
    <m/>
    <m/>
    <m/>
    <s v="No"/>
    <s v="N/A"/>
    <s v="N/A"/>
    <m/>
    <m/>
    <m/>
    <s v="-"/>
    <m/>
    <s v="-"/>
    <s v="-"/>
    <s v="N/A"/>
    <s v="N/A"/>
    <s v="N/A"/>
    <s v=""/>
    <s v="Area Not Found"/>
    <s v="Area Not Found"/>
    <s v="254.14 acres"/>
    <n v="254.14"/>
    <s v="Indeginoues settlements and private land. Resettlement difficult"/>
    <x v="0"/>
    <m/>
    <m/>
    <m/>
    <m/>
    <m/>
    <m/>
    <m/>
    <m/>
    <m/>
    <m/>
    <s v="-"/>
    <s v="-"/>
    <s v="-"/>
    <s v="-"/>
    <s v="-"/>
    <s v="-"/>
    <s v="-"/>
    <s v="-"/>
    <s v="-"/>
    <m/>
    <m/>
    <m/>
    <m/>
    <m/>
    <m/>
    <m/>
    <m/>
    <m/>
    <m/>
    <m/>
    <m/>
    <m/>
    <m/>
    <m/>
    <m/>
  </r>
  <r>
    <n v="55"/>
    <x v="54"/>
    <s v="Dhaka"/>
    <s v="Shariatpur"/>
    <s v="Gosairhat"/>
    <s v="Government"/>
    <s v="Pre-Planning Stage"/>
    <s v="N/A"/>
    <x v="0"/>
    <s v="Yes"/>
    <m/>
    <s v="Yes"/>
    <n v="2022"/>
    <s v="Yes"/>
    <n v="2015"/>
    <m/>
    <m/>
    <m/>
    <m/>
    <m/>
    <m/>
    <m/>
    <m/>
    <s v="No"/>
    <s v="N/A"/>
    <s v="N/A"/>
    <m/>
    <s v="Site Visit Report"/>
    <n v="750"/>
    <n v="686"/>
    <n v="525.27"/>
    <s v="-"/>
    <s v="-"/>
    <s v="N/A"/>
    <s v="N/A"/>
    <s v="N/A"/>
    <n v="0.14460444861893945"/>
    <s v="Yes"/>
    <m/>
    <s v="686 acres"/>
    <n v="686"/>
    <s v="Land acquisition ongoing"/>
    <x v="2"/>
    <m/>
    <m/>
    <m/>
    <m/>
    <m/>
    <m/>
    <m/>
    <m/>
    <m/>
    <m/>
    <s v="-"/>
    <s v="-"/>
    <s v="-"/>
    <s v="-"/>
    <s v="-"/>
    <s v="-"/>
    <s v="-"/>
    <s v="-"/>
    <s v="-"/>
    <m/>
    <m/>
    <m/>
    <m/>
    <m/>
    <m/>
    <m/>
    <m/>
    <m/>
    <m/>
    <m/>
    <m/>
    <m/>
    <m/>
    <m/>
    <m/>
  </r>
  <r>
    <n v="56"/>
    <x v="55"/>
    <s v="Dhaka"/>
    <s v="Shariatpur"/>
    <s v="Jajira"/>
    <s v="Government"/>
    <s v="Planning Stage"/>
    <s v="N/A"/>
    <x v="0"/>
    <s v="Yes"/>
    <m/>
    <m/>
    <m/>
    <m/>
    <m/>
    <s v="Yes"/>
    <n v="2019"/>
    <m/>
    <m/>
    <m/>
    <m/>
    <m/>
    <m/>
    <s v="Yes"/>
    <s v="N/A"/>
    <s v="N/A"/>
    <m/>
    <s v="Feasibility or Pre feasibility"/>
    <n v="525.26499999999999"/>
    <s v="-"/>
    <m/>
    <n v="532.14"/>
    <s v="-"/>
    <s v="N/A"/>
    <s v="N/A"/>
    <s v="N/A"/>
    <n v="6.5017661161049928E-3"/>
    <s v="No"/>
    <m/>
    <m/>
    <n v="532.14"/>
    <s v="Land acquisition ongoing"/>
    <x v="2"/>
    <m/>
    <n v="1"/>
    <n v="349.13"/>
    <m/>
    <n v="76.7"/>
    <n v="17.739999999999998"/>
    <n v="21.54"/>
    <n v="52.96"/>
    <n v="11.539999999999964"/>
    <n v="529.61"/>
    <s v="Food and Beverage"/>
    <s v="Chemicals"/>
    <s v="Pharmaceuticals"/>
    <s v="Light Machinery, Equipment and Furniture"/>
    <s v="-"/>
    <s v="-"/>
    <s v="-"/>
    <s v="-"/>
    <s v="-"/>
    <m/>
    <m/>
    <s v="80km from Hazrat Shahjalal International Airport"/>
    <s v="65km from Kamlapur Railway Station"/>
    <s v="185km from Mongla Port"/>
    <m/>
    <n v="59.27"/>
    <n v="18500"/>
    <m/>
    <n v="12790"/>
    <m/>
    <m/>
    <m/>
    <m/>
    <m/>
    <m/>
  </r>
  <r>
    <n v="57"/>
    <x v="56"/>
    <s v="Mymensingh"/>
    <s v="Sherpur"/>
    <s v="Sherpur Sadar"/>
    <s v="Government"/>
    <s v="Planning Stage"/>
    <s v="N/A"/>
    <x v="0"/>
    <s v="Yes"/>
    <m/>
    <m/>
    <m/>
    <m/>
    <m/>
    <m/>
    <m/>
    <m/>
    <m/>
    <s v="Yes"/>
    <n v="2014"/>
    <m/>
    <m/>
    <s v="Yes"/>
    <s v="N/A"/>
    <s v="N/A"/>
    <m/>
    <s v="Feasibility or Pre feasibility"/>
    <n v="361.08"/>
    <s v="-"/>
    <m/>
    <s v="-"/>
    <n v="353.53"/>
    <s v="N/A"/>
    <s v="N/A"/>
    <s v="N/A"/>
    <n v="1.056520339765748E-2"/>
    <s v="No"/>
    <s v="Check againsts Jamalpur"/>
    <m/>
    <n v="353.53"/>
    <s v="Land not available"/>
    <x v="0"/>
    <m/>
    <n v="2.4700000000000002"/>
    <n v="211.68"/>
    <m/>
    <n v="38.79"/>
    <n v="43.76"/>
    <n v="11.02"/>
    <n v="10.94"/>
    <n v="37.339999999999975"/>
    <n v="353.53"/>
    <s v="Integrated Textiles"/>
    <s v="Ceramics"/>
    <s v="Food processing"/>
    <s v="Machinery"/>
    <s v="Pharmaceuticals"/>
    <s v="ICT BPO"/>
    <s v="Leather Goods"/>
    <s v="Paint and Chemical"/>
    <s v="-"/>
    <m/>
    <m/>
    <s v="55 km from Osmani Airport"/>
    <s v="35 km from sylhet railway station_x000a_43 km from Sreemangal railway station"/>
    <s v="435 km from Chittagong port"/>
    <m/>
    <n v="33.04"/>
    <n v="59011"/>
    <n v="655312"/>
    <m/>
    <m/>
    <m/>
    <m/>
    <m/>
    <m/>
    <m/>
  </r>
  <r>
    <n v="58"/>
    <x v="57"/>
    <s v="Sylhet"/>
    <s v="Moulvibazar"/>
    <s v="Moulvibazar Sadar"/>
    <s v="Government"/>
    <s v="Under Development"/>
    <s v="N/A"/>
    <x v="1"/>
    <s v="Yes"/>
    <s v="Link"/>
    <m/>
    <m/>
    <m/>
    <m/>
    <m/>
    <m/>
    <m/>
    <m/>
    <m/>
    <m/>
    <m/>
    <m/>
    <s v="Yes"/>
    <s v="N/A"/>
    <s v="N/A"/>
    <m/>
    <m/>
    <n v="352"/>
    <s v="-"/>
    <m/>
    <s v="-"/>
    <s v="-"/>
    <s v="N/A"/>
    <s v="N/A"/>
    <s v="N/A"/>
    <n v="0"/>
    <s v="No"/>
    <s v="Is feasibility report available?"/>
    <s v="Feasibliity available"/>
    <n v="352"/>
    <s v="Under Construction"/>
    <x v="1"/>
    <m/>
    <m/>
    <m/>
    <m/>
    <m/>
    <m/>
    <m/>
    <m/>
    <m/>
    <m/>
    <s v="-"/>
    <s v="-"/>
    <s v="-"/>
    <s v="-"/>
    <s v="-"/>
    <s v="-"/>
    <s v="-"/>
    <s v="-"/>
    <s v="-"/>
    <m/>
    <m/>
    <m/>
    <m/>
    <m/>
    <m/>
    <m/>
    <m/>
    <m/>
    <m/>
    <m/>
    <m/>
    <m/>
    <m/>
    <m/>
    <m/>
  </r>
  <r>
    <n v="59"/>
    <x v="58"/>
    <s v="Dhaka"/>
    <s v="Gazipur"/>
    <s v="Shreepur"/>
    <s v="Government"/>
    <s v="In-Principle Approval"/>
    <s v="N/A"/>
    <x v="0"/>
    <s v="Yes"/>
    <m/>
    <m/>
    <m/>
    <m/>
    <m/>
    <m/>
    <m/>
    <m/>
    <m/>
    <m/>
    <m/>
    <m/>
    <m/>
    <s v="No"/>
    <s v="N/A"/>
    <s v="N/A"/>
    <m/>
    <m/>
    <n v="510"/>
    <s v="-"/>
    <m/>
    <s v="-"/>
    <s v="-"/>
    <s v="N/A"/>
    <s v="N/A"/>
    <s v="N/A"/>
    <n v="0"/>
    <s v="No"/>
    <m/>
    <m/>
    <n v="510"/>
    <s v="Land is privately owned."/>
    <x v="0"/>
    <m/>
    <m/>
    <m/>
    <m/>
    <m/>
    <m/>
    <m/>
    <m/>
    <m/>
    <m/>
    <s v="-"/>
    <s v="-"/>
    <s v="-"/>
    <s v="-"/>
    <s v="-"/>
    <s v="-"/>
    <s v="-"/>
    <s v="-"/>
    <s v="-"/>
    <m/>
    <m/>
    <m/>
    <m/>
    <m/>
    <m/>
    <m/>
    <m/>
    <m/>
    <m/>
    <m/>
    <m/>
    <m/>
    <m/>
    <m/>
    <m/>
  </r>
  <r>
    <n v="60"/>
    <x v="59"/>
    <s v="Chattogram"/>
    <s v="Chattogram"/>
    <s v="Sitakundo"/>
    <s v="Government"/>
    <s v="Planning Stage"/>
    <s v="N/A"/>
    <x v="1"/>
    <s v="Yes"/>
    <m/>
    <m/>
    <m/>
    <m/>
    <m/>
    <s v="Yes"/>
    <n v="2021"/>
    <m/>
    <m/>
    <m/>
    <m/>
    <m/>
    <m/>
    <s v="Yes"/>
    <s v="N/A"/>
    <s v="N/A"/>
    <m/>
    <s v="Feasibility or Pre feasibility + Site Visit Report for BSMSN"/>
    <m/>
    <s v="-"/>
    <m/>
    <n v="2368.5700000000002"/>
    <s v="-"/>
    <s v="N/A"/>
    <s v="N/A"/>
    <s v="N/A"/>
    <n v="0"/>
    <s v="No"/>
    <m/>
    <m/>
    <n v="2368.5700000000002"/>
    <s v="Land settlement ongoing"/>
    <x v="2"/>
    <m/>
    <m/>
    <m/>
    <m/>
    <m/>
    <m/>
    <m/>
    <m/>
    <m/>
    <n v="2368.5700000000002"/>
    <s v="Chemicals"/>
    <s v="Non-Metallic mineral products"/>
    <s v="Automobile Parts and Assembly"/>
    <s v="Heavy Machinery, Iron &amp; Steel and metals"/>
    <s v="Petroleum and petroleum products"/>
    <s v="-"/>
    <s v="-"/>
    <s v="-"/>
    <s v="-"/>
    <m/>
    <m/>
    <s v="51 km from Shah Amanat International Airport "/>
    <s v="19 km from rail head at Sitakundo"/>
    <s v="51km from Chittagong sea port"/>
    <s v=" 113 km from Bibirbazar land port"/>
    <n v="207.3"/>
    <n v="72000"/>
    <m/>
    <n v="32000"/>
    <m/>
    <m/>
    <m/>
    <m/>
    <m/>
    <m/>
  </r>
  <r>
    <n v="61"/>
    <x v="60"/>
    <s v="Sylhet"/>
    <s v="Sunamganj"/>
    <s v=" Chhatak"/>
    <s v="Government"/>
    <s v="In-Principle Approval"/>
    <s v="N/A"/>
    <x v="0"/>
    <s v="Yes"/>
    <m/>
    <m/>
    <m/>
    <m/>
    <m/>
    <m/>
    <m/>
    <m/>
    <m/>
    <m/>
    <m/>
    <m/>
    <m/>
    <s v="No"/>
    <s v="N/A"/>
    <s v="N/A"/>
    <m/>
    <m/>
    <m/>
    <s v="-"/>
    <m/>
    <s v="-"/>
    <s v="-"/>
    <s v="N/A"/>
    <s v="N/A"/>
    <s v="N/A"/>
    <s v=""/>
    <s v="Area Not Found"/>
    <s v="Area Not Found"/>
    <s v="2925.2 acres"/>
    <n v="2925.2"/>
    <s v="Land under litigation."/>
    <x v="0"/>
    <m/>
    <m/>
    <m/>
    <m/>
    <m/>
    <m/>
    <m/>
    <m/>
    <m/>
    <m/>
    <s v="-"/>
    <s v="-"/>
    <s v="-"/>
    <s v="-"/>
    <s v="-"/>
    <s v="-"/>
    <s v="-"/>
    <s v="-"/>
    <s v="-"/>
    <m/>
    <m/>
    <m/>
    <m/>
    <m/>
    <m/>
    <m/>
    <m/>
    <m/>
    <m/>
    <m/>
    <m/>
    <m/>
    <m/>
    <m/>
    <m/>
  </r>
  <r>
    <n v="62"/>
    <x v="61"/>
    <s v="Khulna"/>
    <s v="Bagerhat"/>
    <s v="Sharankhola"/>
    <s v="Government"/>
    <s v="In-Principle Approval"/>
    <s v="N/A"/>
    <x v="0"/>
    <s v="Yes"/>
    <m/>
    <m/>
    <m/>
    <m/>
    <m/>
    <m/>
    <m/>
    <m/>
    <m/>
    <m/>
    <m/>
    <m/>
    <m/>
    <s v="No"/>
    <s v="N/A"/>
    <s v="N/A"/>
    <m/>
    <m/>
    <n v="1546.35"/>
    <s v="-"/>
    <m/>
    <s v="-"/>
    <s v="-"/>
    <s v="N/A"/>
    <s v="N/A"/>
    <s v="N/A"/>
    <n v="0"/>
    <s v="No"/>
    <m/>
    <m/>
    <n v="1546.3"/>
    <s v="Land not available"/>
    <x v="0"/>
    <m/>
    <m/>
    <m/>
    <m/>
    <m/>
    <m/>
    <m/>
    <m/>
    <m/>
    <m/>
    <s v="-"/>
    <s v="-"/>
    <s v="-"/>
    <s v="-"/>
    <s v="-"/>
    <s v="-"/>
    <s v="-"/>
    <s v="-"/>
    <s v="-"/>
    <m/>
    <m/>
    <m/>
    <m/>
    <m/>
    <m/>
    <m/>
    <m/>
    <m/>
    <m/>
    <m/>
    <m/>
    <m/>
    <m/>
    <m/>
    <m/>
  </r>
  <r>
    <n v="63"/>
    <x v="62"/>
    <s v="Sylhet"/>
    <s v="Sylhet"/>
    <s v="Gowainghat"/>
    <s v="Government"/>
    <s v="Planning Stage"/>
    <s v="N/A"/>
    <x v="2"/>
    <s v="Yes"/>
    <m/>
    <m/>
    <m/>
    <m/>
    <m/>
    <s v="Yes"/>
    <n v="2021"/>
    <m/>
    <m/>
    <m/>
    <m/>
    <m/>
    <m/>
    <s v="Yes"/>
    <s v="N/A"/>
    <s v="N/A"/>
    <m/>
    <s v="Feasibility or Pre feasibility"/>
    <n v="255.83"/>
    <s v="-"/>
    <m/>
    <n v="255.83"/>
    <s v="-"/>
    <s v="N/A"/>
    <s v="N/A"/>
    <s v="N/A"/>
    <n v="0"/>
    <s v="No"/>
    <m/>
    <m/>
    <n v="255.83"/>
    <s v="DPP preparation ongoing"/>
    <x v="2"/>
    <m/>
    <n v="1"/>
    <n v="176.93"/>
    <m/>
    <n v="38.61"/>
    <n v="10.220000000000001"/>
    <m/>
    <n v="26.08"/>
    <n v="3.99"/>
    <n v="255.83000000000004"/>
    <s v="Textiles and RMG"/>
    <s v="Food and Beverage"/>
    <s v="Agro based"/>
    <s v="Electrical and Electronics"/>
    <s v="Light Machinery, Equipment and Furniture"/>
    <s v="-"/>
    <s v="-"/>
    <s v="-"/>
    <s v="-"/>
    <m/>
    <m/>
    <s v="52 km from the Osmani International Airport"/>
    <s v="~52 km from the Sylhet railway station"/>
    <s v="427km from Chittagong Seaport"/>
    <s v="approx. 2km from Tamabil land port"/>
    <n v="30"/>
    <n v="11000"/>
    <n v="12128"/>
    <n v="3000"/>
    <m/>
    <m/>
    <m/>
    <m/>
    <m/>
    <m/>
  </r>
  <r>
    <n v="64"/>
    <x v="63"/>
    <s v="Dhaka"/>
    <s v="Tangail"/>
    <s v="Bhuapur"/>
    <s v="Government"/>
    <s v="Planning Stage"/>
    <s v="N/A"/>
    <x v="2"/>
    <s v="Yes"/>
    <m/>
    <s v="Yes"/>
    <n v="2020"/>
    <m/>
    <m/>
    <s v="Yes"/>
    <n v="2021"/>
    <m/>
    <m/>
    <m/>
    <m/>
    <m/>
    <m/>
    <s v="Yes"/>
    <s v="N/A"/>
    <s v="N/A"/>
    <m/>
    <s v="Feasibility or Pre feasibility + Site Visit Report"/>
    <m/>
    <n v="502.02"/>
    <m/>
    <n v="1761.85"/>
    <s v="-"/>
    <s v="N/A"/>
    <s v="N/A"/>
    <s v="N/A"/>
    <n v="0.55649396829323239"/>
    <s v="Yes"/>
    <m/>
    <s v="1764.89 acres"/>
    <n v="1764.89"/>
    <s v="River erosion and land not available"/>
    <x v="3"/>
    <m/>
    <m/>
    <n v="1277.5999999999999"/>
    <m/>
    <n v="183.85"/>
    <n v="98.43"/>
    <n v="22.82"/>
    <n v="176.19"/>
    <n v="2.97"/>
    <n v="1761.85"/>
    <s v="Textiles and RMG"/>
    <s v="Food and Beverage"/>
    <s v="Agro based"/>
    <s v="Plastic and Rubber"/>
    <s v="Paper and packaging"/>
    <s v="Chemicals"/>
    <s v="Non-Metallic mineral products"/>
    <s v="Electrical and Electronics"/>
    <s v="Light Machinery, Equipment and Furniture"/>
    <m/>
    <m/>
    <s v="109 km from Hazrat ShahJalal Intl Airport"/>
    <s v="3km from Bangabandhu Setu East railway station"/>
    <s v="339 km from Mongla Sea Port/65km from Baghabari river port"/>
    <s v="approx 211km from Akhaura Land port"/>
    <n v="217"/>
    <n v="62000"/>
    <n v="87000"/>
    <n v="3027.31"/>
    <m/>
    <m/>
    <m/>
    <m/>
    <m/>
    <m/>
  </r>
  <r>
    <n v="65"/>
    <x v="64"/>
    <s v="Chattogram"/>
    <s v="Chattogram"/>
    <s v="Anowara"/>
    <s v="Government"/>
    <s v="Under Development"/>
    <s v="N/A"/>
    <x v="1"/>
    <s v="Yes"/>
    <s v="Link"/>
    <m/>
    <m/>
    <m/>
    <m/>
    <m/>
    <m/>
    <m/>
    <m/>
    <s v="Yes"/>
    <n v="2014"/>
    <m/>
    <m/>
    <s v="Yes"/>
    <s v="N/A"/>
    <s v="N/A"/>
    <m/>
    <s v="Feasibility or Pre feasibility"/>
    <n v="503.7"/>
    <s v="-"/>
    <m/>
    <s v="-"/>
    <n v="1389.5"/>
    <s v="N/A"/>
    <s v="N/A"/>
    <s v="N/A"/>
    <n v="0.46788506232833288"/>
    <s v="Yes"/>
    <s v="Report is from 2014_x000a_Utility demands are projected data for 2022"/>
    <s v="634.90. Not G2G. Heavy industry."/>
    <n v="634.9"/>
    <s v="Sea shore erosion."/>
    <x v="0"/>
    <m/>
    <n v="2.4700000000000002"/>
    <n v="895.56"/>
    <m/>
    <n v="75.37"/>
    <n v="189.57"/>
    <n v="18.77"/>
    <n v="44.67"/>
    <n v="165.56"/>
    <n v="1389.5"/>
    <s v="Shipbuilding"/>
    <s v="Shipbuilding components"/>
    <s v="Steel Mills/Steel Products"/>
    <s v="Automobile Parts and Assembly"/>
    <s v="Leather Goods"/>
    <s v="Pharmaceuticals"/>
    <s v="-"/>
    <s v="-"/>
    <s v="-"/>
    <m/>
    <m/>
    <s v="46km from Chittagong airport"/>
    <s v="32km from Chittagong railway station"/>
    <s v="39km from Chittagong port_x000a_12km from Chittagong port by sea route"/>
    <m/>
    <n v="98.75"/>
    <n v="36731.339999999997"/>
    <m/>
    <m/>
    <m/>
    <m/>
    <m/>
    <s v="Medium-Term"/>
    <m/>
    <m/>
  </r>
  <r>
    <n v="66"/>
    <x v="65"/>
    <s v="Dhaka"/>
    <s v="Narayanganj"/>
    <s v="Araihazar"/>
    <s v="G2G"/>
    <s v="Under Development"/>
    <s v="N/A"/>
    <x v="1"/>
    <s v="Yes"/>
    <s v="Link"/>
    <m/>
    <m/>
    <m/>
    <m/>
    <s v="Yes"/>
    <n v="2021"/>
    <m/>
    <m/>
    <m/>
    <m/>
    <m/>
    <m/>
    <s v="Yes"/>
    <s v="N/A"/>
    <s v="N/A"/>
    <m/>
    <s v="Feasibility or Pre feasibility"/>
    <n v="400"/>
    <s v="-"/>
    <m/>
    <n v="413"/>
    <s v="-"/>
    <s v="N/A"/>
    <s v="N/A"/>
    <s v="N/A"/>
    <n v="1.5990159901599015E-2"/>
    <s v="No"/>
    <m/>
    <m/>
    <n v="413"/>
    <s v="Under Construction"/>
    <x v="1"/>
    <m/>
    <n v="1"/>
    <n v="276.16000000000003"/>
    <m/>
    <n v="54.44"/>
    <n v="19.3"/>
    <n v="12.84"/>
    <n v="50.26"/>
    <m/>
    <n v="413"/>
    <s v="Food and Beverage"/>
    <s v="Leather Goods"/>
    <s v="Chemicals"/>
    <s v="Non-Metallic mineral products"/>
    <s v="Heavy Machinery, Iron &amp; Steel and metals"/>
    <s v="Paper and packaging"/>
    <s v="Pharmaceuticals"/>
    <s v="Light Machinery, Equipment and Furniture"/>
    <s v="-"/>
    <m/>
    <m/>
    <s v="64km from Hazrat Shahjalal International Airport"/>
    <s v="51km from Dhaka Railway Station"/>
    <s v="258km from Chittagong Port"/>
    <s v="116km from Akhaura Land Port"/>
    <n v="48"/>
    <n v="5000"/>
    <n v="18900"/>
    <n v="4735.03"/>
    <m/>
    <m/>
    <m/>
    <m/>
    <m/>
    <m/>
  </r>
  <r>
    <n v="67"/>
    <x v="66"/>
    <s v="Khulna"/>
    <s v="Kushtia"/>
    <s v="Bheramara"/>
    <s v="G2G"/>
    <s v="Pre-Planning Stage"/>
    <s v="N/A"/>
    <x v="2"/>
    <s v="Yes"/>
    <s v="Link"/>
    <s v="Yes"/>
    <n v="2022"/>
    <s v="Yes"/>
    <n v="2015"/>
    <m/>
    <m/>
    <m/>
    <m/>
    <m/>
    <m/>
    <m/>
    <m/>
    <s v="Yes"/>
    <s v="N/A"/>
    <s v="N/A"/>
    <m/>
    <s v="Site Visit Report"/>
    <n v="506.77"/>
    <n v="200"/>
    <n v="506.77"/>
    <s v="-"/>
    <s v="-"/>
    <s v="N/A"/>
    <s v="N/A"/>
    <s v="N/A"/>
    <n v="0.35749814141206238"/>
    <s v="Yes"/>
    <s v="Does this have a feasibility study?"/>
    <s v="382.07 acres. Feasibility available. Take feasibility study."/>
    <n v="382.07"/>
    <s v="DPP planning stage"/>
    <x v="2"/>
    <m/>
    <m/>
    <m/>
    <m/>
    <m/>
    <m/>
    <m/>
    <m/>
    <m/>
    <m/>
    <s v="-"/>
    <s v="-"/>
    <s v="-"/>
    <s v="-"/>
    <s v="-"/>
    <s v="-"/>
    <s v="-"/>
    <s v="-"/>
    <s v="-"/>
    <m/>
    <m/>
    <m/>
    <m/>
    <m/>
    <m/>
    <m/>
    <m/>
    <m/>
    <m/>
    <m/>
    <m/>
    <m/>
    <m/>
    <m/>
    <m/>
  </r>
  <r>
    <n v="68"/>
    <x v="67"/>
    <s v="Khulna"/>
    <s v="Bagerhat"/>
    <s v="Mongla"/>
    <s v="G2G"/>
    <s v="Under Development"/>
    <s v="N/A"/>
    <x v="1"/>
    <s v="Yes"/>
    <s v="Link"/>
    <m/>
    <m/>
    <m/>
    <m/>
    <m/>
    <m/>
    <m/>
    <m/>
    <m/>
    <m/>
    <m/>
    <m/>
    <s v="No"/>
    <s v="N/A"/>
    <s v="N/A"/>
    <m/>
    <m/>
    <n v="110.15"/>
    <s v="-"/>
    <m/>
    <s v="-"/>
    <s v="-"/>
    <s v="N/A"/>
    <s v="N/A"/>
    <s v="N/A"/>
    <n v="0"/>
    <s v="No"/>
    <s v="Is feasibility report available?"/>
    <s v="No feasibility"/>
    <n v="110.2"/>
    <s v="Negotiation ongoing"/>
    <x v="2"/>
    <m/>
    <m/>
    <m/>
    <m/>
    <m/>
    <m/>
    <m/>
    <m/>
    <m/>
    <m/>
    <s v="-"/>
    <s v="-"/>
    <s v="-"/>
    <s v="-"/>
    <s v="-"/>
    <s v="-"/>
    <s v="-"/>
    <s v="-"/>
    <s v="-"/>
    <m/>
    <m/>
    <m/>
    <m/>
    <m/>
    <m/>
    <m/>
    <m/>
    <m/>
    <m/>
    <m/>
    <m/>
    <m/>
    <m/>
    <m/>
    <m/>
  </r>
  <r>
    <n v="69"/>
    <x v="68"/>
    <s v="Dhaka"/>
    <s v="Munshiganj"/>
    <s v="Gajaria"/>
    <s v="Private"/>
    <s v="In-Principle Approval"/>
    <s v="In-Principal Approval"/>
    <x v="4"/>
    <s v="Yes"/>
    <m/>
    <m/>
    <m/>
    <m/>
    <m/>
    <m/>
    <m/>
    <m/>
    <m/>
    <m/>
    <m/>
    <m/>
    <m/>
    <s v="No"/>
    <m/>
    <m/>
    <m/>
    <m/>
    <m/>
    <s v="-"/>
    <m/>
    <s v="-"/>
    <s v="-"/>
    <s v="-"/>
    <s v="-"/>
    <n v="500"/>
    <n v="0"/>
    <s v="No"/>
    <s v="Is this project still active?"/>
    <s v="Ignore for now"/>
    <n v="500"/>
    <s v="Land not available"/>
    <x v="0"/>
    <m/>
    <m/>
    <m/>
    <m/>
    <m/>
    <m/>
    <m/>
    <m/>
    <m/>
    <m/>
    <s v="Textile &amp; RMG"/>
    <s v="-"/>
    <s v="-"/>
    <s v="-"/>
    <s v="-"/>
    <s v="-"/>
    <s v="-"/>
    <s v="-"/>
    <s v="-"/>
    <m/>
    <m/>
    <m/>
    <m/>
    <m/>
    <m/>
    <m/>
    <m/>
    <m/>
    <m/>
    <m/>
    <m/>
    <m/>
    <m/>
    <m/>
    <m/>
  </r>
  <r>
    <n v="70"/>
    <x v="69"/>
    <s v="Dhaka"/>
    <s v="Narshingdi"/>
    <s v="Palash"/>
    <s v="Private"/>
    <s v="Under Development"/>
    <s v="Pre-Qualification License"/>
    <x v="4"/>
    <s v="Yes"/>
    <s v="Link"/>
    <m/>
    <m/>
    <m/>
    <m/>
    <m/>
    <m/>
    <m/>
    <m/>
    <m/>
    <m/>
    <m/>
    <m/>
    <s v="No"/>
    <m/>
    <m/>
    <m/>
    <m/>
    <m/>
    <s v="-"/>
    <m/>
    <s v="-"/>
    <s v="-"/>
    <s v="-"/>
    <s v="-"/>
    <n v="200"/>
    <n v="0"/>
    <s v="No"/>
    <m/>
    <m/>
    <n v="200"/>
    <s v="Licensing process ongoing"/>
    <x v="2"/>
    <m/>
    <m/>
    <m/>
    <m/>
    <m/>
    <m/>
    <m/>
    <m/>
    <m/>
    <m/>
    <s v="Electronics"/>
    <s v="Pharmaceuticals"/>
    <s v="Agro-processing"/>
    <s v="Chemicals"/>
    <s v="Plastic"/>
    <s v="IT"/>
    <s v="-"/>
    <s v="-"/>
    <s v="-"/>
    <m/>
    <m/>
    <m/>
    <m/>
    <m/>
    <m/>
    <m/>
    <m/>
    <m/>
    <m/>
    <m/>
    <m/>
    <m/>
    <m/>
    <m/>
    <m/>
  </r>
  <r>
    <n v="71"/>
    <x v="70"/>
    <s v="Dhaka"/>
    <s v="Munshiganj"/>
    <s v="Gajaria"/>
    <s v="Private"/>
    <s v="Under Development"/>
    <s v="License Awarded"/>
    <x v="4"/>
    <s v="Yes"/>
    <s v="Link"/>
    <m/>
    <m/>
    <m/>
    <m/>
    <m/>
    <m/>
    <m/>
    <m/>
    <m/>
    <m/>
    <m/>
    <m/>
    <s v="No"/>
    <s v="Yes"/>
    <s v="Yes"/>
    <m/>
    <m/>
    <m/>
    <s v="-"/>
    <m/>
    <s v="-"/>
    <s v="-"/>
    <n v="189.94"/>
    <n v="216"/>
    <n v="500"/>
    <n v="0.46501384838645105"/>
    <s v="Yes"/>
    <m/>
    <s v="197.01 acres"/>
    <n v="197.01"/>
    <s v="Operational"/>
    <x v="1"/>
    <m/>
    <m/>
    <m/>
    <m/>
    <m/>
    <m/>
    <m/>
    <m/>
    <m/>
    <m/>
    <s v="Automobiles"/>
    <s v="Chemicals"/>
    <s v="Agro-processing"/>
    <s v="-"/>
    <s v="-"/>
    <s v="-"/>
    <s v="-"/>
    <s v="-"/>
    <s v="-"/>
    <m/>
    <m/>
    <m/>
    <m/>
    <m/>
    <m/>
    <m/>
    <m/>
    <m/>
    <m/>
    <m/>
    <m/>
    <m/>
    <m/>
    <m/>
    <m/>
  </r>
  <r>
    <n v="72"/>
    <x v="71"/>
    <s v="Dhaka"/>
    <s v="Munshiganj"/>
    <s v="Gajaria"/>
    <s v="Private"/>
    <s v="In-Principle Approval"/>
    <s v="In-Principal Approval"/>
    <x v="4"/>
    <s v="Yes"/>
    <m/>
    <m/>
    <m/>
    <m/>
    <m/>
    <m/>
    <m/>
    <m/>
    <m/>
    <m/>
    <m/>
    <m/>
    <m/>
    <s v="No"/>
    <m/>
    <m/>
    <m/>
    <m/>
    <m/>
    <s v="-"/>
    <m/>
    <s v="-"/>
    <s v="-"/>
    <s v="-"/>
    <s v="-"/>
    <s v="-"/>
    <s v=""/>
    <s v="Area Not Found"/>
    <s v="Area Not Found"/>
    <s v="170.49 acres"/>
    <n v="170.49"/>
    <s v="Land not available"/>
    <x v="0"/>
    <m/>
    <m/>
    <m/>
    <m/>
    <m/>
    <m/>
    <m/>
    <m/>
    <m/>
    <m/>
    <s v="-"/>
    <s v="-"/>
    <s v="-"/>
    <s v="-"/>
    <s v="-"/>
    <s v="-"/>
    <s v="-"/>
    <s v="-"/>
    <s v="-"/>
    <m/>
    <m/>
    <m/>
    <m/>
    <m/>
    <m/>
    <m/>
    <m/>
    <m/>
    <m/>
    <m/>
    <m/>
    <m/>
    <m/>
    <m/>
    <m/>
  </r>
  <r>
    <n v="73"/>
    <x v="72"/>
    <s v="Mymensingh"/>
    <s v="Mymensingh"/>
    <s v="Trishal"/>
    <s v="Private"/>
    <s v="Under Development"/>
    <s v="Pre-Qualification License"/>
    <x v="4"/>
    <s v="Yes"/>
    <m/>
    <m/>
    <m/>
    <m/>
    <m/>
    <m/>
    <m/>
    <m/>
    <m/>
    <m/>
    <m/>
    <m/>
    <m/>
    <s v="No"/>
    <m/>
    <m/>
    <m/>
    <m/>
    <m/>
    <s v="-"/>
    <m/>
    <s v="-"/>
    <s v="-"/>
    <s v="-"/>
    <s v="-"/>
    <n v="110"/>
    <n v="0"/>
    <s v="No"/>
    <m/>
    <m/>
    <n v="110"/>
    <s v="Land not available"/>
    <x v="0"/>
    <m/>
    <m/>
    <m/>
    <m/>
    <m/>
    <m/>
    <m/>
    <m/>
    <m/>
    <m/>
    <s v="Chemicals"/>
    <s v="-"/>
    <s v="-"/>
    <s v="-"/>
    <s v="-"/>
    <s v="-"/>
    <s v="-"/>
    <s v="-"/>
    <s v="-"/>
    <m/>
    <m/>
    <m/>
    <m/>
    <m/>
    <m/>
    <m/>
    <m/>
    <m/>
    <m/>
    <m/>
    <m/>
    <m/>
    <m/>
    <m/>
    <m/>
  </r>
  <r>
    <n v="74"/>
    <x v="73"/>
    <s v="Chattogram"/>
    <s v="Cumilla"/>
    <s v="Daudkandi"/>
    <s v="Private"/>
    <s v="In-Principle Approval"/>
    <s v="In-Principal Approval"/>
    <x v="4"/>
    <s v="Yes"/>
    <m/>
    <m/>
    <m/>
    <m/>
    <m/>
    <m/>
    <m/>
    <m/>
    <m/>
    <m/>
    <m/>
    <m/>
    <m/>
    <s v="No"/>
    <m/>
    <m/>
    <m/>
    <m/>
    <m/>
    <s v="-"/>
    <m/>
    <s v="-"/>
    <s v="-"/>
    <s v="-"/>
    <s v="-"/>
    <s v="-"/>
    <s v=""/>
    <s v="Area Not Found"/>
    <s v="Area Not Found"/>
    <s v="100 acres"/>
    <n v="100"/>
    <s v="Land not available"/>
    <x v="0"/>
    <m/>
    <m/>
    <m/>
    <m/>
    <m/>
    <m/>
    <m/>
    <m/>
    <m/>
    <m/>
    <s v="-"/>
    <s v="-"/>
    <s v="-"/>
    <s v="-"/>
    <s v="-"/>
    <s v="-"/>
    <s v="-"/>
    <s v="-"/>
    <s v="-"/>
    <m/>
    <m/>
    <m/>
    <m/>
    <m/>
    <m/>
    <m/>
    <m/>
    <m/>
    <m/>
    <m/>
    <m/>
    <m/>
    <m/>
    <m/>
    <m/>
  </r>
  <r>
    <n v="75"/>
    <x v="74"/>
    <s v="Dhaka"/>
    <s v="Narayanganj"/>
    <s v="Sonargaon"/>
    <s v="Private"/>
    <s v="Under Development"/>
    <s v="License Awarded"/>
    <x v="4"/>
    <s v="Yes"/>
    <s v="Link"/>
    <m/>
    <m/>
    <m/>
    <m/>
    <m/>
    <m/>
    <m/>
    <m/>
    <m/>
    <m/>
    <m/>
    <m/>
    <s v="No"/>
    <s v="Yes"/>
    <s v="Yes"/>
    <m/>
    <m/>
    <m/>
    <s v="-"/>
    <m/>
    <s v="-"/>
    <s v="-"/>
    <n v="83.139399999999995"/>
    <n v="150"/>
    <n v="150"/>
    <n v="0.2467905083852053"/>
    <s v="Yes"/>
    <m/>
    <s v="150 acres"/>
    <n v="150"/>
    <s v="Operational"/>
    <x v="1"/>
    <m/>
    <m/>
    <m/>
    <m/>
    <m/>
    <m/>
    <m/>
    <m/>
    <m/>
    <m/>
    <s v="Construction Materials"/>
    <s v="Packaging"/>
    <s v="Agro-processing"/>
    <s v="Power"/>
    <s v="Petro Chemicals"/>
    <s v="Textiles"/>
    <s v="Light Engineering"/>
    <s v="Ship Building"/>
    <s v="IT"/>
    <m/>
    <m/>
    <m/>
    <m/>
    <m/>
    <m/>
    <m/>
    <m/>
    <m/>
    <m/>
    <m/>
    <m/>
    <m/>
    <m/>
    <m/>
    <m/>
  </r>
  <r>
    <n v="76"/>
    <x v="75"/>
    <s v="Dhaka"/>
    <s v="Munshiganj"/>
    <s v="Gajaria"/>
    <s v="Private"/>
    <s v="In-Principle Approval"/>
    <s v="In-Principal Approval"/>
    <x v="4"/>
    <s v="Yes"/>
    <m/>
    <m/>
    <m/>
    <m/>
    <m/>
    <m/>
    <m/>
    <m/>
    <m/>
    <m/>
    <m/>
    <m/>
    <m/>
    <s v="No"/>
    <m/>
    <m/>
    <m/>
    <m/>
    <m/>
    <s v="-"/>
    <m/>
    <s v="-"/>
    <s v="-"/>
    <s v="-"/>
    <s v="-"/>
    <s v="-"/>
    <s v=""/>
    <s v="Area Not Found"/>
    <s v="Area Not Found"/>
    <s v="110 acres"/>
    <n v="110"/>
    <s v="Licensing process ongoing"/>
    <x v="2"/>
    <m/>
    <m/>
    <m/>
    <m/>
    <m/>
    <m/>
    <m/>
    <m/>
    <m/>
    <m/>
    <s v="-"/>
    <s v="-"/>
    <s v="-"/>
    <s v="-"/>
    <s v="-"/>
    <s v="-"/>
    <s v="-"/>
    <s v="-"/>
    <s v="-"/>
    <m/>
    <m/>
    <m/>
    <m/>
    <m/>
    <m/>
    <m/>
    <m/>
    <m/>
    <m/>
    <m/>
    <m/>
    <m/>
    <m/>
    <m/>
    <m/>
  </r>
  <r>
    <n v="77"/>
    <x v="76"/>
    <s v="Dhaka"/>
    <s v="Dhaka"/>
    <s v="Savar, Keraniganj"/>
    <s v="Private"/>
    <s v="Under Development"/>
    <s v="Pre-Qualification License"/>
    <x v="4"/>
    <s v="Yes"/>
    <m/>
    <m/>
    <m/>
    <m/>
    <m/>
    <m/>
    <m/>
    <m/>
    <m/>
    <m/>
    <m/>
    <m/>
    <m/>
    <s v="No"/>
    <m/>
    <m/>
    <m/>
    <m/>
    <m/>
    <s v="-"/>
    <m/>
    <s v="-"/>
    <s v="-"/>
    <s v="-"/>
    <s v="-"/>
    <n v="50.8"/>
    <n v="0"/>
    <s v="No"/>
    <m/>
    <m/>
    <n v="50.8"/>
    <s v="Licensing process ongoing"/>
    <x v="2"/>
    <m/>
    <m/>
    <m/>
    <m/>
    <m/>
    <m/>
    <m/>
    <m/>
    <m/>
    <m/>
    <s v="RMG"/>
    <s v="Light Engineering &amp; Auto Parts"/>
    <s v="Finished Leather Goods"/>
    <s v="Aeronautical Component Industry"/>
    <s v="Packaging"/>
    <s v="IT"/>
    <s v="Electronics "/>
    <s v="Automobiles"/>
    <s v="-"/>
    <m/>
    <m/>
    <m/>
    <m/>
    <m/>
    <m/>
    <m/>
    <m/>
    <m/>
    <m/>
    <m/>
    <m/>
    <m/>
    <m/>
    <m/>
    <m/>
  </r>
  <r>
    <n v="78"/>
    <x v="77"/>
    <s v="Dhaka"/>
    <s v="Dhaka"/>
    <s v="Keraniganj"/>
    <s v="Private"/>
    <s v="Under Development"/>
    <s v="Pre-Qualification License"/>
    <x v="4"/>
    <s v="Yes"/>
    <m/>
    <m/>
    <m/>
    <m/>
    <m/>
    <m/>
    <m/>
    <m/>
    <m/>
    <m/>
    <m/>
    <m/>
    <m/>
    <s v="No"/>
    <m/>
    <m/>
    <m/>
    <m/>
    <m/>
    <s v="-"/>
    <m/>
    <s v="-"/>
    <s v="-"/>
    <s v="-"/>
    <s v="-"/>
    <s v="-"/>
    <s v=""/>
    <s v="Area Not Found"/>
    <s v="Area Not Found"/>
    <s v="56 acres"/>
    <n v="56"/>
    <s v="Land not available"/>
    <x v="0"/>
    <m/>
    <m/>
    <m/>
    <m/>
    <m/>
    <m/>
    <m/>
    <m/>
    <m/>
    <m/>
    <s v="-"/>
    <s v="-"/>
    <s v="-"/>
    <s v="-"/>
    <s v="-"/>
    <s v="-"/>
    <s v="-"/>
    <s v="-"/>
    <s v="-"/>
    <m/>
    <m/>
    <m/>
    <m/>
    <m/>
    <m/>
    <m/>
    <m/>
    <m/>
    <m/>
    <m/>
    <m/>
    <m/>
    <m/>
    <m/>
    <m/>
  </r>
  <r>
    <n v="79"/>
    <x v="78"/>
    <s v="Dhaka"/>
    <s v="Gazipur"/>
    <s v="Konabari"/>
    <s v="Private"/>
    <s v="Under Development"/>
    <s v="License Awarded"/>
    <x v="4"/>
    <s v="Yes"/>
    <s v="Link"/>
    <m/>
    <m/>
    <m/>
    <m/>
    <m/>
    <m/>
    <m/>
    <m/>
    <m/>
    <m/>
    <m/>
    <m/>
    <s v="No"/>
    <s v="Yes"/>
    <s v="Yes"/>
    <m/>
    <m/>
    <m/>
    <s v="-"/>
    <m/>
    <s v="-"/>
    <s v="-"/>
    <n v="350077"/>
    <n v="60"/>
    <n v="65"/>
    <n v="1.4134563850723778"/>
    <s v="Yes"/>
    <s v="OSS data needs to be checked"/>
    <s v="65 acres"/>
    <n v="65"/>
    <s v="Operational"/>
    <x v="1"/>
    <m/>
    <m/>
    <m/>
    <m/>
    <m/>
    <m/>
    <m/>
    <m/>
    <m/>
    <m/>
    <s v="Leather Products &amp; Footwear"/>
    <s v="Agro-Processing"/>
    <s v="Agro-processing"/>
    <s v="IT"/>
    <s v="Chemicals"/>
    <s v="Electronics"/>
    <s v="Medical Equipment"/>
    <s v="-"/>
    <s v="-"/>
    <m/>
    <m/>
    <m/>
    <m/>
    <m/>
    <m/>
    <m/>
    <m/>
    <m/>
    <m/>
    <m/>
    <m/>
    <m/>
    <m/>
    <m/>
    <m/>
  </r>
  <r>
    <n v="80"/>
    <x v="79"/>
    <s v="Sylhet"/>
    <s v="Sunamganj"/>
    <s v="Chatak"/>
    <s v="Private"/>
    <s v="In-Principle Approval"/>
    <s v="In-Principal Approval"/>
    <x v="4"/>
    <s v="Yes"/>
    <m/>
    <m/>
    <m/>
    <m/>
    <m/>
    <m/>
    <m/>
    <m/>
    <m/>
    <m/>
    <m/>
    <m/>
    <m/>
    <s v="No"/>
    <m/>
    <m/>
    <m/>
    <m/>
    <m/>
    <s v="-"/>
    <m/>
    <s v="-"/>
    <s v="-"/>
    <s v="-"/>
    <s v="-"/>
    <s v="-"/>
    <s v=""/>
    <s v="Area Not Found"/>
    <s v="Area Not Found"/>
    <s v="138.6 acres"/>
    <n v="138.6"/>
    <s v="Land not available"/>
    <x v="0"/>
    <m/>
    <m/>
    <m/>
    <m/>
    <m/>
    <m/>
    <m/>
    <m/>
    <m/>
    <m/>
    <s v="-"/>
    <s v="-"/>
    <s v="-"/>
    <s v="-"/>
    <s v="-"/>
    <s v="-"/>
    <s v="-"/>
    <s v="-"/>
    <s v="-"/>
    <m/>
    <m/>
    <m/>
    <m/>
    <m/>
    <m/>
    <m/>
    <m/>
    <m/>
    <m/>
    <m/>
    <m/>
    <m/>
    <m/>
    <m/>
    <m/>
  </r>
  <r>
    <n v="81"/>
    <x v="80"/>
    <s v="Dhaka"/>
    <s v="Narayanganj"/>
    <s v="Rupganj"/>
    <s v="Private"/>
    <s v="Under Development"/>
    <s v="License Awarded"/>
    <x v="4"/>
    <s v="Yes"/>
    <m/>
    <m/>
    <m/>
    <m/>
    <m/>
    <m/>
    <m/>
    <m/>
    <m/>
    <m/>
    <m/>
    <m/>
    <m/>
    <s v="No"/>
    <s v="Yes"/>
    <s v="Yes"/>
    <m/>
    <m/>
    <m/>
    <s v="-"/>
    <m/>
    <s v="-"/>
    <s v="-"/>
    <n v="77.965500000000006"/>
    <n v="78"/>
    <n v="77.959999999999994"/>
    <n v="2.2703116912481568E-4"/>
    <s v="No"/>
    <s v="Discrepancy between website PEZ status list and 2018 brochure"/>
    <s v="Licences received."/>
    <n v="77.959999999999994"/>
    <s v="Operational"/>
    <x v="1"/>
    <m/>
    <m/>
    <m/>
    <m/>
    <m/>
    <m/>
    <m/>
    <m/>
    <m/>
    <m/>
    <s v="Agro-Processing"/>
    <s v="FMCG"/>
    <s v="-"/>
    <s v="-"/>
    <s v="-"/>
    <s v="-"/>
    <s v="-"/>
    <s v="-"/>
    <s v="-"/>
    <m/>
    <m/>
    <m/>
    <m/>
    <m/>
    <m/>
    <m/>
    <m/>
    <m/>
    <m/>
    <m/>
    <m/>
    <m/>
    <m/>
    <m/>
    <m/>
  </r>
  <r>
    <n v="82"/>
    <x v="81"/>
    <s v="Dhaka"/>
    <s v="Dhaka"/>
    <s v="Demra"/>
    <s v="Private"/>
    <s v="Under Development"/>
    <s v="In-Principal Approval"/>
    <x v="4"/>
    <s v="Yes"/>
    <m/>
    <m/>
    <m/>
    <m/>
    <m/>
    <m/>
    <m/>
    <m/>
    <m/>
    <m/>
    <m/>
    <m/>
    <m/>
    <s v="No"/>
    <m/>
    <m/>
    <m/>
    <m/>
    <m/>
    <s v="-"/>
    <m/>
    <s v="-"/>
    <s v="-"/>
    <s v="-"/>
    <s v="-"/>
    <s v="-"/>
    <s v=""/>
    <s v="Area Not Found"/>
    <s v="Area Not Found"/>
    <s v="115.6 acres"/>
    <n v="115.6"/>
    <s v="Licensing ongoing"/>
    <x v="2"/>
    <m/>
    <m/>
    <m/>
    <m/>
    <m/>
    <m/>
    <m/>
    <m/>
    <m/>
    <m/>
    <s v="-"/>
    <s v="-"/>
    <s v="-"/>
    <s v="-"/>
    <s v="-"/>
    <s v="-"/>
    <s v="-"/>
    <s v="-"/>
    <s v="-"/>
    <m/>
    <m/>
    <m/>
    <m/>
    <m/>
    <m/>
    <m/>
    <m/>
    <m/>
    <m/>
    <m/>
    <m/>
    <m/>
    <m/>
    <m/>
    <m/>
  </r>
  <r>
    <n v="83"/>
    <x v="82"/>
    <s v="Chattogram"/>
    <s v="Cumilla"/>
    <s v="Meghna"/>
    <s v="Private"/>
    <s v="Under Development"/>
    <s v="License Awarded"/>
    <x v="4"/>
    <s v="Yes"/>
    <s v="Link"/>
    <m/>
    <m/>
    <m/>
    <m/>
    <m/>
    <m/>
    <m/>
    <m/>
    <m/>
    <m/>
    <m/>
    <m/>
    <s v="No"/>
    <s v="Yes"/>
    <m/>
    <m/>
    <m/>
    <n v="272"/>
    <s v="-"/>
    <m/>
    <s v="-"/>
    <s v="-"/>
    <n v="2463515"/>
    <s v="-"/>
    <n v="301"/>
    <n v="1.4137202697732392"/>
    <s v="Yes"/>
    <s v="OSS data needs to be checked"/>
    <s v="272 acres"/>
    <n v="272"/>
    <s v="Under Construction"/>
    <x v="1"/>
    <m/>
    <m/>
    <m/>
    <m/>
    <m/>
    <m/>
    <m/>
    <m/>
    <m/>
    <m/>
    <s v="Textile &amp; RMG"/>
    <s v="Garments Accessories"/>
    <s v="Footwear &amp; Leather"/>
    <s v="Agro-processing"/>
    <s v="Pharmaceuticals"/>
    <s v="Electornics"/>
    <s v="Plastic"/>
    <s v="Chemicals"/>
    <s v="Petrochemicals"/>
    <m/>
    <m/>
    <m/>
    <m/>
    <m/>
    <m/>
    <m/>
    <m/>
    <m/>
    <m/>
    <m/>
    <m/>
    <m/>
    <m/>
    <m/>
    <m/>
  </r>
  <r>
    <n v="84"/>
    <x v="83"/>
    <s v="Sylhet"/>
    <s v="Habiganj"/>
    <s v="Bahubal"/>
    <s v="Private"/>
    <s v="In-Principle Approval"/>
    <s v="In-Principal Approval"/>
    <x v="4"/>
    <s v="Yes"/>
    <m/>
    <m/>
    <m/>
    <m/>
    <m/>
    <m/>
    <m/>
    <m/>
    <m/>
    <m/>
    <m/>
    <m/>
    <m/>
    <s v="No"/>
    <m/>
    <m/>
    <m/>
    <m/>
    <m/>
    <s v="-"/>
    <m/>
    <s v="-"/>
    <s v="-"/>
    <s v="-"/>
    <s v="-"/>
    <s v="-"/>
    <s v=""/>
    <s v="Area Not Found"/>
    <s v="Area Not Found"/>
    <s v="150 acres"/>
    <n v="150"/>
    <s v="Land not available"/>
    <x v="0"/>
    <m/>
    <m/>
    <m/>
    <m/>
    <m/>
    <m/>
    <m/>
    <m/>
    <m/>
    <m/>
    <s v="-"/>
    <s v="-"/>
    <s v="-"/>
    <s v="-"/>
    <s v="-"/>
    <s v="-"/>
    <s v="-"/>
    <s v="-"/>
    <s v="-"/>
    <m/>
    <m/>
    <m/>
    <m/>
    <m/>
    <m/>
    <m/>
    <m/>
    <m/>
    <m/>
    <m/>
    <m/>
    <m/>
    <m/>
    <m/>
    <m/>
  </r>
  <r>
    <n v="85"/>
    <x v="84"/>
    <s v="Dhaka"/>
    <s v="Dhaka"/>
    <s v="Keraniganj"/>
    <s v="Private"/>
    <s v="Under Development"/>
    <s v="License Awarded"/>
    <x v="4"/>
    <s v="Yes"/>
    <s v="Link"/>
    <m/>
    <m/>
    <m/>
    <m/>
    <m/>
    <m/>
    <m/>
    <m/>
    <m/>
    <m/>
    <m/>
    <m/>
    <s v="No"/>
    <s v="Yes"/>
    <m/>
    <m/>
    <m/>
    <m/>
    <s v="-"/>
    <m/>
    <s v="-"/>
    <s v="-"/>
    <n v="1026992"/>
    <s v="-"/>
    <n v="102.69"/>
    <n v="0.99980003791081828"/>
    <s v="No"/>
    <s v="OSS data needs to be checked"/>
    <s v="53.8 acres"/>
    <n v="53.8"/>
    <s v="Operational"/>
    <x v="1"/>
    <m/>
    <m/>
    <m/>
    <m/>
    <m/>
    <m/>
    <m/>
    <m/>
    <m/>
    <m/>
    <s v="Agro-Processing"/>
    <s v="LPG Bottling"/>
    <s v="Paint"/>
    <s v="Concrete Block"/>
    <s v="Bitumen Manufacturing"/>
    <s v="Plastic"/>
    <s v="-"/>
    <s v="-"/>
    <s v="-"/>
    <m/>
    <m/>
    <m/>
    <m/>
    <m/>
    <m/>
    <m/>
    <m/>
    <m/>
    <m/>
    <m/>
    <m/>
    <m/>
    <m/>
    <m/>
    <m/>
  </r>
  <r>
    <n v="86"/>
    <x v="85"/>
    <s v="Khulna"/>
    <s v="Bagerhat"/>
    <s v="Rampal"/>
    <s v="Private"/>
    <s v="In-Principle Approval"/>
    <s v="In-Principal Approval"/>
    <x v="4"/>
    <s v="Yes"/>
    <m/>
    <m/>
    <m/>
    <m/>
    <m/>
    <m/>
    <m/>
    <m/>
    <m/>
    <m/>
    <m/>
    <m/>
    <m/>
    <s v="No"/>
    <m/>
    <m/>
    <m/>
    <m/>
    <m/>
    <s v="-"/>
    <m/>
    <s v="-"/>
    <s v="-"/>
    <s v="-"/>
    <s v="-"/>
    <s v="-"/>
    <s v=""/>
    <s v="Area Not Found"/>
    <s v="Area Not Found"/>
    <s v="80.65 acres"/>
    <n v="80.650000000000006"/>
    <s v="Land not available"/>
    <x v="0"/>
    <m/>
    <m/>
    <m/>
    <m/>
    <m/>
    <m/>
    <m/>
    <m/>
    <m/>
    <m/>
    <s v="-"/>
    <s v="-"/>
    <s v="-"/>
    <s v="-"/>
    <s v="-"/>
    <s v="-"/>
    <s v="-"/>
    <s v="-"/>
    <s v="-"/>
    <m/>
    <m/>
    <m/>
    <m/>
    <m/>
    <m/>
    <m/>
    <m/>
    <m/>
    <m/>
    <m/>
    <m/>
    <m/>
    <m/>
    <m/>
    <m/>
  </r>
  <r>
    <n v="87"/>
    <x v="86"/>
    <s v="Mymensingh"/>
    <s v="Mymensingh"/>
    <s v="Trishal"/>
    <s v="Private"/>
    <s v="In-Principle Approval"/>
    <s v="In-Principal Approval"/>
    <x v="4"/>
    <s v="Yes"/>
    <m/>
    <m/>
    <m/>
    <m/>
    <m/>
    <m/>
    <m/>
    <m/>
    <m/>
    <m/>
    <m/>
    <m/>
    <m/>
    <s v="No"/>
    <m/>
    <m/>
    <m/>
    <m/>
    <m/>
    <s v="-"/>
    <m/>
    <s v="-"/>
    <s v="-"/>
    <s v="-"/>
    <s v="-"/>
    <n v="153"/>
    <n v="0"/>
    <s v="No"/>
    <m/>
    <m/>
    <n v="153"/>
    <s v="Licensing ongoing"/>
    <x v="2"/>
    <m/>
    <m/>
    <m/>
    <m/>
    <m/>
    <m/>
    <m/>
    <m/>
    <m/>
    <m/>
    <s v="Agro-Processing"/>
    <s v="Light Engineering"/>
    <s v="Furniture"/>
    <s v="Cosmetics"/>
    <s v="Leather Footwear"/>
    <s v="-"/>
    <s v="-"/>
    <s v="-"/>
    <s v="-"/>
    <m/>
    <m/>
    <m/>
    <m/>
    <m/>
    <m/>
    <m/>
    <m/>
    <m/>
    <m/>
    <m/>
    <m/>
    <m/>
    <m/>
    <m/>
    <m/>
  </r>
  <r>
    <n v="88"/>
    <x v="87"/>
    <s v="Dhaka"/>
    <s v="Munshiganj"/>
    <s v="Gajaria"/>
    <s v="Private"/>
    <s v="Under Development"/>
    <s v="License Awarded"/>
    <x v="4"/>
    <s v="Yes"/>
    <m/>
    <m/>
    <m/>
    <m/>
    <m/>
    <m/>
    <m/>
    <m/>
    <m/>
    <m/>
    <m/>
    <m/>
    <m/>
    <s v="No"/>
    <s v="Yes"/>
    <m/>
    <m/>
    <m/>
    <m/>
    <s v="-"/>
    <m/>
    <s v="-"/>
    <s v="-"/>
    <n v="108057"/>
    <s v="-"/>
    <n v="108"/>
    <n v="0.99800305089446684"/>
    <s v="No"/>
    <s v="OSS data needs to be checked"/>
    <s v="75.47 acres"/>
    <n v="75.47"/>
    <s v="Operational"/>
    <x v="1"/>
    <m/>
    <m/>
    <m/>
    <m/>
    <m/>
    <m/>
    <m/>
    <m/>
    <m/>
    <m/>
    <s v="Chemicals"/>
    <s v="Pre-fabricated building materials"/>
    <s v="Cement"/>
    <s v="Shipping"/>
    <s v="Ceramic"/>
    <s v="Light engineering"/>
    <s v="Automobiles"/>
    <s v="Paper Mills"/>
    <s v="-"/>
    <m/>
    <m/>
    <m/>
    <m/>
    <m/>
    <m/>
    <m/>
    <m/>
    <m/>
    <m/>
    <m/>
    <m/>
    <m/>
    <m/>
    <m/>
    <m/>
  </r>
  <r>
    <n v="89"/>
    <x v="88"/>
    <s v="Chattogram"/>
    <s v="Chattogram"/>
    <s v="Anowara"/>
    <s v="Private"/>
    <s v="Under Development"/>
    <s v="License Awarded"/>
    <x v="4"/>
    <s v="Yes"/>
    <s v="Link"/>
    <m/>
    <m/>
    <m/>
    <m/>
    <m/>
    <m/>
    <m/>
    <m/>
    <m/>
    <m/>
    <m/>
    <m/>
    <s v="No"/>
    <s v="Yes"/>
    <m/>
    <m/>
    <m/>
    <m/>
    <s v="-"/>
    <m/>
    <s v="-"/>
    <s v="-"/>
    <n v="160861"/>
    <s v="-"/>
    <n v="20.98"/>
    <n v="0.9997391876952284"/>
    <s v="No"/>
    <s v="OSS data needs to be checked"/>
    <s v="65.24 acres"/>
    <n v="65.239999999999995"/>
    <s v="Operational"/>
    <x v="1"/>
    <m/>
    <m/>
    <m/>
    <m/>
    <m/>
    <m/>
    <m/>
    <m/>
    <m/>
    <m/>
    <s v="Ship Building"/>
    <s v="-"/>
    <s v="-"/>
    <s v="-"/>
    <s v="-"/>
    <s v="-"/>
    <s v="-"/>
    <s v="-"/>
    <s v="-"/>
    <m/>
    <m/>
    <m/>
    <m/>
    <m/>
    <m/>
    <m/>
    <m/>
    <m/>
    <m/>
    <m/>
    <m/>
    <m/>
    <m/>
    <m/>
    <m/>
  </r>
  <r>
    <n v="90"/>
    <x v="89"/>
    <s v="Chattogram"/>
    <s v="Chattogram"/>
    <s v="Chandanaish"/>
    <s v="Private"/>
    <s v="In-Principle Approval"/>
    <s v="In-Principal Approval"/>
    <x v="4"/>
    <s v="Yes"/>
    <m/>
    <m/>
    <m/>
    <m/>
    <m/>
    <m/>
    <m/>
    <m/>
    <m/>
    <m/>
    <m/>
    <m/>
    <m/>
    <s v="No"/>
    <m/>
    <m/>
    <m/>
    <m/>
    <m/>
    <s v="-"/>
    <m/>
    <s v="-"/>
    <s v="-"/>
    <s v="-"/>
    <s v="-"/>
    <s v="-"/>
    <s v=""/>
    <s v="Area Not Found"/>
    <s v="Area Not Found"/>
    <s v="130.6 acres"/>
    <n v="130.6"/>
    <s v="Licensing ongoing"/>
    <x v="2"/>
    <m/>
    <m/>
    <m/>
    <m/>
    <m/>
    <m/>
    <m/>
    <m/>
    <m/>
    <m/>
    <s v="-"/>
    <s v="-"/>
    <s v="-"/>
    <s v="-"/>
    <s v="-"/>
    <s v="-"/>
    <s v="-"/>
    <s v="-"/>
    <s v="-"/>
    <m/>
    <m/>
    <m/>
    <m/>
    <m/>
    <m/>
    <m/>
    <m/>
    <m/>
    <m/>
    <m/>
    <m/>
    <m/>
    <m/>
    <m/>
    <m/>
  </r>
  <r>
    <n v="91"/>
    <x v="90"/>
    <s v="Dhaka"/>
    <s v="Kishoreganj"/>
    <s v="Pakundia"/>
    <s v="Private"/>
    <s v="Under Development"/>
    <s v="License Awarded"/>
    <x v="4"/>
    <s v="Yes"/>
    <s v="Link"/>
    <m/>
    <m/>
    <m/>
    <m/>
    <m/>
    <m/>
    <m/>
    <m/>
    <m/>
    <m/>
    <m/>
    <m/>
    <s v="No"/>
    <s v="Yes"/>
    <m/>
    <m/>
    <m/>
    <m/>
    <s v="-"/>
    <m/>
    <s v="-"/>
    <s v="-"/>
    <n v="91.63"/>
    <s v="-"/>
    <n v="91.63"/>
    <n v="0"/>
    <s v="No"/>
    <m/>
    <m/>
    <n v="91.63"/>
    <s v="Under construction"/>
    <x v="1"/>
    <m/>
    <m/>
    <m/>
    <m/>
    <m/>
    <m/>
    <m/>
    <m/>
    <m/>
    <m/>
    <s v="Automobiles"/>
    <s v="-"/>
    <s v="-"/>
    <s v="-"/>
    <s v="-"/>
    <s v="-"/>
    <s v="-"/>
    <s v="-"/>
    <s v="-"/>
    <m/>
    <m/>
    <m/>
    <m/>
    <m/>
    <m/>
    <m/>
    <m/>
    <m/>
    <m/>
    <m/>
    <m/>
    <m/>
    <m/>
    <m/>
    <m/>
  </r>
  <r>
    <n v="92"/>
    <x v="91"/>
    <s v="Dhaka"/>
    <s v="Narayanganj"/>
    <s v="Sonargaon"/>
    <s v="Private"/>
    <s v="Under Development"/>
    <s v="License Awarded"/>
    <x v="4"/>
    <s v="Yes"/>
    <s v="Link"/>
    <m/>
    <m/>
    <m/>
    <m/>
    <m/>
    <m/>
    <m/>
    <m/>
    <m/>
    <m/>
    <m/>
    <m/>
    <s v="No"/>
    <s v="Yes"/>
    <m/>
    <m/>
    <m/>
    <m/>
    <s v="-"/>
    <m/>
    <s v="-"/>
    <s v="-"/>
    <n v="67.916300000000007"/>
    <s v="-"/>
    <n v="67.92"/>
    <n v="2.7238668897746256E-5"/>
    <s v="No"/>
    <m/>
    <m/>
    <n v="67.92"/>
    <s v="Operational"/>
    <x v="1"/>
    <m/>
    <m/>
    <m/>
    <m/>
    <m/>
    <m/>
    <m/>
    <m/>
    <m/>
    <m/>
    <s v="Agro-Processing"/>
    <s v="Fiber Bag"/>
    <s v="Steel"/>
    <s v="Plastic"/>
    <s v="Packaging"/>
    <s v="Pharmaceuticals"/>
    <s v="Chemicals"/>
    <s v="-"/>
    <s v="-"/>
    <m/>
    <m/>
    <m/>
    <m/>
    <m/>
    <m/>
    <m/>
    <m/>
    <m/>
    <m/>
    <m/>
    <m/>
    <m/>
    <m/>
    <m/>
    <m/>
  </r>
  <r>
    <n v="93"/>
    <x v="92"/>
    <s v="Dhaka"/>
    <s v="Narayanganj"/>
    <s v="Sonargaon"/>
    <s v="Private"/>
    <s v="Under Development"/>
    <s v="License Awarded"/>
    <x v="4"/>
    <s v="Yes"/>
    <s v="Link"/>
    <m/>
    <m/>
    <m/>
    <m/>
    <m/>
    <m/>
    <m/>
    <m/>
    <m/>
    <m/>
    <m/>
    <m/>
    <s v="No"/>
    <s v="Yes"/>
    <s v="Yes"/>
    <m/>
    <m/>
    <m/>
    <s v="-"/>
    <m/>
    <s v="-"/>
    <s v="-"/>
    <n v="892726"/>
    <n v="96.98"/>
    <n v="110"/>
    <n v="1.4137218448603279"/>
    <s v="No"/>
    <s v="OSS data needs to be checked"/>
    <s v="110 acres"/>
    <n v="110"/>
    <s v="Operational"/>
    <x v="1"/>
    <m/>
    <m/>
    <m/>
    <m/>
    <m/>
    <m/>
    <m/>
    <m/>
    <m/>
    <m/>
    <s v="Paper &amp; Paper Products"/>
    <s v="Oil Refinery"/>
    <s v="Agro-processing"/>
    <s v="Plastic"/>
    <s v="Ceramics"/>
    <s v="LPG Bottling"/>
    <s v="-"/>
    <s v="-"/>
    <s v="-"/>
    <m/>
    <m/>
    <m/>
    <m/>
    <m/>
    <m/>
    <m/>
    <m/>
    <m/>
    <m/>
    <m/>
    <m/>
    <m/>
    <m/>
    <m/>
    <m/>
  </r>
  <r>
    <n v="94"/>
    <x v="93"/>
    <s v="Rajshahi"/>
    <s v="Sirajganj"/>
    <s v="Sirajganj Sadar, Belkuchi"/>
    <s v="Private"/>
    <s v="Under Development"/>
    <s v="License Awarded"/>
    <x v="4"/>
    <s v="Yes"/>
    <s v="Link"/>
    <m/>
    <m/>
    <m/>
    <m/>
    <m/>
    <m/>
    <m/>
    <m/>
    <m/>
    <m/>
    <m/>
    <m/>
    <s v="No"/>
    <s v="Yes"/>
    <m/>
    <m/>
    <m/>
    <m/>
    <s v="-"/>
    <m/>
    <s v="-"/>
    <s v="-"/>
    <n v="1035.93"/>
    <s v="-"/>
    <n v="1035.93"/>
    <n v="0"/>
    <s v="No"/>
    <s v="Discrepancy between website PEZ status list and 2018 brochure"/>
    <s v="1035.93. Licence received."/>
    <n v="1035.93"/>
    <s v="Under construction"/>
    <x v="1"/>
    <m/>
    <m/>
    <m/>
    <m/>
    <m/>
    <m/>
    <m/>
    <m/>
    <m/>
    <m/>
    <s v="Textile &amp; RMG"/>
    <s v="Agro-Processing"/>
    <s v="Pharmaceuticals"/>
    <s v="Leather"/>
    <s v="Automobile Engineering"/>
    <s v="LPG Bottling"/>
    <s v="Steel"/>
    <s v="Ship Building"/>
    <s v="-"/>
    <m/>
    <m/>
    <m/>
    <m/>
    <m/>
    <m/>
    <m/>
    <m/>
    <m/>
    <m/>
    <m/>
    <m/>
    <m/>
    <m/>
    <m/>
    <m/>
  </r>
  <r>
    <n v="95"/>
    <x v="94"/>
    <s v="Dhaka"/>
    <s v="Narayanganj"/>
    <s v="Sonargaon"/>
    <s v="Private"/>
    <s v="Under Development"/>
    <s v="Pre-Qualification License"/>
    <x v="4"/>
    <s v="Yes"/>
    <m/>
    <m/>
    <m/>
    <m/>
    <m/>
    <m/>
    <m/>
    <m/>
    <m/>
    <m/>
    <m/>
    <m/>
    <m/>
    <s v="No"/>
    <m/>
    <m/>
    <m/>
    <m/>
    <m/>
    <s v="-"/>
    <m/>
    <s v="-"/>
    <s v="-"/>
    <s v="-"/>
    <s v="-"/>
    <n v="450"/>
    <n v="0"/>
    <s v="No"/>
    <s v="Is this project still active?"/>
    <s v="Active. Legal issue."/>
    <n v="450"/>
    <s v="Litigation ongoing"/>
    <x v="2"/>
    <m/>
    <m/>
    <m/>
    <m/>
    <m/>
    <m/>
    <m/>
    <m/>
    <m/>
    <m/>
    <s v="-"/>
    <s v="-"/>
    <s v="-"/>
    <s v="-"/>
    <s v="-"/>
    <s v="-"/>
    <s v="-"/>
    <s v="-"/>
    <s v="-"/>
    <m/>
    <m/>
    <m/>
    <m/>
    <m/>
    <m/>
    <m/>
    <m/>
    <m/>
    <m/>
    <m/>
    <m/>
    <m/>
    <m/>
    <m/>
    <m/>
  </r>
  <r>
    <n v="96"/>
    <x v="95"/>
    <s v="Dhaka"/>
    <s v="Munshiganj"/>
    <s v="Gajaria"/>
    <s v="Private"/>
    <s v="In-Principle Approval"/>
    <s v="In-Principal Approval"/>
    <x v="4"/>
    <s v="Yes"/>
    <m/>
    <m/>
    <m/>
    <m/>
    <m/>
    <m/>
    <m/>
    <m/>
    <m/>
    <m/>
    <m/>
    <m/>
    <m/>
    <s v="No"/>
    <m/>
    <m/>
    <m/>
    <m/>
    <m/>
    <s v="-"/>
    <m/>
    <s v="-"/>
    <s v="-"/>
    <s v="-"/>
    <s v="-"/>
    <n v="108"/>
    <n v="0"/>
    <s v="No"/>
    <m/>
    <m/>
    <n v="108"/>
    <s v="Licensing ongoing"/>
    <x v="2"/>
    <m/>
    <m/>
    <m/>
    <m/>
    <m/>
    <m/>
    <m/>
    <m/>
    <m/>
    <m/>
    <s v="-"/>
    <s v="-"/>
    <s v="-"/>
    <s v="-"/>
    <s v="-"/>
    <s v="-"/>
    <s v="-"/>
    <s v="-"/>
    <s v="-"/>
    <m/>
    <m/>
    <m/>
    <m/>
    <m/>
    <m/>
    <m/>
    <m/>
    <m/>
    <m/>
    <m/>
    <m/>
    <m/>
    <m/>
    <m/>
    <m/>
  </r>
  <r>
    <n v="97"/>
    <x v="96"/>
    <s v="Dhaka"/>
    <s v="Dhaka"/>
    <s v="Vatara &amp; Badda"/>
    <s v="Private"/>
    <s v="Under Development"/>
    <s v="Pre-Qualification License"/>
    <x v="4"/>
    <s v="Yes"/>
    <m/>
    <m/>
    <m/>
    <m/>
    <m/>
    <m/>
    <m/>
    <m/>
    <m/>
    <m/>
    <m/>
    <m/>
    <m/>
    <s v="No"/>
    <m/>
    <m/>
    <m/>
    <m/>
    <m/>
    <s v="-"/>
    <m/>
    <s v="-"/>
    <s v="-"/>
    <s v="-"/>
    <s v="-"/>
    <n v="2.5"/>
    <n v="0"/>
    <s v="No"/>
    <m/>
    <m/>
    <n v="2.5"/>
    <s v="Not under BEZA jurisdiction."/>
    <x v="0"/>
    <m/>
    <m/>
    <m/>
    <m/>
    <m/>
    <m/>
    <m/>
    <m/>
    <m/>
    <m/>
    <s v="IT"/>
    <s v="-"/>
    <s v="-"/>
    <s v="-"/>
    <s v="-"/>
    <s v="-"/>
    <s v="-"/>
    <s v="-"/>
    <s v="-"/>
    <m/>
    <m/>
    <m/>
    <m/>
    <m/>
    <m/>
    <m/>
    <m/>
    <m/>
    <m/>
    <m/>
    <m/>
    <m/>
    <m/>
    <m/>
    <m/>
  </r>
  <r>
    <s v="A"/>
    <x v="97"/>
    <s v="Chattogram"/>
    <s v="Lakshmipur"/>
    <m/>
    <m/>
    <m/>
    <m/>
    <x v="2"/>
    <m/>
    <m/>
    <m/>
    <m/>
    <m/>
    <m/>
    <m/>
    <m/>
    <m/>
    <m/>
    <m/>
    <m/>
    <m/>
    <m/>
    <s v="No"/>
    <m/>
    <m/>
    <m/>
    <m/>
    <m/>
    <m/>
    <m/>
    <m/>
    <m/>
    <m/>
    <m/>
    <m/>
    <s v=""/>
    <s v="Area Not Found"/>
    <s v="Is this a duplicate of 6?_x000a_EZ in Planning Wing Priority List but not in Website List. Does this have a feasibility study?"/>
    <s v="Qader Sir will inform"/>
    <m/>
    <m/>
    <x v="4"/>
    <m/>
    <m/>
    <m/>
    <m/>
    <m/>
    <m/>
    <m/>
    <m/>
    <m/>
    <m/>
    <m/>
    <m/>
    <m/>
    <m/>
    <m/>
    <m/>
    <m/>
    <m/>
    <m/>
    <m/>
    <m/>
    <m/>
    <m/>
    <m/>
    <m/>
    <m/>
    <m/>
    <m/>
    <m/>
    <m/>
    <m/>
    <m/>
    <m/>
    <m/>
    <m/>
  </r>
  <r>
    <s v="B"/>
    <x v="98"/>
    <s v="Khulna"/>
    <s v="Magura"/>
    <m/>
    <m/>
    <m/>
    <m/>
    <x v="2"/>
    <m/>
    <m/>
    <m/>
    <m/>
    <m/>
    <m/>
    <m/>
    <m/>
    <m/>
    <m/>
    <m/>
    <m/>
    <m/>
    <m/>
    <s v="No"/>
    <m/>
    <m/>
    <m/>
    <m/>
    <m/>
    <m/>
    <m/>
    <m/>
    <m/>
    <m/>
    <m/>
    <m/>
    <s v=""/>
    <s v="Area Not Found"/>
    <s v="Is this a duplicate of 6?_x000a_EZ in Planning Wing Priority List but not in Website List. Does this have a feasibility study?"/>
    <s v="Qader Sir will inform. Feasibility ongoing."/>
    <m/>
    <s v="Feasibility Ongoing"/>
    <x v="3"/>
    <m/>
    <m/>
    <m/>
    <m/>
    <m/>
    <m/>
    <m/>
    <m/>
    <m/>
    <m/>
    <m/>
    <m/>
    <m/>
    <m/>
    <m/>
    <m/>
    <m/>
    <m/>
    <m/>
    <m/>
    <m/>
    <m/>
    <m/>
    <m/>
    <m/>
    <m/>
    <m/>
    <m/>
    <m/>
    <m/>
    <m/>
    <m/>
    <m/>
    <m/>
    <m/>
  </r>
  <r>
    <s v="C"/>
    <x v="99"/>
    <s v="Khulna"/>
    <s v="Sathkira"/>
    <m/>
    <m/>
    <m/>
    <m/>
    <x v="2"/>
    <m/>
    <m/>
    <m/>
    <m/>
    <m/>
    <m/>
    <m/>
    <m/>
    <m/>
    <m/>
    <m/>
    <m/>
    <m/>
    <m/>
    <s v="No"/>
    <m/>
    <m/>
    <m/>
    <m/>
    <m/>
    <m/>
    <m/>
    <m/>
    <m/>
    <m/>
    <m/>
    <m/>
    <s v=""/>
    <s v="Area Not Found"/>
    <s v="Is this a duplicate of 6?_x000a_EZ in Planning Wing Priority List but not in Website List. Does this have a feasibility study?"/>
    <s v="Count in list. To be started."/>
    <m/>
    <s v="Feasibility Ongoing"/>
    <x v="2"/>
    <m/>
    <m/>
    <m/>
    <m/>
    <m/>
    <m/>
    <m/>
    <m/>
    <m/>
    <m/>
    <m/>
    <m/>
    <m/>
    <m/>
    <m/>
    <m/>
    <m/>
    <m/>
    <m/>
    <m/>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1">
  <r>
    <x v="0"/>
    <x v="0"/>
    <x v="0"/>
    <x v="0"/>
    <x v="0"/>
    <x v="0"/>
    <s v="Under Development"/>
    <s v="Operational"/>
    <s v="A Grade"/>
    <n v="4"/>
    <n v="2"/>
    <n v="11004.665000000001"/>
    <n v="4"/>
    <n v="0.6"/>
    <s v="High"/>
    <n v="1.3265283404810595"/>
    <n v="4"/>
    <n v="1"/>
    <s v="Low"/>
    <n v="0.27670083550930447"/>
    <n v="4"/>
    <n v="0.4"/>
    <n v="0.8"/>
    <s v="Priority 1"/>
    <n v="4"/>
    <n v="1.6"/>
    <s v="Pre-Feasibility/Feasibility"/>
    <n v="4"/>
    <n v="2.4"/>
    <n v="0.6"/>
    <n v="19"/>
    <n v="4"/>
    <n v="2"/>
    <n v="19"/>
    <n v="0"/>
    <n v="0"/>
    <n v="0"/>
    <n v="0.3"/>
    <n v="1.7"/>
    <n v="1"/>
    <n v="10"/>
    <n v="4"/>
    <n v="0.6"/>
    <s v="Yes"/>
    <n v="4"/>
    <n v="0.6"/>
    <n v="67"/>
    <n v="4"/>
    <n v="1.2"/>
    <n v="79"/>
    <n v="4"/>
    <n v="0.4"/>
    <n v="11.5"/>
    <n v="4"/>
    <n v="0.4"/>
    <n v="0"/>
    <n v="4"/>
    <n v="0.8"/>
    <n v="0.4"/>
    <n v="7.2"/>
    <n v="4"/>
    <n v="1.6"/>
    <n v="11"/>
    <n v="4"/>
    <n v="0.8"/>
    <n v="16"/>
    <n v="4"/>
    <n v="1.6"/>
    <n v="0.48"/>
    <s v="Yes"/>
    <n v="4"/>
    <n v="0.8"/>
    <s v="Yes"/>
    <n v="4"/>
    <n v="0.8"/>
    <n v="568"/>
    <n v="4"/>
    <n v="0.8"/>
    <s v="Yes"/>
    <n v="4"/>
    <n v="1.6"/>
    <n v="0.4"/>
    <s v="No"/>
    <n v="0"/>
    <n v="0"/>
    <s v="No"/>
    <n v="0"/>
    <n v="0"/>
    <n v="0"/>
    <n v="1968862"/>
    <n v="4"/>
    <n v="1.6"/>
    <n v="0"/>
    <n v="4"/>
    <n v="0.8"/>
    <n v="76"/>
    <n v="4"/>
    <n v="0.4"/>
    <n v="217"/>
    <n v="4"/>
    <n v="0.6"/>
    <n v="34"/>
    <n v="4"/>
    <n v="0.6"/>
    <n v="0.32"/>
    <s v="Yes"/>
    <n v="4"/>
    <n v="1.2"/>
    <s v="Moderate &amp; Low"/>
    <n v="2"/>
    <n v="0.6"/>
    <s v="Moderate &amp; Low"/>
    <n v="2"/>
    <n v="0.2"/>
    <s v="Moderate &amp; Low"/>
    <n v="2"/>
    <n v="0.2"/>
    <s v="High &amp; Very High"/>
    <n v="0"/>
    <n v="0"/>
    <s v="Very High &amp; High"/>
    <n v="0"/>
    <n v="0"/>
    <n v="0.13199999999999998"/>
    <n v="1.732"/>
    <n v="2"/>
    <n v="3.4319999999999999"/>
    <n v="1"/>
    <s v="Yes"/>
    <n v="0"/>
  </r>
  <r>
    <x v="1"/>
    <x v="1"/>
    <x v="0"/>
    <x v="1"/>
    <x v="1"/>
    <x v="0"/>
    <s v="Under Development"/>
    <s v="Under Construction"/>
    <s v="A Grade"/>
    <n v="4"/>
    <n v="2"/>
    <n v="965.36"/>
    <n v="4"/>
    <n v="0.6"/>
    <s v="Medium"/>
    <n v="2.6185050136736554"/>
    <n v="2"/>
    <n v="0.5"/>
    <s v="Low"/>
    <n v="0.10638518272975885"/>
    <n v="4"/>
    <n v="0.4"/>
    <n v="0.70000000000000007"/>
    <s v="Priority 1"/>
    <n v="4"/>
    <n v="1.6"/>
    <s v="Pre-Feasibility/Feasibility"/>
    <n v="4"/>
    <n v="2.4"/>
    <n v="0.6"/>
    <n v="1"/>
    <n v="0"/>
    <n v="0"/>
    <n v="4"/>
    <n v="3"/>
    <n v="2"/>
    <n v="1"/>
    <n v="0.15"/>
    <n v="1.45"/>
    <n v="7"/>
    <n v="1"/>
    <n v="4"/>
    <n v="0.6"/>
    <s v="Yes"/>
    <n v="4"/>
    <n v="0.6"/>
    <n v="30"/>
    <n v="4"/>
    <n v="1.2"/>
    <n v="30"/>
    <n v="4"/>
    <n v="0.4"/>
    <n v="17"/>
    <n v="4"/>
    <n v="0.4"/>
    <n v="30"/>
    <n v="4"/>
    <n v="0.8"/>
    <n v="0.4"/>
    <n v="4"/>
    <n v="4"/>
    <n v="1.6"/>
    <n v="2"/>
    <n v="4"/>
    <n v="0.8"/>
    <n v="20"/>
    <n v="4"/>
    <n v="1.6"/>
    <n v="0.48"/>
    <s v="Yes"/>
    <n v="4"/>
    <n v="0.8"/>
    <s v="Yes"/>
    <n v="4"/>
    <n v="0.8"/>
    <n v="38"/>
    <n v="0"/>
    <n v="0"/>
    <s v="Yes"/>
    <n v="4"/>
    <n v="1.6"/>
    <n v="0.32000000000000006"/>
    <s v="Yes"/>
    <n v="4"/>
    <n v="4"/>
    <s v="Yes"/>
    <n v="4"/>
    <n v="0"/>
    <n v="0.16"/>
    <n v="260078"/>
    <n v="4"/>
    <n v="1.6"/>
    <n v="15"/>
    <n v="4"/>
    <n v="0.8"/>
    <n v="86"/>
    <n v="4"/>
    <n v="0.4"/>
    <n v="61"/>
    <n v="4"/>
    <n v="0.6"/>
    <n v="24"/>
    <n v="4"/>
    <n v="0.6"/>
    <n v="0.32"/>
    <s v="Yes"/>
    <n v="4"/>
    <n v="1.2"/>
    <s v="Moderate &amp; Low"/>
    <n v="2"/>
    <n v="0.6"/>
    <s v="Moderate &amp; Low"/>
    <n v="2"/>
    <n v="0.2"/>
    <s v="Moderate &amp; Low"/>
    <n v="2"/>
    <n v="0.2"/>
    <s v="High &amp; Very High"/>
    <n v="0"/>
    <n v="0"/>
    <s v="Moderate &amp; Low"/>
    <n v="2"/>
    <n v="0.2"/>
    <n v="0.14399999999999999"/>
    <n v="1.8240000000000001"/>
    <n v="1"/>
    <n v="3.274"/>
    <n v="4"/>
    <s v="Yes"/>
    <n v="0"/>
  </r>
  <r>
    <x v="2"/>
    <x v="2"/>
    <x v="1"/>
    <x v="2"/>
    <x v="2"/>
    <x v="1"/>
    <s v="Under Development"/>
    <s v="Under Construction"/>
    <s v="A Grade"/>
    <n v="4"/>
    <n v="2"/>
    <n v="1010.9"/>
    <n v="4"/>
    <n v="0.6"/>
    <s v="High"/>
    <n v="1.4846869126520921"/>
    <n v="4"/>
    <n v="1"/>
    <s v="Low"/>
    <n v="1.2176476407161936"/>
    <n v="4"/>
    <n v="0.4"/>
    <n v="0.8"/>
    <s v="Priority 1"/>
    <n v="4"/>
    <n v="1.6"/>
    <s v="Pre-Feasibility/Feasibility"/>
    <n v="4"/>
    <n v="2.4"/>
    <n v="0.6"/>
    <n v="18"/>
    <n v="4"/>
    <n v="2"/>
    <n v="18"/>
    <n v="0"/>
    <n v="0"/>
    <n v="0"/>
    <n v="0.3"/>
    <n v="1.7"/>
    <n v="1"/>
    <n v="35"/>
    <n v="2"/>
    <n v="0.3"/>
    <s v="Yes"/>
    <n v="4"/>
    <n v="0.6"/>
    <n v="258"/>
    <n v="2"/>
    <n v="0.6"/>
    <n v="64"/>
    <n v="4"/>
    <n v="0.4"/>
    <n v="33"/>
    <n v="4"/>
    <n v="0.4"/>
    <n v="116"/>
    <n v="2"/>
    <n v="0.4"/>
    <n v="0.26999999999999996"/>
    <n v="15"/>
    <n v="4"/>
    <n v="1.6"/>
    <n v="37"/>
    <n v="4"/>
    <n v="0.8"/>
    <n v="1"/>
    <n v="4"/>
    <n v="1.6"/>
    <n v="0.48"/>
    <s v="Yes"/>
    <n v="4"/>
    <n v="0.8"/>
    <s v="Yes"/>
    <n v="4"/>
    <n v="0.8"/>
    <n v="606"/>
    <n v="4"/>
    <n v="0.8"/>
    <s v="Yes"/>
    <n v="4"/>
    <n v="1.6"/>
    <n v="0.4"/>
    <s v="No"/>
    <n v="0"/>
    <n v="0"/>
    <s v="No"/>
    <n v="0"/>
    <n v="0"/>
    <n v="0"/>
    <n v="861792"/>
    <n v="4"/>
    <n v="1.6"/>
    <n v="32"/>
    <n v="2"/>
    <n v="0.4"/>
    <n v="218"/>
    <n v="4"/>
    <n v="0.4"/>
    <n v="144"/>
    <n v="4"/>
    <n v="0.6"/>
    <n v="78"/>
    <n v="4"/>
    <n v="0.6"/>
    <n v="0.28800000000000003"/>
    <s v="Yes"/>
    <n v="4"/>
    <n v="1.2"/>
    <s v="Very High &amp; High"/>
    <n v="0"/>
    <n v="0"/>
    <s v="Very High &amp; High"/>
    <n v="0"/>
    <n v="0"/>
    <s v="Very Low"/>
    <n v="4"/>
    <n v="0.4"/>
    <s v="High &amp; Very High"/>
    <n v="0"/>
    <n v="0"/>
    <s v="Very Low"/>
    <n v="4"/>
    <n v="0.4"/>
    <n v="0.12"/>
    <n v="1.5579999999999998"/>
    <n v="19"/>
    <n v="3.258"/>
    <n v="5"/>
    <s v="Yes"/>
    <n v="0"/>
  </r>
  <r>
    <x v="3"/>
    <x v="3"/>
    <x v="1"/>
    <x v="3"/>
    <x v="3"/>
    <x v="0"/>
    <s v="Planning Stage"/>
    <s v="Planning Stage"/>
    <s v="A Grade"/>
    <n v="4"/>
    <n v="2"/>
    <n v="880.04200000000003"/>
    <n v="4"/>
    <n v="0.6"/>
    <s v="Medium"/>
    <n v="2.1653739253353814"/>
    <n v="2"/>
    <n v="0.5"/>
    <s v="Low"/>
    <n v="1.6216953281775188"/>
    <n v="4"/>
    <n v="0.4"/>
    <n v="0.70000000000000007"/>
    <s v="Priority 1"/>
    <n v="4"/>
    <n v="1.6"/>
    <s v="Pre-Feasibility/Feasibility"/>
    <n v="4"/>
    <n v="2.4"/>
    <n v="0.6"/>
    <n v="15"/>
    <n v="4"/>
    <n v="2"/>
    <n v="15"/>
    <n v="0"/>
    <n v="0"/>
    <n v="0"/>
    <n v="0.3"/>
    <n v="1.6"/>
    <n v="5"/>
    <n v="13"/>
    <n v="4"/>
    <n v="0.6"/>
    <s v="Yes"/>
    <n v="4"/>
    <n v="0.6"/>
    <n v="256"/>
    <n v="2"/>
    <n v="0.6"/>
    <n v="39"/>
    <n v="4"/>
    <n v="0.4"/>
    <n v="23"/>
    <n v="4"/>
    <n v="0.4"/>
    <n v="38"/>
    <n v="4"/>
    <n v="0.8"/>
    <n v="0.33999999999999997"/>
    <n v="6"/>
    <n v="4"/>
    <n v="1.6"/>
    <n v="4"/>
    <n v="4"/>
    <n v="0.8"/>
    <n v="10"/>
    <n v="4"/>
    <n v="1.6"/>
    <n v="0.48"/>
    <s v="Yes"/>
    <n v="4"/>
    <n v="0.8"/>
    <s v="Yes"/>
    <n v="4"/>
    <n v="0.8"/>
    <n v="1718"/>
    <n v="4"/>
    <n v="0.8"/>
    <s v="Yes"/>
    <n v="4"/>
    <n v="1.6"/>
    <n v="0.4"/>
    <s v="No"/>
    <n v="0"/>
    <n v="0"/>
    <s v="No"/>
    <n v="0"/>
    <n v="0"/>
    <n v="0"/>
    <n v="3683456"/>
    <n v="4"/>
    <n v="1.6"/>
    <n v="39"/>
    <n v="2"/>
    <n v="0.4"/>
    <n v="329"/>
    <n v="4"/>
    <n v="0.4"/>
    <n v="900"/>
    <n v="4"/>
    <n v="0.6"/>
    <n v="193"/>
    <n v="4"/>
    <n v="0.6"/>
    <n v="0.28800000000000003"/>
    <s v="No"/>
    <n v="0"/>
    <n v="0"/>
    <s v="Moderate &amp; Low"/>
    <n v="2"/>
    <n v="0.6"/>
    <s v="Moderate &amp; Low"/>
    <n v="2"/>
    <n v="0.2"/>
    <s v="Very Low"/>
    <n v="4"/>
    <n v="0.4"/>
    <s v="Moderate &amp; Low"/>
    <n v="2"/>
    <n v="0.2"/>
    <s v="Very Low"/>
    <n v="4"/>
    <n v="0.4"/>
    <n v="0.10800000000000001"/>
    <n v="1.6160000000000001"/>
    <n v="10"/>
    <n v="3.2160000000000002"/>
    <n v="6"/>
    <s v="Yes"/>
    <n v="0"/>
  </r>
  <r>
    <x v="4"/>
    <x v="4"/>
    <x v="0"/>
    <x v="0"/>
    <x v="4"/>
    <x v="1"/>
    <s v="Under Development"/>
    <s v="Sea shore erosion."/>
    <s v="A Grade"/>
    <n v="4"/>
    <n v="2"/>
    <n v="805.86649999999997"/>
    <n v="4"/>
    <n v="0.6"/>
    <s v="Medium"/>
    <n v="3.373685343664242"/>
    <n v="2"/>
    <n v="0.5"/>
    <s v="Not Available"/>
    <m/>
    <n v="0"/>
    <n v="0"/>
    <n v="0.62000000000000011"/>
    <s v="Priority 1"/>
    <n v="4"/>
    <n v="1.6"/>
    <s v="Pre-Feasibility/Feasibility"/>
    <n v="4"/>
    <n v="2.4"/>
    <n v="0.6"/>
    <n v="19"/>
    <n v="4"/>
    <n v="2"/>
    <n v="19"/>
    <n v="0"/>
    <n v="0"/>
    <n v="0"/>
    <n v="0.3"/>
    <n v="1.5200000000000002"/>
    <n v="6"/>
    <n v="23"/>
    <n v="4"/>
    <n v="0.6"/>
    <s v="No"/>
    <n v="0"/>
    <n v="0"/>
    <n v="39"/>
    <n v="4"/>
    <n v="1.2"/>
    <n v="46"/>
    <n v="4"/>
    <n v="0.4"/>
    <n v="32"/>
    <n v="4"/>
    <n v="0.4"/>
    <n v="39"/>
    <n v="4"/>
    <n v="0.8"/>
    <n v="0.33999999999999997"/>
    <n v="10"/>
    <n v="4"/>
    <n v="1.6"/>
    <n v="2"/>
    <n v="4"/>
    <n v="0.8"/>
    <s v="Not Available"/>
    <n v="0"/>
    <n v="0"/>
    <n v="0.28800000000000003"/>
    <s v="Yes"/>
    <n v="4"/>
    <n v="0.8"/>
    <s v="Yes"/>
    <n v="4"/>
    <n v="0.8"/>
    <n v="568"/>
    <n v="4"/>
    <n v="0.8"/>
    <s v="Yes"/>
    <n v="4"/>
    <n v="1.6"/>
    <n v="0.4"/>
    <s v="No"/>
    <n v="0"/>
    <n v="0"/>
    <s v="No"/>
    <n v="0"/>
    <n v="0"/>
    <n v="0"/>
    <n v="1968862"/>
    <n v="4"/>
    <n v="1.6"/>
    <n v="20"/>
    <n v="4"/>
    <n v="0.8"/>
    <n v="76"/>
    <n v="4"/>
    <n v="0.4"/>
    <n v="217"/>
    <n v="4"/>
    <n v="0.6"/>
    <n v="34"/>
    <n v="4"/>
    <n v="0.6"/>
    <n v="0.32"/>
    <s v="No"/>
    <n v="0"/>
    <n v="0"/>
    <s v="Moderate &amp; Low"/>
    <n v="2"/>
    <n v="0.6"/>
    <s v="Moderate &amp; Low"/>
    <n v="2"/>
    <n v="0.2"/>
    <s v="Moderate &amp; Low"/>
    <n v="2"/>
    <n v="0.2"/>
    <s v="High &amp; Very High"/>
    <n v="0"/>
    <n v="0"/>
    <s v="Very High &amp; High"/>
    <n v="0"/>
    <n v="0"/>
    <n v="0.06"/>
    <n v="1.4080000000000001"/>
    <n v="36"/>
    <n v="2.9280000000000004"/>
    <n v="7"/>
    <s v="Yes"/>
    <n v="1"/>
  </r>
  <r>
    <x v="5"/>
    <x v="5"/>
    <x v="1"/>
    <x v="4"/>
    <x v="5"/>
    <x v="0"/>
    <s v="In-Principle Approval"/>
    <s v="Planning Stage"/>
    <s v="A Grade"/>
    <n v="4"/>
    <n v="2"/>
    <n v="201.83"/>
    <n v="2"/>
    <n v="0.3"/>
    <s v="Medium"/>
    <n v="4.4563741762869737"/>
    <n v="2"/>
    <n v="0.5"/>
    <s v="Medium"/>
    <n v="3.3607986919684878"/>
    <n v="2"/>
    <n v="0.2"/>
    <n v="0.60000000000000009"/>
    <s v="Priority 1"/>
    <n v="4"/>
    <n v="1.6"/>
    <s v="Pre-Feasibility/Feasibility"/>
    <n v="4"/>
    <n v="2.4"/>
    <n v="0.6"/>
    <n v="0"/>
    <n v="0"/>
    <n v="0"/>
    <n v="4"/>
    <n v="4"/>
    <n v="2"/>
    <n v="1"/>
    <n v="0.15"/>
    <n v="1.35"/>
    <n v="9"/>
    <n v="24"/>
    <n v="4"/>
    <n v="0.6"/>
    <s v="Yes"/>
    <n v="4"/>
    <n v="0.6"/>
    <n v="96"/>
    <n v="4"/>
    <n v="1.2"/>
    <n v="65"/>
    <n v="4"/>
    <n v="0.4"/>
    <n v="25"/>
    <n v="4"/>
    <n v="0.4"/>
    <n v="170"/>
    <n v="2"/>
    <n v="0.4"/>
    <n v="0.36"/>
    <n v="4"/>
    <n v="4"/>
    <n v="1.6"/>
    <n v="123"/>
    <n v="0"/>
    <n v="0"/>
    <n v="1"/>
    <n v="4"/>
    <n v="1.6"/>
    <n v="0.38400000000000001"/>
    <s v="Yes"/>
    <n v="4"/>
    <n v="0.8"/>
    <s v="Yes"/>
    <n v="4"/>
    <n v="0.8"/>
    <n v="17"/>
    <n v="0"/>
    <n v="0"/>
    <s v="Yes"/>
    <n v="4"/>
    <n v="1.6"/>
    <n v="0.32000000000000006"/>
    <s v="Yes"/>
    <n v="4"/>
    <n v="4"/>
    <s v="Yes"/>
    <n v="4"/>
    <n v="0"/>
    <n v="0.16"/>
    <n v="125944"/>
    <n v="2"/>
    <n v="0.8"/>
    <n v="20"/>
    <n v="4"/>
    <n v="0.8"/>
    <n v="2"/>
    <n v="0"/>
    <n v="0"/>
    <n v="69"/>
    <n v="4"/>
    <n v="0.6"/>
    <n v="78"/>
    <n v="4"/>
    <n v="0.6"/>
    <n v="0.22400000000000003"/>
    <s v="No"/>
    <n v="0"/>
    <n v="0"/>
    <s v="Moderate &amp; Low"/>
    <n v="2"/>
    <n v="0.6"/>
    <s v="Moderate &amp; Low"/>
    <n v="2"/>
    <n v="0.2"/>
    <s v="Moderate &amp; Low"/>
    <n v="2"/>
    <n v="0.2"/>
    <s v="High &amp; Very High"/>
    <n v="0"/>
    <n v="0"/>
    <s v="Moderate &amp; Low"/>
    <n v="2"/>
    <n v="0.2"/>
    <n v="7.1999999999999995E-2"/>
    <n v="1.52"/>
    <n v="25"/>
    <n v="2.87"/>
    <n v="8"/>
    <s v="Yes"/>
    <n v="0"/>
  </r>
  <r>
    <x v="6"/>
    <x v="6"/>
    <x v="2"/>
    <x v="5"/>
    <x v="6"/>
    <x v="1"/>
    <s v="Pre-Planning Stage"/>
    <s v="DPP planning stage"/>
    <s v="A Grade"/>
    <n v="4"/>
    <n v="2"/>
    <n v="382.07209999999998"/>
    <n v="2"/>
    <n v="0.3"/>
    <s v="Medium"/>
    <n v="2.2927609736486909"/>
    <n v="2"/>
    <n v="0.5"/>
    <s v="Low"/>
    <n v="1.9655975927056701"/>
    <n v="4"/>
    <n v="0.4"/>
    <n v="0.64"/>
    <s v="Priority 1"/>
    <n v="4"/>
    <n v="1.6"/>
    <s v="Pre-Feasibility/Feasibility"/>
    <n v="4"/>
    <n v="2.4"/>
    <n v="0.6"/>
    <n v="1"/>
    <n v="0"/>
    <n v="0"/>
    <n v="1"/>
    <n v="0"/>
    <n v="0"/>
    <n v="0"/>
    <n v="0"/>
    <n v="1.24"/>
    <n v="13"/>
    <n v="1"/>
    <n v="4"/>
    <n v="0.6"/>
    <s v="Yes"/>
    <n v="4"/>
    <n v="0.6"/>
    <n v="110"/>
    <n v="4"/>
    <n v="1.2"/>
    <n v="120"/>
    <n v="2"/>
    <n v="0.2"/>
    <n v="7"/>
    <n v="4"/>
    <n v="0.4"/>
    <n v="100"/>
    <n v="2"/>
    <n v="0.4"/>
    <n v="0.34"/>
    <n v="2"/>
    <n v="4"/>
    <n v="1.6"/>
    <s v="Not available"/>
    <n v="0"/>
    <n v="0"/>
    <n v="0"/>
    <n v="4"/>
    <n v="1.6"/>
    <n v="0.38400000000000001"/>
    <s v="No"/>
    <n v="0"/>
    <n v="0"/>
    <s v="Yes"/>
    <n v="4"/>
    <n v="0.8"/>
    <n v="99"/>
    <n v="2"/>
    <n v="0.4"/>
    <s v="Yes"/>
    <n v="4"/>
    <n v="1.6"/>
    <n v="0.28000000000000003"/>
    <s v="Yes"/>
    <n v="4"/>
    <n v="4"/>
    <s v="Yes"/>
    <n v="4"/>
    <n v="0"/>
    <n v="0.16"/>
    <n v="275486"/>
    <n v="4"/>
    <n v="1.6"/>
    <n v="20"/>
    <n v="4"/>
    <n v="0.8"/>
    <n v="10"/>
    <n v="2"/>
    <n v="0.2"/>
    <n v="100"/>
    <n v="4"/>
    <n v="0.6"/>
    <n v="9"/>
    <n v="4"/>
    <n v="0.6"/>
    <n v="0.30400000000000005"/>
    <s v="No"/>
    <n v="0"/>
    <n v="0"/>
    <s v="Very Low"/>
    <n v="4"/>
    <n v="1.2"/>
    <s v="Moderate &amp; Low"/>
    <n v="2"/>
    <n v="0.2"/>
    <s v="Very Low"/>
    <n v="4"/>
    <n v="0.4"/>
    <s v="High &amp; Very High"/>
    <n v="0"/>
    <n v="0"/>
    <s v="Very Low"/>
    <n v="4"/>
    <n v="0.4"/>
    <n v="0.13199999999999998"/>
    <n v="1.5999999999999999"/>
    <n v="13"/>
    <n v="2.84"/>
    <n v="9"/>
    <s v="Yes"/>
    <n v="0"/>
  </r>
  <r>
    <x v="7"/>
    <x v="7"/>
    <x v="1"/>
    <x v="3"/>
    <x v="7"/>
    <x v="0"/>
    <s v="Planning Stage"/>
    <s v="Planning Stage. "/>
    <s v="B Grade"/>
    <n v="2"/>
    <n v="1"/>
    <n v="104.985"/>
    <n v="2"/>
    <n v="0.3"/>
    <s v="Medium"/>
    <n v="2.6860980140020003"/>
    <n v="2"/>
    <n v="0.5"/>
    <s v="Low"/>
    <n v="0.47625851312092204"/>
    <n v="4"/>
    <n v="0.4"/>
    <n v="0.44000000000000006"/>
    <s v="Priority 3"/>
    <n v="0"/>
    <n v="0"/>
    <s v="Pre-Feasibility/Feasibility"/>
    <n v="4"/>
    <n v="2.4"/>
    <n v="0.36"/>
    <n v="15"/>
    <n v="4"/>
    <n v="2"/>
    <n v="15"/>
    <n v="0"/>
    <n v="0"/>
    <n v="0"/>
    <n v="0.3"/>
    <n v="1.1000000000000001"/>
    <n v="16"/>
    <n v="8"/>
    <n v="4"/>
    <n v="0.6"/>
    <s v="Yes"/>
    <n v="4"/>
    <n v="0.6"/>
    <n v="276"/>
    <n v="2"/>
    <n v="0.6"/>
    <n v="30"/>
    <n v="4"/>
    <n v="0.4"/>
    <n v="20"/>
    <n v="4"/>
    <n v="0.4"/>
    <n v="33"/>
    <n v="4"/>
    <n v="0.8"/>
    <n v="0.33999999999999997"/>
    <n v="12"/>
    <n v="4"/>
    <n v="1.6"/>
    <n v="5"/>
    <n v="4"/>
    <n v="0.8"/>
    <n v="0"/>
    <n v="4"/>
    <n v="1.6"/>
    <n v="0.48"/>
    <s v="Yes"/>
    <n v="4"/>
    <n v="0.8"/>
    <s v="Yes"/>
    <n v="4"/>
    <n v="0.8"/>
    <n v="1718"/>
    <n v="4"/>
    <n v="0.8"/>
    <s v="Yes"/>
    <n v="4"/>
    <n v="1.6"/>
    <n v="0.4"/>
    <s v="No"/>
    <n v="0"/>
    <n v="0"/>
    <s v="No"/>
    <n v="0"/>
    <n v="0"/>
    <n v="0"/>
    <n v="3683456"/>
    <n v="4"/>
    <n v="1.6"/>
    <n v="27"/>
    <n v="2"/>
    <n v="0.4"/>
    <n v="329"/>
    <n v="4"/>
    <n v="0.4"/>
    <n v="900"/>
    <n v="4"/>
    <n v="0.6"/>
    <n v="193"/>
    <n v="4"/>
    <n v="0.6"/>
    <n v="0.28800000000000003"/>
    <s v="Yes"/>
    <n v="4"/>
    <n v="1.2"/>
    <s v="Moderate &amp; Low"/>
    <n v="2"/>
    <n v="0.6"/>
    <s v="Moderate &amp; Low"/>
    <n v="2"/>
    <n v="0.2"/>
    <s v="Very Low"/>
    <n v="4"/>
    <n v="0.4"/>
    <s v="Moderate &amp; Low"/>
    <n v="2"/>
    <n v="0.2"/>
    <s v="Very Low"/>
    <n v="4"/>
    <n v="0.4"/>
    <n v="0.18"/>
    <n v="1.6879999999999999"/>
    <n v="5"/>
    <n v="2.7880000000000003"/>
    <n v="10"/>
    <s v="Yes"/>
    <n v="0"/>
  </r>
  <r>
    <x v="8"/>
    <x v="8"/>
    <x v="0"/>
    <x v="1"/>
    <x v="8"/>
    <x v="0"/>
    <s v="Planning Stage"/>
    <s v="Under Construction"/>
    <s v="A Grade"/>
    <n v="4"/>
    <n v="2"/>
    <n v="1240.72"/>
    <n v="4"/>
    <n v="0.6"/>
    <s v="Not Available"/>
    <m/>
    <n v="0"/>
    <n v="0"/>
    <s v="High"/>
    <n v="7.2103294861048424"/>
    <n v="0"/>
    <n v="0"/>
    <n v="0.52"/>
    <s v="Priority 1"/>
    <n v="4"/>
    <n v="1.6"/>
    <s v="Pre-Feasibility/Feasibility"/>
    <n v="4"/>
    <n v="2.4"/>
    <n v="0.6"/>
    <n v="1"/>
    <n v="0"/>
    <n v="0"/>
    <n v="4"/>
    <n v="3"/>
    <n v="2"/>
    <n v="1"/>
    <n v="0.15"/>
    <n v="1.27"/>
    <n v="11"/>
    <n v="8"/>
    <n v="4"/>
    <n v="0.6"/>
    <s v="Yes"/>
    <n v="4"/>
    <n v="0.6"/>
    <n v="100"/>
    <n v="4"/>
    <n v="1.2"/>
    <n v="100"/>
    <n v="4"/>
    <n v="0.4"/>
    <n v="100"/>
    <n v="2"/>
    <n v="0.2"/>
    <n v="155"/>
    <n v="2"/>
    <n v="0.4"/>
    <n v="0.34"/>
    <n v="25"/>
    <n v="4"/>
    <n v="1.6"/>
    <s v="Not available"/>
    <n v="0"/>
    <n v="0"/>
    <s v="Not available (saline)"/>
    <n v="0"/>
    <n v="0"/>
    <n v="0.192"/>
    <s v="Yes"/>
    <n v="4"/>
    <n v="0.8"/>
    <s v="Yes"/>
    <n v="4"/>
    <n v="0.8"/>
    <n v="38"/>
    <n v="0"/>
    <n v="0"/>
    <s v="Yes"/>
    <n v="4"/>
    <n v="1.6"/>
    <n v="0.32000000000000006"/>
    <s v="Yes"/>
    <n v="4"/>
    <n v="4"/>
    <s v="Yes"/>
    <n v="4"/>
    <n v="0"/>
    <n v="0.16"/>
    <n v="260078"/>
    <n v="4"/>
    <n v="1.6"/>
    <n v="15"/>
    <n v="4"/>
    <n v="0.8"/>
    <n v="86"/>
    <n v="4"/>
    <n v="0.4"/>
    <n v="61"/>
    <n v="4"/>
    <n v="0.6"/>
    <n v="24"/>
    <n v="4"/>
    <n v="0.6"/>
    <n v="0.32"/>
    <s v="Yes"/>
    <n v="4"/>
    <n v="1.2"/>
    <s v="Moderate &amp; Low"/>
    <n v="2"/>
    <n v="0.6"/>
    <s v="Moderate &amp; Low"/>
    <n v="2"/>
    <n v="0.2"/>
    <s v="Moderate &amp; Low"/>
    <n v="2"/>
    <n v="0.2"/>
    <s v="High &amp; Very High"/>
    <n v="0"/>
    <n v="0"/>
    <s v="Moderate &amp; Low"/>
    <n v="2"/>
    <n v="0.2"/>
    <n v="0.14399999999999999"/>
    <n v="1.476"/>
    <n v="28"/>
    <n v="2.746"/>
    <n v="11"/>
    <s v="Yes"/>
    <n v="1"/>
  </r>
  <r>
    <x v="9"/>
    <x v="9"/>
    <x v="0"/>
    <x v="1"/>
    <x v="1"/>
    <x v="0"/>
    <s v="Under Development"/>
    <s v="Under Development"/>
    <s v="A Grade"/>
    <n v="4"/>
    <n v="2"/>
    <n v="293.05"/>
    <n v="2"/>
    <n v="0.3"/>
    <s v="Medium"/>
    <n v="2.1634533356082577"/>
    <n v="2"/>
    <n v="0.5"/>
    <s v="Low"/>
    <n v="7.8484900187681284E-2"/>
    <n v="4"/>
    <n v="0.4"/>
    <n v="0.64"/>
    <s v="Priority 1"/>
    <n v="4"/>
    <n v="1.6"/>
    <s v="Pre-Feasibility/Feasibility"/>
    <n v="4"/>
    <n v="2.4"/>
    <n v="0.6"/>
    <n v="1"/>
    <n v="0"/>
    <n v="0"/>
    <n v="4"/>
    <n v="3"/>
    <n v="2"/>
    <n v="1"/>
    <n v="0.15"/>
    <n v="1.39"/>
    <n v="8"/>
    <n v="52"/>
    <n v="0"/>
    <n v="0"/>
    <s v="No"/>
    <n v="0"/>
    <n v="0"/>
    <n v="216"/>
    <n v="2"/>
    <n v="0.6"/>
    <n v="80"/>
    <n v="4"/>
    <n v="0.4"/>
    <n v="160"/>
    <n v="0"/>
    <n v="0"/>
    <n v="10"/>
    <n v="4"/>
    <n v="0.8"/>
    <n v="0.18000000000000002"/>
    <n v="80"/>
    <n v="2"/>
    <n v="0.8"/>
    <n v="190"/>
    <n v="0"/>
    <n v="0"/>
    <n v="20"/>
    <n v="4"/>
    <n v="1.6"/>
    <n v="0.28800000000000003"/>
    <s v="Yes"/>
    <n v="4"/>
    <n v="0.8"/>
    <s v="Yes"/>
    <n v="4"/>
    <n v="0.8"/>
    <n v="38"/>
    <n v="0"/>
    <n v="0"/>
    <s v="Yes"/>
    <n v="4"/>
    <n v="1.6"/>
    <n v="0.32000000000000006"/>
    <s v="Yes"/>
    <n v="4"/>
    <n v="4"/>
    <s v="Yes"/>
    <n v="4"/>
    <n v="0"/>
    <n v="0.16"/>
    <n v="260078"/>
    <n v="4"/>
    <n v="1.6"/>
    <n v="62"/>
    <n v="0"/>
    <n v="0"/>
    <n v="86"/>
    <n v="4"/>
    <n v="0.4"/>
    <n v="61"/>
    <n v="4"/>
    <n v="0.6"/>
    <n v="24"/>
    <n v="4"/>
    <n v="0.6"/>
    <n v="0.25600000000000001"/>
    <s v="Yes"/>
    <n v="4"/>
    <n v="1.2"/>
    <s v="Moderate &amp; Low"/>
    <n v="2"/>
    <n v="0.6"/>
    <s v="Moderate &amp; Low"/>
    <n v="2"/>
    <n v="0.2"/>
    <s v="Moderate &amp; Low"/>
    <n v="2"/>
    <n v="0.2"/>
    <s v="High &amp; Very High"/>
    <n v="0"/>
    <n v="0"/>
    <s v="Moderate &amp; Low"/>
    <n v="2"/>
    <n v="0.2"/>
    <n v="0.14399999999999999"/>
    <n v="1.3480000000000001"/>
    <n v="38"/>
    <n v="2.738"/>
    <n v="12"/>
    <s v="Yes"/>
    <n v="0"/>
  </r>
  <r>
    <x v="10"/>
    <x v="10"/>
    <x v="1"/>
    <x v="2"/>
    <x v="9"/>
    <x v="0"/>
    <s v="Pre-Planning Stage"/>
    <s v="Partial land is available"/>
    <s v="B Grade"/>
    <n v="2"/>
    <n v="1"/>
    <n v="276.12"/>
    <n v="2"/>
    <n v="0.3"/>
    <s v="Medium"/>
    <n v="2.1936114732724903"/>
    <n v="2"/>
    <n v="0.5"/>
    <s v="Low"/>
    <n v="0.45885846733304358"/>
    <n v="4"/>
    <n v="0.4"/>
    <n v="0.44000000000000006"/>
    <s v="Priority 3"/>
    <n v="0"/>
    <n v="0"/>
    <s v="Pre-Feasibility/Feasibility"/>
    <n v="4"/>
    <n v="2.4"/>
    <n v="0.36"/>
    <n v="18"/>
    <n v="4"/>
    <n v="2"/>
    <n v="18"/>
    <n v="0"/>
    <n v="0"/>
    <n v="0"/>
    <n v="0.3"/>
    <n v="1.1000000000000001"/>
    <n v="16"/>
    <n v="6"/>
    <n v="4"/>
    <n v="0.6"/>
    <s v="Yes"/>
    <n v="4"/>
    <n v="0.6"/>
    <n v="230"/>
    <n v="2"/>
    <n v="0.6"/>
    <n v="36"/>
    <n v="4"/>
    <n v="0.4"/>
    <n v="24"/>
    <n v="4"/>
    <n v="0.4"/>
    <n v="3"/>
    <n v="4"/>
    <n v="0.8"/>
    <n v="0.33999999999999997"/>
    <n v="18"/>
    <n v="4"/>
    <n v="1.6"/>
    <n v="11"/>
    <n v="4"/>
    <n v="0.8"/>
    <n v="1"/>
    <n v="4"/>
    <n v="1.6"/>
    <n v="0.48"/>
    <s v="Yes"/>
    <n v="4"/>
    <n v="0.8"/>
    <s v="Yes"/>
    <n v="4"/>
    <n v="0.8"/>
    <n v="606"/>
    <n v="4"/>
    <n v="0.8"/>
    <s v="Yes"/>
    <n v="4"/>
    <n v="1.6"/>
    <n v="0.4"/>
    <s v="No"/>
    <n v="0"/>
    <n v="0"/>
    <s v="No"/>
    <n v="0"/>
    <n v="0"/>
    <n v="0"/>
    <n v="861792"/>
    <n v="4"/>
    <n v="1.6"/>
    <n v="26"/>
    <n v="2"/>
    <n v="0.4"/>
    <n v="218"/>
    <n v="4"/>
    <n v="0.4"/>
    <n v="144"/>
    <n v="4"/>
    <n v="0.6"/>
    <n v="78"/>
    <n v="4"/>
    <n v="0.6"/>
    <n v="0.28800000000000003"/>
    <s v="Yes"/>
    <n v="4"/>
    <n v="1.2"/>
    <s v="Very High &amp; High"/>
    <n v="0"/>
    <n v="0"/>
    <s v="Very High &amp; High"/>
    <n v="0"/>
    <n v="0"/>
    <s v="Very Low"/>
    <n v="4"/>
    <n v="0.4"/>
    <s v="High &amp; Very High"/>
    <n v="0"/>
    <n v="0"/>
    <s v="Very Low"/>
    <n v="4"/>
    <n v="0.4"/>
    <n v="0.12"/>
    <n v="1.6280000000000001"/>
    <n v="8"/>
    <n v="2.7280000000000002"/>
    <n v="13"/>
    <s v="Yes"/>
    <n v="0"/>
  </r>
  <r>
    <x v="11"/>
    <x v="11"/>
    <x v="0"/>
    <x v="1"/>
    <x v="8"/>
    <x v="0"/>
    <s v="Under Development"/>
    <s v="Under Construction"/>
    <s v="A Grade"/>
    <n v="4"/>
    <n v="2"/>
    <n v="1000"/>
    <n v="4"/>
    <n v="0.6"/>
    <s v="Not Available"/>
    <m/>
    <n v="0"/>
    <n v="0"/>
    <s v="Not Available"/>
    <m/>
    <n v="0"/>
    <n v="0"/>
    <n v="0.52"/>
    <s v="Priority 1"/>
    <n v="4"/>
    <n v="1.6"/>
    <s v="Pre-Feasibility/Feasibility"/>
    <n v="4"/>
    <n v="2.4"/>
    <n v="0.6"/>
    <n v="1"/>
    <n v="0"/>
    <n v="0"/>
    <n v="4"/>
    <n v="3"/>
    <n v="2"/>
    <n v="1"/>
    <n v="0.15"/>
    <n v="1.27"/>
    <n v="11"/>
    <n v="52"/>
    <n v="0"/>
    <n v="0"/>
    <s v="Yes"/>
    <n v="4"/>
    <n v="0.6"/>
    <n v="124"/>
    <n v="4"/>
    <n v="1.2"/>
    <n v="110"/>
    <n v="2"/>
    <n v="0.2"/>
    <n v="120"/>
    <n v="2"/>
    <n v="0.2"/>
    <n v="7.5"/>
    <n v="4"/>
    <n v="0.8"/>
    <n v="0.30000000000000004"/>
    <n v="4"/>
    <n v="4"/>
    <n v="1.6"/>
    <s v="Not available"/>
    <n v="0"/>
    <n v="0"/>
    <s v="Not available (saline)"/>
    <n v="0"/>
    <n v="0"/>
    <n v="0.192"/>
    <s v="Yes"/>
    <n v="4"/>
    <n v="0.8"/>
    <s v="Yes"/>
    <n v="4"/>
    <n v="0.8"/>
    <n v="38"/>
    <n v="0"/>
    <n v="0"/>
    <s v="Yes"/>
    <n v="4"/>
    <n v="1.6"/>
    <n v="0.32000000000000006"/>
    <s v="Yes"/>
    <n v="4"/>
    <n v="4"/>
    <s v="Yes"/>
    <n v="4"/>
    <n v="0"/>
    <n v="0.16"/>
    <n v="260078"/>
    <n v="4"/>
    <n v="1.6"/>
    <n v="22"/>
    <n v="4"/>
    <n v="0.8"/>
    <n v="86"/>
    <n v="4"/>
    <n v="0.4"/>
    <n v="61"/>
    <n v="4"/>
    <n v="0.6"/>
    <n v="24"/>
    <n v="4"/>
    <n v="0.6"/>
    <n v="0.32"/>
    <s v="Yes"/>
    <n v="4"/>
    <n v="1.2"/>
    <s v="Moderate &amp; Low"/>
    <n v="2"/>
    <n v="0.6"/>
    <s v="Moderate &amp; Low"/>
    <n v="2"/>
    <n v="0.2"/>
    <s v="Moderate &amp; Low"/>
    <n v="2"/>
    <n v="0.2"/>
    <s v="High &amp; Very High"/>
    <n v="0"/>
    <n v="0"/>
    <s v="Moderate &amp; Low"/>
    <n v="2"/>
    <n v="0.2"/>
    <n v="0.14399999999999999"/>
    <n v="1.4359999999999999"/>
    <n v="34"/>
    <n v="2.706"/>
    <n v="14"/>
    <s v="Yes"/>
    <n v="2"/>
  </r>
  <r>
    <x v="12"/>
    <x v="12"/>
    <x v="0"/>
    <x v="6"/>
    <x v="10"/>
    <x v="0"/>
    <s v="Planning Stage"/>
    <s v="Proposed Agro Photo Voltaic Zone"/>
    <s v="A Grade"/>
    <n v="4"/>
    <n v="2"/>
    <n v="3037.85"/>
    <n v="4"/>
    <n v="0.6"/>
    <s v="Low"/>
    <n v="5.4495909936303644"/>
    <n v="0"/>
    <n v="0"/>
    <s v="Low"/>
    <n v="0.84509110061392112"/>
    <n v="4"/>
    <n v="0.4"/>
    <n v="0.60000000000000009"/>
    <s v="Priority 1"/>
    <n v="4"/>
    <n v="1.6"/>
    <s v="Pre-Feasibility/Feasibility"/>
    <n v="4"/>
    <n v="2.4"/>
    <n v="0.6"/>
    <n v="0"/>
    <n v="0"/>
    <n v="0"/>
    <n v="0"/>
    <n v="0"/>
    <n v="0"/>
    <n v="0"/>
    <n v="0"/>
    <n v="1.2000000000000002"/>
    <n v="15"/>
    <n v="53"/>
    <n v="0"/>
    <n v="0"/>
    <s v="No"/>
    <n v="0"/>
    <n v="0"/>
    <n v="40"/>
    <n v="4"/>
    <n v="1.2"/>
    <n v="85"/>
    <n v="4"/>
    <n v="0.4"/>
    <n v="40"/>
    <n v="4"/>
    <n v="0.4"/>
    <n v="108"/>
    <n v="2"/>
    <n v="0.4"/>
    <n v="0.24"/>
    <n v="10"/>
    <n v="4"/>
    <n v="1.6"/>
    <n v="20"/>
    <n v="4"/>
    <n v="0.8"/>
    <n v="0"/>
    <n v="4"/>
    <n v="1.6"/>
    <n v="0.48"/>
    <s v="Yes"/>
    <n v="4"/>
    <n v="0.8"/>
    <s v="Yes"/>
    <n v="4"/>
    <n v="0.8"/>
    <n v="56"/>
    <n v="2"/>
    <n v="0.4"/>
    <s v="No"/>
    <n v="0"/>
    <n v="0"/>
    <n v="0.2"/>
    <s v="Yes"/>
    <n v="4"/>
    <n v="4"/>
    <s v="Yes"/>
    <n v="4"/>
    <n v="0"/>
    <n v="0.16"/>
    <n v="314753"/>
    <n v="4"/>
    <n v="1.6"/>
    <n v="25"/>
    <n v="2"/>
    <n v="0.4"/>
    <n v="76"/>
    <n v="4"/>
    <n v="0.4"/>
    <n v="88"/>
    <n v="4"/>
    <n v="0.6"/>
    <n v="34"/>
    <n v="4"/>
    <n v="0.6"/>
    <n v="0.28800000000000003"/>
    <s v="No"/>
    <n v="0"/>
    <n v="0"/>
    <s v="Very High &amp; High"/>
    <n v="0"/>
    <n v="0"/>
    <s v="Very High &amp; High"/>
    <n v="0"/>
    <n v="0"/>
    <s v="Moderate &amp; Low"/>
    <n v="2"/>
    <n v="0.2"/>
    <s v="High &amp; Very High"/>
    <n v="0"/>
    <n v="0"/>
    <s v="Moderate &amp; Low"/>
    <n v="2"/>
    <n v="0.2"/>
    <n v="2.4E-2"/>
    <n v="1.3919999999999999"/>
    <n v="37"/>
    <n v="2.5920000000000001"/>
    <n v="15"/>
    <s v="Yes"/>
    <n v="0"/>
  </r>
  <r>
    <x v="13"/>
    <x v="13"/>
    <x v="0"/>
    <x v="0"/>
    <x v="4"/>
    <x v="2"/>
    <s v="Under Development"/>
    <s v="Operational"/>
    <s v="A Grade"/>
    <n v="4"/>
    <n v="2"/>
    <n v="65.247799999999998"/>
    <n v="0"/>
    <n v="0"/>
    <s v="Not Available"/>
    <m/>
    <n v="0"/>
    <n v="0"/>
    <s v="Not Available"/>
    <m/>
    <n v="0"/>
    <n v="0"/>
    <n v="0.4"/>
    <s v="N/A"/>
    <n v="4"/>
    <n v="1.6"/>
    <s v="In-principal Approval/No Report"/>
    <n v="0"/>
    <n v="0"/>
    <n v="0.24"/>
    <n v="19"/>
    <n v="4"/>
    <n v="2"/>
    <n v="19"/>
    <n v="0"/>
    <n v="0"/>
    <n v="0"/>
    <n v="0.3"/>
    <n v="0.94"/>
    <n v="23"/>
    <n v="7"/>
    <n v="4"/>
    <n v="0.6"/>
    <s v="Yes"/>
    <n v="4"/>
    <n v="0.6"/>
    <n v="26"/>
    <n v="4"/>
    <n v="1.2"/>
    <n v="38"/>
    <n v="4"/>
    <n v="0.4"/>
    <n v="22"/>
    <n v="4"/>
    <n v="0.4"/>
    <n v="144"/>
    <n v="2"/>
    <n v="0.4"/>
    <n v="0.36"/>
    <n v="4"/>
    <n v="4"/>
    <n v="1.6"/>
    <n v="2"/>
    <n v="4"/>
    <n v="0.8"/>
    <n v="1"/>
    <n v="4"/>
    <n v="1.6"/>
    <n v="0.48"/>
    <s v="Yes"/>
    <n v="4"/>
    <n v="0.8"/>
    <s v="Yes"/>
    <n v="4"/>
    <n v="0.8"/>
    <n v="568"/>
    <n v="4"/>
    <n v="0.8"/>
    <s v="Yes"/>
    <n v="4"/>
    <n v="1.6"/>
    <n v="0.4"/>
    <s v="No"/>
    <n v="0"/>
    <n v="0"/>
    <s v="No"/>
    <n v="0"/>
    <n v="0"/>
    <n v="0"/>
    <n v="1968862"/>
    <n v="4"/>
    <n v="1.6"/>
    <n v="22"/>
    <n v="4"/>
    <n v="0.8"/>
    <n v="76"/>
    <n v="4"/>
    <n v="0.4"/>
    <n v="217"/>
    <n v="4"/>
    <n v="0.6"/>
    <n v="34"/>
    <n v="4"/>
    <n v="0.6"/>
    <n v="0.32"/>
    <s v="No"/>
    <n v="0"/>
    <n v="0"/>
    <s v="Moderate &amp; Low"/>
    <n v="2"/>
    <n v="0.6"/>
    <s v="Moderate &amp; Low"/>
    <n v="2"/>
    <n v="0.2"/>
    <s v="Moderate &amp; Low"/>
    <n v="2"/>
    <n v="0.2"/>
    <s v="High &amp; Very High"/>
    <n v="0"/>
    <n v="0"/>
    <s v="Very High &amp; High"/>
    <n v="0"/>
    <n v="0"/>
    <n v="0.06"/>
    <n v="1.62"/>
    <n v="9"/>
    <n v="2.56"/>
    <n v="16"/>
    <s v="Yes"/>
    <n v="2"/>
  </r>
  <r>
    <x v="14"/>
    <x v="14"/>
    <x v="1"/>
    <x v="2"/>
    <x v="11"/>
    <x v="2"/>
    <s v="Under Development"/>
    <s v="Operational"/>
    <s v="A Grade"/>
    <n v="4"/>
    <n v="2"/>
    <n v="150"/>
    <n v="2"/>
    <n v="0.3"/>
    <s v="Not Available"/>
    <m/>
    <n v="0"/>
    <n v="0"/>
    <s v="Not Available"/>
    <m/>
    <n v="0"/>
    <n v="0"/>
    <n v="0.45999999999999996"/>
    <s v="N/A"/>
    <n v="4"/>
    <n v="1.6"/>
    <s v="In-principal Approval/No Report"/>
    <n v="0"/>
    <n v="0"/>
    <n v="0.24"/>
    <n v="18"/>
    <n v="4"/>
    <n v="2"/>
    <n v="18"/>
    <n v="0"/>
    <n v="0"/>
    <n v="0"/>
    <n v="0.3"/>
    <n v="1"/>
    <n v="22"/>
    <n v="6"/>
    <n v="4"/>
    <n v="0.6"/>
    <s v="Yes"/>
    <n v="4"/>
    <n v="0.6"/>
    <n v="220"/>
    <n v="2"/>
    <n v="0.6"/>
    <n v="46"/>
    <n v="4"/>
    <n v="0.4"/>
    <n v="16"/>
    <n v="4"/>
    <n v="0.4"/>
    <n v="4.5"/>
    <n v="4"/>
    <n v="0.8"/>
    <n v="0.33999999999999997"/>
    <n v="18"/>
    <n v="4"/>
    <n v="1.6"/>
    <n v="11"/>
    <n v="4"/>
    <n v="0.8"/>
    <n v="1"/>
    <n v="4"/>
    <n v="1.6"/>
    <n v="0.48"/>
    <s v="Yes"/>
    <n v="4"/>
    <n v="0.8"/>
    <s v="Yes"/>
    <n v="4"/>
    <n v="0.8"/>
    <n v="606"/>
    <n v="4"/>
    <n v="0.8"/>
    <s v="Yes"/>
    <n v="4"/>
    <n v="1.6"/>
    <n v="0.4"/>
    <s v="No"/>
    <n v="0"/>
    <n v="0"/>
    <s v="No"/>
    <n v="0"/>
    <n v="0"/>
    <n v="0"/>
    <n v="861792"/>
    <n v="4"/>
    <n v="1.6"/>
    <n v="26"/>
    <n v="2"/>
    <n v="0.4"/>
    <n v="218"/>
    <n v="4"/>
    <n v="0.4"/>
    <n v="144"/>
    <n v="4"/>
    <n v="0.6"/>
    <n v="78"/>
    <n v="4"/>
    <n v="0.6"/>
    <n v="0.28800000000000003"/>
    <s v="No"/>
    <n v="0"/>
    <n v="0"/>
    <s v="Very High &amp; High"/>
    <n v="0"/>
    <n v="0"/>
    <s v="Very High &amp; High"/>
    <n v="0"/>
    <n v="0"/>
    <s v="Very Low"/>
    <n v="4"/>
    <n v="0.4"/>
    <s v="High &amp; Very High"/>
    <n v="0"/>
    <n v="0"/>
    <s v="Very Low"/>
    <n v="4"/>
    <n v="0.4"/>
    <n v="4.8000000000000001E-2"/>
    <n v="1.556"/>
    <n v="20"/>
    <n v="2.556"/>
    <n v="17"/>
    <s v="Yes"/>
    <n v="2"/>
  </r>
  <r>
    <x v="15"/>
    <x v="15"/>
    <x v="1"/>
    <x v="3"/>
    <x v="7"/>
    <x v="2"/>
    <s v="Under Development"/>
    <s v="Operational"/>
    <s v="A Grade"/>
    <n v="4"/>
    <n v="2"/>
    <n v="53.872700000000002"/>
    <n v="0"/>
    <n v="0"/>
    <s v="Not Available"/>
    <m/>
    <n v="0"/>
    <n v="0"/>
    <s v="Not Available"/>
    <m/>
    <n v="0"/>
    <n v="0"/>
    <n v="0.4"/>
    <s v="N/A"/>
    <n v="4"/>
    <n v="1.6"/>
    <s v="In-principal Approval/No Report"/>
    <n v="0"/>
    <n v="0"/>
    <n v="0.24"/>
    <n v="15"/>
    <n v="4"/>
    <n v="2"/>
    <n v="15"/>
    <n v="0"/>
    <n v="0"/>
    <n v="0"/>
    <n v="0.3"/>
    <n v="0.94"/>
    <n v="23"/>
    <n v="4"/>
    <n v="4"/>
    <n v="0.6"/>
    <s v="Yes"/>
    <n v="4"/>
    <n v="0.6"/>
    <n v="248"/>
    <n v="2"/>
    <n v="0.6"/>
    <n v="22"/>
    <n v="4"/>
    <n v="0.4"/>
    <n v="7"/>
    <n v="4"/>
    <n v="0.4"/>
    <n v="33"/>
    <n v="4"/>
    <n v="0.8"/>
    <n v="0.33999999999999997"/>
    <n v="12"/>
    <n v="4"/>
    <n v="1.6"/>
    <n v="5"/>
    <n v="4"/>
    <n v="0.8"/>
    <n v="1"/>
    <n v="4"/>
    <n v="1.6"/>
    <n v="0.48"/>
    <s v="Yes"/>
    <n v="4"/>
    <n v="0.8"/>
    <s v="Yes"/>
    <n v="4"/>
    <n v="0.8"/>
    <n v="1718"/>
    <n v="4"/>
    <n v="0.8"/>
    <s v="Yes"/>
    <n v="4"/>
    <n v="1.6"/>
    <n v="0.4"/>
    <s v="No"/>
    <n v="0"/>
    <n v="0"/>
    <s v="No"/>
    <n v="0"/>
    <n v="0"/>
    <n v="0"/>
    <n v="3683456"/>
    <n v="4"/>
    <n v="1.6"/>
    <n v="27"/>
    <n v="2"/>
    <n v="0.4"/>
    <n v="329"/>
    <n v="4"/>
    <n v="0.4"/>
    <n v="900"/>
    <n v="4"/>
    <n v="0.6"/>
    <n v="193"/>
    <n v="4"/>
    <n v="0.6"/>
    <n v="0.28800000000000003"/>
    <s v="No"/>
    <n v="0"/>
    <n v="0"/>
    <s v="Moderate &amp; Low"/>
    <n v="2"/>
    <n v="0.6"/>
    <s v="Moderate &amp; Low"/>
    <n v="2"/>
    <n v="0.2"/>
    <s v="Very Low"/>
    <n v="4"/>
    <n v="0.4"/>
    <s v="Moderate &amp; Low"/>
    <n v="2"/>
    <n v="0.2"/>
    <s v="Very Low"/>
    <n v="4"/>
    <n v="0.4"/>
    <n v="0.10800000000000001"/>
    <n v="1.6160000000000001"/>
    <n v="10"/>
    <n v="2.556"/>
    <n v="17"/>
    <s v="Yes"/>
    <n v="2"/>
  </r>
  <r>
    <x v="16"/>
    <x v="16"/>
    <x v="1"/>
    <x v="2"/>
    <x v="11"/>
    <x v="2"/>
    <s v="Under Development"/>
    <s v="Operational"/>
    <s v="A Grade"/>
    <n v="4"/>
    <n v="2"/>
    <n v="80"/>
    <n v="0"/>
    <n v="0"/>
    <s v="Not Available"/>
    <m/>
    <n v="0"/>
    <n v="0"/>
    <s v="Not Available"/>
    <m/>
    <n v="0"/>
    <n v="0"/>
    <n v="0.4"/>
    <s v="N/A"/>
    <n v="4"/>
    <n v="1.6"/>
    <s v="In-principal Approval/No Report"/>
    <n v="0"/>
    <n v="0"/>
    <n v="0.24"/>
    <n v="18"/>
    <n v="4"/>
    <n v="2"/>
    <n v="18"/>
    <n v="0"/>
    <n v="0"/>
    <n v="0"/>
    <n v="0.3"/>
    <n v="0.94"/>
    <n v="23"/>
    <n v="0"/>
    <n v="4"/>
    <n v="0.6"/>
    <s v="Yes"/>
    <n v="4"/>
    <n v="0.6"/>
    <n v="229"/>
    <n v="2"/>
    <n v="0.6"/>
    <n v="39.799999999999997"/>
    <n v="4"/>
    <n v="0.4"/>
    <n v="27"/>
    <n v="4"/>
    <n v="0.4"/>
    <n v="20"/>
    <n v="4"/>
    <n v="0.8"/>
    <n v="0.33999999999999997"/>
    <n v="0"/>
    <n v="4"/>
    <n v="1.6"/>
    <n v="30"/>
    <n v="4"/>
    <n v="0.8"/>
    <n v="20"/>
    <n v="4"/>
    <n v="1.6"/>
    <n v="0.48"/>
    <s v="Yes"/>
    <n v="4"/>
    <n v="0.8"/>
    <s v="Yes"/>
    <n v="4"/>
    <n v="0.8"/>
    <n v="606"/>
    <n v="4"/>
    <n v="0.8"/>
    <s v="Yes"/>
    <n v="4"/>
    <n v="1.6"/>
    <n v="0.4"/>
    <s v="No"/>
    <n v="0"/>
    <n v="0"/>
    <s v="No"/>
    <n v="0"/>
    <n v="0"/>
    <n v="0"/>
    <n v="861792"/>
    <n v="4"/>
    <n v="1.6"/>
    <n v="10.7"/>
    <n v="4"/>
    <n v="0.8"/>
    <n v="218"/>
    <n v="4"/>
    <n v="0.4"/>
    <n v="144"/>
    <n v="4"/>
    <n v="0.6"/>
    <n v="78"/>
    <n v="4"/>
    <n v="0.6"/>
    <n v="0.32"/>
    <s v="No"/>
    <n v="0"/>
    <n v="0"/>
    <s v="Very High &amp; High"/>
    <n v="0"/>
    <n v="0"/>
    <s v="Very High &amp; High"/>
    <n v="0"/>
    <n v="0"/>
    <s v="Very Low"/>
    <n v="4"/>
    <n v="0.4"/>
    <s v="High &amp; Very High"/>
    <n v="0"/>
    <n v="0"/>
    <s v="Very Low"/>
    <n v="4"/>
    <n v="0.4"/>
    <n v="4.8000000000000001E-2"/>
    <n v="1.5880000000000001"/>
    <n v="15"/>
    <n v="2.528"/>
    <n v="19"/>
    <s v="Yes"/>
    <n v="2"/>
  </r>
  <r>
    <x v="17"/>
    <x v="17"/>
    <x v="3"/>
    <x v="7"/>
    <x v="12"/>
    <x v="0"/>
    <s v="Under Development"/>
    <s v="Under Construction"/>
    <s v="A Grade"/>
    <n v="4"/>
    <n v="2"/>
    <n v="352.12"/>
    <n v="2"/>
    <n v="0.3"/>
    <s v="Medium"/>
    <n v="2.7774622287856414"/>
    <n v="2"/>
    <n v="0.5"/>
    <s v="Low"/>
    <n v="0.49130978075656023"/>
    <n v="4"/>
    <n v="0.4"/>
    <n v="0.64"/>
    <s v="Priority 1"/>
    <n v="4"/>
    <n v="1.6"/>
    <s v="Pre-Feasibility/Feasibility"/>
    <n v="4"/>
    <n v="2.4"/>
    <n v="0.6"/>
    <n v="4"/>
    <n v="0"/>
    <n v="0"/>
    <n v="4"/>
    <n v="0"/>
    <n v="0"/>
    <n v="0"/>
    <n v="0"/>
    <n v="1.24"/>
    <n v="13"/>
    <n v="23"/>
    <n v="4"/>
    <n v="0.6"/>
    <s v="Yes"/>
    <n v="4"/>
    <n v="0.6"/>
    <n v="435"/>
    <n v="0"/>
    <n v="0"/>
    <n v="55"/>
    <n v="4"/>
    <n v="0.4"/>
    <n v="43"/>
    <n v="4"/>
    <n v="0.4"/>
    <n v="208"/>
    <n v="0"/>
    <n v="0"/>
    <n v="0.2"/>
    <n v="115"/>
    <n v="0"/>
    <n v="0"/>
    <n v="6"/>
    <n v="4"/>
    <n v="0.8"/>
    <n v="1"/>
    <n v="4"/>
    <n v="1.6"/>
    <n v="0.28800000000000003"/>
    <s v="No"/>
    <n v="0"/>
    <n v="0"/>
    <s v="Yes"/>
    <n v="4"/>
    <n v="0.8"/>
    <n v="72"/>
    <n v="2"/>
    <n v="0.4"/>
    <s v="No"/>
    <n v="0"/>
    <n v="0"/>
    <n v="0.12000000000000002"/>
    <s v="Yes"/>
    <n v="4"/>
    <n v="4"/>
    <s v="Yes"/>
    <n v="4"/>
    <n v="0"/>
    <n v="0.16"/>
    <n v="236537"/>
    <n v="4"/>
    <n v="1.6"/>
    <n v="1"/>
    <n v="4"/>
    <n v="0.8"/>
    <n v="41"/>
    <n v="4"/>
    <n v="0.4"/>
    <n v="68"/>
    <n v="4"/>
    <n v="0.6"/>
    <n v="9"/>
    <n v="4"/>
    <n v="0.6"/>
    <n v="0.32"/>
    <s v="Yes"/>
    <n v="4"/>
    <n v="1.2"/>
    <s v="Moderate &amp; Low"/>
    <n v="2"/>
    <n v="0.6"/>
    <s v="Moderate &amp; Low"/>
    <n v="2"/>
    <n v="0.2"/>
    <s v="Very Low"/>
    <n v="4"/>
    <n v="0.4"/>
    <s v="Very Low"/>
    <n v="4"/>
    <n v="0.4"/>
    <s v="Very Low"/>
    <n v="4"/>
    <n v="0.4"/>
    <n v="0.19199999999999998"/>
    <n v="1.28"/>
    <n v="41"/>
    <n v="2.52"/>
    <n v="20"/>
    <s v="Yes"/>
    <n v="0"/>
  </r>
  <r>
    <x v="18"/>
    <x v="18"/>
    <x v="2"/>
    <x v="8"/>
    <x v="13"/>
    <x v="0"/>
    <s v="Planning Stage"/>
    <s v="Under Construction"/>
    <s v="A Grade"/>
    <n v="4"/>
    <n v="2"/>
    <n v="205.22"/>
    <n v="2"/>
    <n v="0.3"/>
    <s v="Not Available"/>
    <m/>
    <n v="0"/>
    <n v="0"/>
    <s v="Not Available"/>
    <m/>
    <n v="0"/>
    <n v="0"/>
    <n v="0.45999999999999996"/>
    <s v="Priority 1"/>
    <n v="4"/>
    <n v="1.6"/>
    <s v="Pre-Feasibility/Feasibility"/>
    <n v="4"/>
    <n v="2.4"/>
    <n v="0.6"/>
    <n v="0"/>
    <n v="0"/>
    <n v="0"/>
    <n v="1"/>
    <n v="1"/>
    <n v="0"/>
    <n v="0"/>
    <n v="0"/>
    <n v="1.06"/>
    <n v="19"/>
    <n v="0"/>
    <n v="4"/>
    <n v="0.6"/>
    <s v="Yes"/>
    <n v="4"/>
    <n v="0.6"/>
    <n v="0.2"/>
    <n v="4"/>
    <n v="1.2"/>
    <n v="85"/>
    <n v="4"/>
    <n v="0.4"/>
    <n v="44"/>
    <n v="4"/>
    <n v="0.4"/>
    <n v="0.2"/>
    <n v="4"/>
    <n v="0.8"/>
    <n v="0.4"/>
    <n v="3"/>
    <n v="4"/>
    <n v="1.6"/>
    <s v="Not available"/>
    <n v="0"/>
    <n v="0"/>
    <s v="Not available (saline)"/>
    <n v="0"/>
    <n v="0"/>
    <n v="0.192"/>
    <s v="Yes"/>
    <n v="4"/>
    <n v="0.8"/>
    <s v="Yes"/>
    <n v="4"/>
    <n v="0.8"/>
    <n v="106"/>
    <n v="4"/>
    <n v="0.8"/>
    <s v="Yes"/>
    <n v="4"/>
    <n v="1.6"/>
    <n v="0.4"/>
    <s v="No"/>
    <n v="0"/>
    <n v="0"/>
    <s v="No"/>
    <n v="0"/>
    <n v="0"/>
    <n v="0"/>
    <n v="271512"/>
    <n v="4"/>
    <n v="1.6"/>
    <n v="26"/>
    <n v="2"/>
    <n v="0.4"/>
    <n v="15"/>
    <n v="2"/>
    <n v="0.2"/>
    <n v="63"/>
    <n v="4"/>
    <n v="0.6"/>
    <n v="3"/>
    <n v="2"/>
    <n v="0.3"/>
    <n v="0.24800000000000003"/>
    <s v="Yes"/>
    <n v="4"/>
    <n v="1.2"/>
    <s v="Very Low"/>
    <n v="4"/>
    <n v="1.2"/>
    <s v="Very Low"/>
    <n v="4"/>
    <n v="0.4"/>
    <s v="Moderate &amp; Low"/>
    <n v="2"/>
    <n v="0.2"/>
    <s v="Moderate &amp; Low"/>
    <n v="2"/>
    <n v="0.2"/>
    <s v="Moderate &amp; Low"/>
    <n v="2"/>
    <n v="0.2"/>
    <n v="0.20400000000000001"/>
    <n v="1.4440000000000002"/>
    <n v="33"/>
    <n v="2.5040000000000004"/>
    <n v="21"/>
    <s v="Yes"/>
    <n v="2"/>
  </r>
  <r>
    <x v="19"/>
    <x v="19"/>
    <x v="1"/>
    <x v="2"/>
    <x v="14"/>
    <x v="2"/>
    <s v="Under Development"/>
    <s v="Operational"/>
    <s v="A Grade"/>
    <n v="4"/>
    <n v="2"/>
    <n v="91.214100000000002"/>
    <n v="0"/>
    <n v="0"/>
    <s v="Not Available"/>
    <m/>
    <n v="0"/>
    <n v="0"/>
    <s v="Not Available"/>
    <m/>
    <n v="0"/>
    <n v="0"/>
    <n v="0.4"/>
    <s v="N/A"/>
    <n v="4"/>
    <n v="1.6"/>
    <s v="In-principal Approval/No Report"/>
    <n v="0"/>
    <n v="0"/>
    <n v="0.24"/>
    <n v="18"/>
    <n v="4"/>
    <n v="2"/>
    <n v="18"/>
    <n v="0"/>
    <n v="0"/>
    <n v="0"/>
    <n v="0.3"/>
    <n v="0.94"/>
    <n v="23"/>
    <n v="1"/>
    <n v="4"/>
    <n v="0.6"/>
    <s v="Yes"/>
    <n v="4"/>
    <n v="0.6"/>
    <n v="249"/>
    <n v="2"/>
    <n v="0.6"/>
    <n v="19"/>
    <n v="4"/>
    <n v="0.4"/>
    <n v="18"/>
    <n v="4"/>
    <n v="0.4"/>
    <n v="34"/>
    <n v="4"/>
    <n v="0.8"/>
    <n v="0.33999999999999997"/>
    <n v="27.5"/>
    <n v="4"/>
    <n v="1.6"/>
    <n v="20"/>
    <n v="4"/>
    <n v="0.8"/>
    <n v="1"/>
    <n v="4"/>
    <n v="1.6"/>
    <n v="0.48"/>
    <s v="Yes"/>
    <n v="4"/>
    <n v="0.8"/>
    <s v="Yes"/>
    <n v="4"/>
    <n v="0.8"/>
    <n v="606"/>
    <n v="4"/>
    <n v="0.8"/>
    <s v="Yes"/>
    <n v="4"/>
    <n v="1.6"/>
    <n v="0.4"/>
    <s v="No"/>
    <n v="0"/>
    <n v="0"/>
    <s v="No"/>
    <n v="0"/>
    <n v="0"/>
    <n v="0"/>
    <n v="861792"/>
    <n v="4"/>
    <n v="1.6"/>
    <n v="30"/>
    <n v="2"/>
    <n v="0.4"/>
    <n v="218"/>
    <n v="4"/>
    <n v="0.4"/>
    <n v="144"/>
    <n v="4"/>
    <n v="0.6"/>
    <n v="78"/>
    <n v="4"/>
    <n v="0.6"/>
    <n v="0.28800000000000003"/>
    <s v="No"/>
    <n v="0"/>
    <n v="0"/>
    <s v="Very High &amp; High"/>
    <n v="0"/>
    <n v="0"/>
    <s v="Very High &amp; High"/>
    <n v="0"/>
    <n v="0"/>
    <s v="Very Low"/>
    <n v="4"/>
    <n v="0.4"/>
    <s v="High &amp; Very High"/>
    <n v="0"/>
    <n v="0"/>
    <s v="Very Low"/>
    <n v="4"/>
    <n v="0.4"/>
    <n v="4.8000000000000001E-2"/>
    <n v="1.556"/>
    <n v="20"/>
    <n v="2.496"/>
    <n v="22"/>
    <s v="Yes"/>
    <n v="2"/>
  </r>
  <r>
    <x v="20"/>
    <x v="20"/>
    <x v="1"/>
    <x v="2"/>
    <x v="11"/>
    <x v="2"/>
    <s v="Under Development"/>
    <s v="Operational"/>
    <s v="A Grade"/>
    <n v="4"/>
    <n v="2"/>
    <n v="67.916300000000007"/>
    <n v="0"/>
    <n v="0"/>
    <s v="Not Available"/>
    <m/>
    <n v="0"/>
    <n v="0"/>
    <s v="Not Available"/>
    <m/>
    <n v="0"/>
    <n v="0"/>
    <n v="0.4"/>
    <s v="N/A"/>
    <n v="4"/>
    <n v="1.6"/>
    <s v="In-principal Approval/No Report"/>
    <n v="0"/>
    <n v="0"/>
    <n v="0.24"/>
    <n v="18"/>
    <n v="4"/>
    <n v="2"/>
    <n v="18"/>
    <n v="0"/>
    <n v="0"/>
    <n v="0"/>
    <n v="0.3"/>
    <n v="0.94"/>
    <n v="23"/>
    <n v="1"/>
    <n v="4"/>
    <n v="0.6"/>
    <s v="Yes"/>
    <n v="4"/>
    <n v="0.6"/>
    <n v="230"/>
    <n v="2"/>
    <n v="0.6"/>
    <n v="38"/>
    <n v="4"/>
    <n v="0.4"/>
    <n v="32"/>
    <n v="4"/>
    <n v="0.4"/>
    <n v="4.5"/>
    <n v="4"/>
    <n v="0.8"/>
    <n v="0.33999999999999997"/>
    <n v="0"/>
    <n v="4"/>
    <n v="1.6"/>
    <n v="30"/>
    <n v="4"/>
    <n v="0.8"/>
    <n v="1"/>
    <n v="4"/>
    <n v="1.6"/>
    <n v="0.48"/>
    <s v="Yes"/>
    <n v="4"/>
    <n v="0.8"/>
    <s v="Yes"/>
    <n v="4"/>
    <n v="0.8"/>
    <n v="606"/>
    <n v="4"/>
    <n v="0.8"/>
    <s v="Yes"/>
    <n v="4"/>
    <n v="1.6"/>
    <n v="0.4"/>
    <s v="No"/>
    <n v="0"/>
    <n v="0"/>
    <s v="No"/>
    <n v="0"/>
    <n v="0"/>
    <n v="0"/>
    <n v="861792"/>
    <n v="4"/>
    <n v="1.6"/>
    <n v="26"/>
    <n v="2"/>
    <n v="0.4"/>
    <n v="218"/>
    <n v="4"/>
    <n v="0.4"/>
    <n v="144"/>
    <n v="4"/>
    <n v="0.6"/>
    <n v="78"/>
    <n v="4"/>
    <n v="0.6"/>
    <n v="0.28800000000000003"/>
    <s v="No"/>
    <n v="0"/>
    <n v="0"/>
    <s v="Very High &amp; High"/>
    <n v="0"/>
    <n v="0"/>
    <s v="Very High &amp; High"/>
    <n v="0"/>
    <n v="0"/>
    <s v="Very Low"/>
    <n v="4"/>
    <n v="0.4"/>
    <s v="High &amp; Very High"/>
    <n v="0"/>
    <n v="0"/>
    <s v="Very Low"/>
    <n v="4"/>
    <n v="0.4"/>
    <n v="4.8000000000000001E-2"/>
    <n v="1.556"/>
    <n v="20"/>
    <n v="2.496"/>
    <n v="22"/>
    <s v="Yes"/>
    <n v="2"/>
  </r>
  <r>
    <x v="21"/>
    <x v="21"/>
    <x v="0"/>
    <x v="9"/>
    <x v="15"/>
    <x v="2"/>
    <s v="Under Development"/>
    <s v="Under Construction"/>
    <s v="A Grade"/>
    <n v="4"/>
    <n v="2"/>
    <n v="272"/>
    <n v="2"/>
    <n v="0.3"/>
    <s v="Not Available"/>
    <m/>
    <n v="0"/>
    <n v="0"/>
    <s v="Not Available"/>
    <m/>
    <n v="0"/>
    <n v="0"/>
    <n v="0.45999999999999996"/>
    <s v="N/A"/>
    <n v="4"/>
    <n v="1.6"/>
    <s v="In-principal Approval/No Report"/>
    <n v="0"/>
    <n v="0"/>
    <n v="0.24"/>
    <n v="3"/>
    <n v="0"/>
    <n v="0"/>
    <n v="5"/>
    <n v="2"/>
    <n v="2"/>
    <n v="1"/>
    <n v="0.15"/>
    <n v="0.85"/>
    <n v="33"/>
    <n v="0.9"/>
    <n v="4"/>
    <n v="0.6"/>
    <s v="Yes"/>
    <n v="4"/>
    <n v="0.6"/>
    <n v="215"/>
    <n v="2"/>
    <n v="0.6"/>
    <n v="52"/>
    <n v="4"/>
    <n v="0.4"/>
    <n v="36"/>
    <n v="4"/>
    <n v="0.4"/>
    <n v="97"/>
    <n v="2"/>
    <n v="0.4"/>
    <n v="0.3"/>
    <n v="8.5"/>
    <n v="4"/>
    <n v="1.6"/>
    <n v="79.900000000000006"/>
    <n v="2"/>
    <n v="0.4"/>
    <n v="2"/>
    <n v="4"/>
    <n v="1.6"/>
    <n v="0.432"/>
    <s v="Yes"/>
    <n v="4"/>
    <n v="0.8"/>
    <s v="Yes"/>
    <n v="4"/>
    <n v="0.8"/>
    <n v="177"/>
    <n v="4"/>
    <n v="0.8"/>
    <s v="Yes"/>
    <n v="4"/>
    <n v="1.6"/>
    <n v="0.4"/>
    <s v="Yes"/>
    <n v="4"/>
    <n v="4"/>
    <s v="Yes"/>
    <n v="4"/>
    <n v="0"/>
    <n v="0.16"/>
    <n v="260078"/>
    <n v="4"/>
    <n v="1.6"/>
    <n v="10"/>
    <n v="4"/>
    <n v="0.8"/>
    <n v="23"/>
    <n v="2"/>
    <n v="0.2"/>
    <n v="254"/>
    <n v="4"/>
    <n v="0.6"/>
    <n v="5"/>
    <n v="4"/>
    <n v="0.6"/>
    <n v="0.30400000000000005"/>
    <s v="No"/>
    <n v="0"/>
    <n v="0"/>
    <s v="Very High &amp; High"/>
    <n v="0"/>
    <n v="0"/>
    <s v="Very High &amp; High"/>
    <n v="0"/>
    <n v="0"/>
    <s v="Very Low"/>
    <n v="4"/>
    <n v="0.4"/>
    <s v="High &amp; Very High"/>
    <n v="0"/>
    <n v="0"/>
    <s v="Very Low"/>
    <n v="4"/>
    <n v="0.4"/>
    <n v="4.8000000000000001E-2"/>
    <n v="1.6440000000000001"/>
    <n v="7"/>
    <n v="2.4940000000000002"/>
    <n v="24"/>
    <s v="Yes"/>
    <n v="2"/>
  </r>
  <r>
    <x v="22"/>
    <x v="22"/>
    <x v="1"/>
    <x v="10"/>
    <x v="16"/>
    <x v="0"/>
    <s v="Planning Stage"/>
    <s v="River erosion and land not available"/>
    <s v="B Grade"/>
    <n v="2"/>
    <n v="1"/>
    <n v="1764.89"/>
    <n v="4"/>
    <n v="0.6"/>
    <s v="Low"/>
    <n v="5.4421861985732818"/>
    <n v="0"/>
    <n v="0"/>
    <s v="Low"/>
    <n v="1.7238978066621713"/>
    <n v="4"/>
    <n v="0.4"/>
    <n v="0.4"/>
    <s v="Priority 2"/>
    <n v="2"/>
    <n v="0.8"/>
    <s v="Pre-Feasibility/Feasibility"/>
    <n v="4"/>
    <n v="2.4"/>
    <n v="0.48"/>
    <n v="3"/>
    <n v="0"/>
    <n v="0"/>
    <n v="3"/>
    <n v="0"/>
    <n v="0"/>
    <n v="0"/>
    <n v="0"/>
    <n v="0.88"/>
    <n v="32"/>
    <n v="3"/>
    <n v="4"/>
    <n v="0.6"/>
    <s v="No"/>
    <n v="0"/>
    <n v="0"/>
    <n v="65"/>
    <n v="4"/>
    <n v="1.2"/>
    <n v="109"/>
    <n v="2"/>
    <n v="0.2"/>
    <n v="3"/>
    <n v="4"/>
    <n v="0.4"/>
    <n v="211"/>
    <n v="0"/>
    <n v="0"/>
    <n v="0.24"/>
    <n v="10"/>
    <n v="4"/>
    <n v="1.6"/>
    <n v="18"/>
    <n v="4"/>
    <n v="0.8"/>
    <n v="1"/>
    <n v="4"/>
    <n v="1.6"/>
    <n v="0.48"/>
    <s v="No"/>
    <n v="0"/>
    <n v="0"/>
    <s v="Yes"/>
    <n v="4"/>
    <n v="0.8"/>
    <n v="271"/>
    <n v="4"/>
    <n v="0.8"/>
    <s v="Yes"/>
    <n v="4"/>
    <n v="1.6"/>
    <n v="0.32000000000000006"/>
    <s v="Yes"/>
    <n v="4"/>
    <n v="4"/>
    <s v="Yes"/>
    <n v="4"/>
    <n v="0"/>
    <n v="0.16"/>
    <n v="552785"/>
    <n v="4"/>
    <n v="1.6"/>
    <n v="32.6"/>
    <n v="2"/>
    <n v="0.4"/>
    <n v="332"/>
    <n v="4"/>
    <n v="0.4"/>
    <n v="188"/>
    <n v="4"/>
    <n v="0.6"/>
    <n v="78"/>
    <n v="4"/>
    <n v="0.6"/>
    <n v="0.28800000000000003"/>
    <s v="No"/>
    <n v="0"/>
    <n v="0"/>
    <s v="Moderate &amp; Low"/>
    <n v="2"/>
    <n v="0.6"/>
    <s v="Moderate &amp; Low"/>
    <n v="2"/>
    <n v="0.2"/>
    <s v="Very Low"/>
    <n v="4"/>
    <n v="0.4"/>
    <s v="Moderate &amp; Low"/>
    <n v="2"/>
    <n v="0.2"/>
    <s v="Very Low"/>
    <n v="4"/>
    <n v="0.4"/>
    <n v="0.10800000000000001"/>
    <n v="1.5960000000000001"/>
    <n v="14"/>
    <n v="2.476"/>
    <n v="25"/>
    <s v="Yes"/>
    <n v="0"/>
  </r>
  <r>
    <x v="23"/>
    <x v="23"/>
    <x v="0"/>
    <x v="0"/>
    <x v="4"/>
    <x v="0"/>
    <s v="Planning Stage"/>
    <s v="Development Stage"/>
    <s v="C Grade"/>
    <n v="0"/>
    <n v="0"/>
    <n v="634.9"/>
    <n v="4"/>
    <n v="0.6"/>
    <s v="Not Available"/>
    <m/>
    <n v="0"/>
    <n v="0"/>
    <s v="Not Available"/>
    <m/>
    <n v="0"/>
    <n v="0"/>
    <n v="0.12"/>
    <s v="Priority 3"/>
    <n v="0"/>
    <n v="0"/>
    <s v="Pre-Feasibility/Feasibility"/>
    <n v="4"/>
    <n v="2.4"/>
    <n v="0.36"/>
    <n v="19"/>
    <n v="4"/>
    <n v="2"/>
    <n v="19"/>
    <n v="0"/>
    <n v="0"/>
    <n v="0"/>
    <n v="0.3"/>
    <n v="0.78"/>
    <n v="41"/>
    <n v="20"/>
    <n v="4"/>
    <n v="0.6"/>
    <s v="Yes"/>
    <n v="4"/>
    <n v="0.6"/>
    <n v="18"/>
    <n v="4"/>
    <n v="1.2"/>
    <n v="30"/>
    <n v="4"/>
    <n v="0.4"/>
    <n v="17"/>
    <n v="4"/>
    <n v="0.4"/>
    <n v="15"/>
    <n v="4"/>
    <n v="0.8"/>
    <n v="0.4"/>
    <n v="4"/>
    <n v="4"/>
    <n v="1.6"/>
    <n v="2"/>
    <n v="4"/>
    <n v="0.8"/>
    <n v="4"/>
    <n v="4"/>
    <n v="1.6"/>
    <n v="0.48"/>
    <s v="Yes"/>
    <n v="4"/>
    <n v="0.8"/>
    <s v="Yes"/>
    <n v="4"/>
    <n v="0.8"/>
    <n v="568"/>
    <n v="4"/>
    <n v="0.8"/>
    <s v="Yes"/>
    <n v="4"/>
    <n v="1.6"/>
    <n v="0.4"/>
    <s v="No"/>
    <n v="0"/>
    <n v="0"/>
    <s v="No"/>
    <n v="0"/>
    <n v="0"/>
    <n v="0"/>
    <n v="1968862"/>
    <n v="4"/>
    <n v="1.6"/>
    <n v="15"/>
    <n v="4"/>
    <n v="0.8"/>
    <n v="76"/>
    <n v="4"/>
    <n v="0.4"/>
    <n v="217"/>
    <n v="4"/>
    <n v="0.6"/>
    <n v="34"/>
    <n v="4"/>
    <n v="0.6"/>
    <n v="0.32"/>
    <s v="No"/>
    <n v="0"/>
    <n v="0"/>
    <s v="Moderate &amp; Low"/>
    <n v="2"/>
    <n v="0.6"/>
    <s v="Moderate &amp; Low"/>
    <n v="2"/>
    <n v="0.2"/>
    <s v="Moderate &amp; Low"/>
    <n v="2"/>
    <n v="0.2"/>
    <s v="High &amp; Very High"/>
    <n v="0"/>
    <n v="0"/>
    <s v="Very High &amp; High"/>
    <n v="0"/>
    <n v="0"/>
    <n v="0.06"/>
    <n v="1.6600000000000001"/>
    <n v="6"/>
    <n v="2.4400000000000004"/>
    <n v="26"/>
    <s v="Yes"/>
    <n v="2"/>
  </r>
  <r>
    <x v="24"/>
    <x v="24"/>
    <x v="4"/>
    <x v="11"/>
    <x v="17"/>
    <x v="0"/>
    <s v="Under Development"/>
    <s v="Development Stage"/>
    <s v="A Grade"/>
    <n v="4"/>
    <n v="2"/>
    <n v="441.64"/>
    <n v="2"/>
    <n v="0.3"/>
    <s v="Medium"/>
    <n v="4.9699981885698756"/>
    <n v="2"/>
    <n v="0.5"/>
    <s v="Medium"/>
    <n v="3.736935060230052"/>
    <n v="2"/>
    <n v="0.2"/>
    <n v="0.60000000000000009"/>
    <s v="Priority 1"/>
    <n v="4"/>
    <n v="1.6"/>
    <s v="Pre-Feasibility/Feasibility"/>
    <n v="4"/>
    <n v="2.4"/>
    <n v="0.6"/>
    <n v="1"/>
    <n v="0"/>
    <n v="0"/>
    <n v="3"/>
    <n v="2"/>
    <n v="2"/>
    <n v="1"/>
    <n v="0.15"/>
    <n v="1.35"/>
    <n v="9"/>
    <n v="0"/>
    <n v="4"/>
    <n v="0.6"/>
    <s v="Yes"/>
    <n v="4"/>
    <n v="0.6"/>
    <n v="400"/>
    <n v="2"/>
    <n v="0.6"/>
    <n v="144"/>
    <n v="2"/>
    <n v="0.2"/>
    <n v="15"/>
    <n v="4"/>
    <n v="0.4"/>
    <n v="400"/>
    <n v="0"/>
    <n v="0"/>
    <n v="0.24"/>
    <n v="13"/>
    <n v="4"/>
    <n v="1.6"/>
    <n v="260"/>
    <n v="0"/>
    <n v="0"/>
    <n v="40"/>
    <n v="2"/>
    <n v="0.8"/>
    <n v="0.28800000000000003"/>
    <s v="No"/>
    <n v="0"/>
    <n v="0"/>
    <s v="Yes"/>
    <n v="4"/>
    <n v="0.8"/>
    <n v="64"/>
    <n v="2"/>
    <n v="0.4"/>
    <s v="No"/>
    <n v="0"/>
    <n v="0"/>
    <n v="0.12000000000000002"/>
    <s v="No"/>
    <n v="0"/>
    <n v="0"/>
    <s v="No"/>
    <n v="0"/>
    <n v="0"/>
    <n v="0"/>
    <n v="299997"/>
    <n v="4"/>
    <n v="1.6"/>
    <n v="15"/>
    <n v="4"/>
    <n v="0.8"/>
    <n v="7"/>
    <n v="2"/>
    <n v="0.2"/>
    <n v="64"/>
    <n v="4"/>
    <n v="0.6"/>
    <n v="5"/>
    <n v="4"/>
    <n v="0.6"/>
    <n v="0.30400000000000005"/>
    <s v="Yes"/>
    <n v="4"/>
    <n v="1.2"/>
    <s v="Very High &amp; High"/>
    <n v="0"/>
    <n v="0"/>
    <s v="Very High &amp; High"/>
    <n v="0"/>
    <n v="0"/>
    <s v="Very Low"/>
    <n v="4"/>
    <n v="0.4"/>
    <s v="Moderate &amp; Low"/>
    <n v="2"/>
    <n v="0.2"/>
    <s v="Very Low"/>
    <n v="4"/>
    <n v="0.4"/>
    <n v="0.13200000000000001"/>
    <n v="1.0840000000000001"/>
    <n v="46"/>
    <n v="2.4340000000000002"/>
    <n v="27"/>
    <s v="Yes"/>
    <n v="0"/>
  </r>
  <r>
    <x v="25"/>
    <x v="25"/>
    <x v="1"/>
    <x v="12"/>
    <x v="18"/>
    <x v="2"/>
    <s v="Under Development"/>
    <s v="Operational"/>
    <s v="A Grade"/>
    <n v="4"/>
    <n v="2"/>
    <n v="65"/>
    <n v="0"/>
    <n v="0"/>
    <s v="Not Available"/>
    <m/>
    <n v="0"/>
    <n v="0"/>
    <s v="Not Available"/>
    <m/>
    <n v="0"/>
    <n v="0"/>
    <n v="0.4"/>
    <s v="N/A"/>
    <n v="4"/>
    <n v="1.6"/>
    <s v="In-principal Approval/No Report"/>
    <n v="0"/>
    <n v="0"/>
    <n v="0.24"/>
    <n v="13"/>
    <n v="4"/>
    <n v="2"/>
    <n v="13"/>
    <n v="0"/>
    <n v="0"/>
    <n v="0"/>
    <n v="0.3"/>
    <n v="0.94"/>
    <n v="23"/>
    <n v="0"/>
    <n v="4"/>
    <n v="0.6"/>
    <s v="Yes"/>
    <n v="4"/>
    <n v="0.6"/>
    <n v="258"/>
    <n v="2"/>
    <n v="0.6"/>
    <n v="24"/>
    <n v="4"/>
    <n v="0.4"/>
    <n v="40"/>
    <n v="4"/>
    <n v="0.4"/>
    <n v="40"/>
    <n v="4"/>
    <n v="0.8"/>
    <n v="0.33999999999999997"/>
    <n v="7.7"/>
    <n v="4"/>
    <n v="1.6"/>
    <n v="35"/>
    <n v="4"/>
    <n v="0.8"/>
    <n v="85"/>
    <n v="0"/>
    <n v="0"/>
    <n v="0.28800000000000003"/>
    <s v="Yes"/>
    <n v="4"/>
    <n v="0.8"/>
    <s v="Yes"/>
    <n v="4"/>
    <n v="0.8"/>
    <n v="730"/>
    <n v="4"/>
    <n v="0.8"/>
    <s v="Yes"/>
    <n v="4"/>
    <n v="1.6"/>
    <n v="0.4"/>
    <s v="No"/>
    <n v="0"/>
    <n v="0"/>
    <s v="No"/>
    <n v="0"/>
    <n v="0"/>
    <n v="0"/>
    <n v="1040218"/>
    <n v="4"/>
    <n v="1.6"/>
    <n v="16"/>
    <n v="4"/>
    <n v="0.8"/>
    <n v="110"/>
    <n v="4"/>
    <n v="0.4"/>
    <n v="179"/>
    <n v="4"/>
    <n v="0.6"/>
    <n v="29"/>
    <n v="4"/>
    <n v="0.6"/>
    <n v="0.32"/>
    <s v="No"/>
    <n v="0"/>
    <n v="0"/>
    <s v="Very Low"/>
    <n v="4"/>
    <n v="1.2"/>
    <s v="Moderate &amp; Low"/>
    <n v="2"/>
    <n v="0.2"/>
    <s v="Very Low"/>
    <n v="4"/>
    <n v="0.4"/>
    <s v="Moderate &amp; Low"/>
    <n v="2"/>
    <n v="0.2"/>
    <s v="Very Low"/>
    <n v="4"/>
    <n v="0.4"/>
    <n v="0.14399999999999999"/>
    <n v="1.492"/>
    <n v="27"/>
    <n v="2.4319999999999999"/>
    <n v="28"/>
    <s v="Yes"/>
    <n v="2"/>
  </r>
  <r>
    <x v="26"/>
    <x v="26"/>
    <x v="1"/>
    <x v="3"/>
    <x v="19"/>
    <x v="0"/>
    <s v="Pre-Planning Stage"/>
    <s v="Planning Stage."/>
    <s v="B Grade"/>
    <n v="2"/>
    <n v="1"/>
    <n v="316.35000000000002"/>
    <n v="2"/>
    <n v="0.3"/>
    <s v="Low"/>
    <n v="6.9204994468152368"/>
    <n v="0"/>
    <n v="0"/>
    <s v="Low"/>
    <n v="0.18018018018018017"/>
    <n v="4"/>
    <n v="0.4"/>
    <n v="0.34000000000000008"/>
    <s v="Priority 3"/>
    <n v="0"/>
    <n v="0"/>
    <s v="Site Visit/Assessment"/>
    <n v="2"/>
    <n v="1.2"/>
    <n v="0.18"/>
    <n v="15"/>
    <n v="4"/>
    <n v="2"/>
    <n v="15"/>
    <n v="0"/>
    <n v="0"/>
    <n v="0"/>
    <n v="0.3"/>
    <n v="0.82000000000000006"/>
    <n v="35"/>
    <n v="34"/>
    <n v="2"/>
    <n v="0.3"/>
    <s v="Yes"/>
    <n v="4"/>
    <n v="0.6"/>
    <n v="52"/>
    <n v="4"/>
    <n v="1.2"/>
    <n v="48"/>
    <n v="4"/>
    <n v="0.4"/>
    <n v="50"/>
    <n v="4"/>
    <n v="0.4"/>
    <n v="170"/>
    <n v="2"/>
    <n v="0.4"/>
    <n v="0.32999999999999996"/>
    <n v="10"/>
    <n v="4"/>
    <n v="1.6"/>
    <n v="40"/>
    <n v="4"/>
    <n v="0.8"/>
    <n v="0"/>
    <n v="4"/>
    <n v="1.6"/>
    <n v="0.48"/>
    <s v="Yes"/>
    <n v="4"/>
    <n v="0.8"/>
    <s v="Yes"/>
    <n v="4"/>
    <n v="0.8"/>
    <n v="1718"/>
    <n v="4"/>
    <n v="0.8"/>
    <s v="Yes"/>
    <n v="4"/>
    <n v="1.6"/>
    <n v="0.4"/>
    <s v="No"/>
    <n v="0"/>
    <n v="0"/>
    <s v="No"/>
    <n v="0"/>
    <n v="0"/>
    <n v="0"/>
    <n v="3683456"/>
    <n v="4"/>
    <n v="1.6"/>
    <n v="45"/>
    <n v="2"/>
    <n v="0.4"/>
    <n v="329"/>
    <n v="4"/>
    <n v="0.4"/>
    <n v="900"/>
    <n v="4"/>
    <n v="0.6"/>
    <n v="193"/>
    <n v="4"/>
    <n v="0.6"/>
    <n v="0.28800000000000003"/>
    <s v="No"/>
    <n v="0"/>
    <n v="0"/>
    <s v="Moderate &amp; Low"/>
    <n v="2"/>
    <n v="0.6"/>
    <s v="Moderate &amp; Low"/>
    <n v="2"/>
    <n v="0.2"/>
    <s v="Very Low"/>
    <n v="4"/>
    <n v="0.4"/>
    <s v="Moderate &amp; Low"/>
    <n v="2"/>
    <n v="0.2"/>
    <s v="Very Low"/>
    <n v="4"/>
    <n v="0.4"/>
    <n v="0.10800000000000001"/>
    <n v="1.6060000000000001"/>
    <n v="12"/>
    <n v="2.4260000000000002"/>
    <n v="29"/>
    <s v="Yes"/>
    <n v="0"/>
  </r>
  <r>
    <x v="27"/>
    <x v="27"/>
    <x v="0"/>
    <x v="13"/>
    <x v="20"/>
    <x v="0"/>
    <s v="Planning Stage"/>
    <s v="Development Stage"/>
    <s v="A Grade"/>
    <n v="4"/>
    <n v="2"/>
    <n v="9549.5499999999993"/>
    <n v="4"/>
    <n v="0.6"/>
    <s v="High"/>
    <n v="1.3265283404810595"/>
    <n v="4"/>
    <n v="1"/>
    <s v="High"/>
    <n v="0.18018018018018017"/>
    <n v="4"/>
    <n v="0.4"/>
    <n v="0.8"/>
    <s v="Priority 1"/>
    <n v="4"/>
    <n v="1.6"/>
    <s v="Pre-Feasibility/Feasibility"/>
    <n v="4"/>
    <n v="2.4"/>
    <n v="0.6"/>
    <n v="19"/>
    <n v="4"/>
    <n v="2"/>
    <n v="15"/>
    <n v="0"/>
    <n v="0"/>
    <n v="0"/>
    <n v="0.3"/>
    <n v="1.7"/>
    <n v="1"/>
    <n v="10"/>
    <n v="4"/>
    <n v="0.6"/>
    <s v="Yes"/>
    <n v="4"/>
    <n v="0.6"/>
    <n v="67"/>
    <n v="4"/>
    <n v="1.2"/>
    <n v="79"/>
    <n v="4"/>
    <n v="0.4"/>
    <n v="11.5"/>
    <n v="4"/>
    <n v="0.4"/>
    <n v="0"/>
    <n v="4"/>
    <n v="0.8"/>
    <n v="0.4"/>
    <n v="7.2"/>
    <n v="4"/>
    <n v="1.6"/>
    <n v="11"/>
    <n v="4"/>
    <n v="0.8"/>
    <n v="16"/>
    <n v="4"/>
    <n v="1.6"/>
    <n v="0.48"/>
    <s v="Yes"/>
    <n v="4"/>
    <n v="0.8"/>
    <s v="Yes"/>
    <n v="4"/>
    <n v="0.8"/>
    <n v="568"/>
    <n v="4"/>
    <n v="0.8"/>
    <s v="Yes"/>
    <n v="4"/>
    <n v="1.6"/>
    <n v="0.4"/>
    <s v="No"/>
    <n v="0"/>
    <n v="0"/>
    <s v="No"/>
    <n v="0"/>
    <n v="0"/>
    <n v="0"/>
    <n v="1968862"/>
    <n v="4"/>
    <n v="1.6"/>
    <n v="0"/>
    <n v="4"/>
    <n v="0.8"/>
    <n v="76"/>
    <n v="4"/>
    <n v="0.4"/>
    <n v="217"/>
    <n v="4"/>
    <n v="0.6"/>
    <n v="34"/>
    <n v="4"/>
    <n v="0.6"/>
    <n v="0.32"/>
    <s v="Yes"/>
    <n v="4"/>
    <n v="1.2"/>
    <s v="Moderate &amp; Low"/>
    <n v="2"/>
    <n v="0.6"/>
    <s v="Moderate &amp; Low"/>
    <n v="2"/>
    <n v="0.2"/>
    <s v="Moderate &amp; Low"/>
    <n v="2"/>
    <n v="0.2"/>
    <s v="High &amp; Very High"/>
    <n v="0"/>
    <n v="0"/>
    <s v="Very High &amp; High"/>
    <n v="0"/>
    <n v="0"/>
    <n v="0.13199999999999998"/>
    <n v="1.732"/>
    <n v="2"/>
    <n v="3.4319999999999999"/>
    <n v="1"/>
    <s v="Yes"/>
    <n v="0"/>
  </r>
  <r>
    <x v="28"/>
    <x v="28"/>
    <x v="0"/>
    <x v="0"/>
    <x v="21"/>
    <x v="0"/>
    <s v="Planning Stage"/>
    <s v="Land settlement ongoing"/>
    <s v="A Grade"/>
    <n v="4"/>
    <n v="2"/>
    <n v="1918.807"/>
    <n v="4"/>
    <n v="0.6"/>
    <s v="Not Available"/>
    <n v="1.3265283404810595"/>
    <n v="4"/>
    <n v="1"/>
    <s v="Not Available"/>
    <n v="0.18018018018018017"/>
    <n v="4"/>
    <n v="0.4"/>
    <n v="0.8"/>
    <s v="Priority 1"/>
    <n v="4"/>
    <n v="1.6"/>
    <s v="Pre-Feasibility/Feasibility"/>
    <n v="4"/>
    <n v="2.4"/>
    <n v="0.6"/>
    <n v="19"/>
    <n v="4"/>
    <n v="2"/>
    <n v="15"/>
    <n v="0"/>
    <n v="0"/>
    <n v="0"/>
    <n v="0.3"/>
    <n v="1.7"/>
    <n v="1"/>
    <n v="10"/>
    <n v="4"/>
    <n v="0.6"/>
    <s v="Yes"/>
    <n v="4"/>
    <n v="0.6"/>
    <n v="67"/>
    <n v="4"/>
    <n v="1.2"/>
    <n v="79"/>
    <n v="4"/>
    <n v="0.4"/>
    <n v="11.5"/>
    <n v="4"/>
    <n v="0.4"/>
    <n v="0"/>
    <n v="4"/>
    <n v="0.8"/>
    <n v="0.4"/>
    <n v="7.2"/>
    <n v="4"/>
    <n v="1.6"/>
    <n v="11"/>
    <n v="4"/>
    <n v="0.8"/>
    <n v="16"/>
    <n v="4"/>
    <n v="1.6"/>
    <n v="0.48"/>
    <s v="Yes"/>
    <n v="4"/>
    <n v="0.8"/>
    <s v="Yes"/>
    <n v="4"/>
    <n v="0.8"/>
    <n v="568"/>
    <n v="4"/>
    <n v="0.8"/>
    <s v="Yes"/>
    <n v="4"/>
    <n v="1.6"/>
    <n v="0.4"/>
    <s v="No"/>
    <n v="0"/>
    <n v="0"/>
    <s v="No"/>
    <n v="0"/>
    <n v="0"/>
    <n v="0"/>
    <n v="1968862"/>
    <n v="4"/>
    <n v="1.6"/>
    <n v="0"/>
    <n v="4"/>
    <n v="0.8"/>
    <n v="76"/>
    <n v="4"/>
    <n v="0.4"/>
    <n v="217"/>
    <n v="4"/>
    <n v="0.6"/>
    <n v="34"/>
    <n v="4"/>
    <n v="0.6"/>
    <n v="0.32"/>
    <s v="Yes"/>
    <n v="4"/>
    <n v="1.2"/>
    <s v="Moderate &amp; Low"/>
    <n v="2"/>
    <n v="0.6"/>
    <s v="Moderate &amp; Low"/>
    <n v="2"/>
    <n v="0.2"/>
    <s v="Moderate &amp; Low"/>
    <n v="2"/>
    <n v="0.2"/>
    <s v="High &amp; Very High"/>
    <n v="0"/>
    <n v="0"/>
    <s v="Very High &amp; High"/>
    <n v="0"/>
    <n v="0"/>
    <n v="0.13199999999999998"/>
    <n v="1.732"/>
    <n v="2"/>
    <n v="3.4319999999999999"/>
    <n v="1"/>
    <s v="Yes"/>
    <n v="0"/>
  </r>
  <r>
    <x v="29"/>
    <x v="29"/>
    <x v="4"/>
    <x v="14"/>
    <x v="22"/>
    <x v="2"/>
    <s v="In-Principle Approval"/>
    <s v="Licensing ongoing"/>
    <s v="B Grade"/>
    <n v="2"/>
    <n v="1"/>
    <n v="153"/>
    <n v="2"/>
    <n v="0.3"/>
    <s v="Not Available"/>
    <m/>
    <n v="0"/>
    <n v="0"/>
    <s v="Not Available"/>
    <m/>
    <n v="0"/>
    <n v="0"/>
    <n v="0.26"/>
    <s v="N/A"/>
    <n v="4"/>
    <n v="1.6"/>
    <s v="In-principal Approval/No Report"/>
    <n v="0"/>
    <n v="0"/>
    <n v="0.24"/>
    <n v="5"/>
    <n v="2"/>
    <n v="1"/>
    <n v="8"/>
    <n v="3"/>
    <n v="2"/>
    <n v="1"/>
    <n v="0.3"/>
    <n v="0.8"/>
    <n v="36"/>
    <n v="1"/>
    <n v="4"/>
    <n v="0.6"/>
    <s v="Yes"/>
    <n v="4"/>
    <n v="0.6"/>
    <n v="300"/>
    <n v="2"/>
    <n v="0.6"/>
    <n v="77"/>
    <n v="4"/>
    <n v="0.4"/>
    <n v="30"/>
    <n v="4"/>
    <n v="0.4"/>
    <n v="128"/>
    <n v="2"/>
    <n v="0.4"/>
    <n v="0.3"/>
    <n v="22"/>
    <n v="4"/>
    <n v="1.6"/>
    <n v="10.15"/>
    <n v="4"/>
    <n v="0.8"/>
    <n v="0.3"/>
    <n v="4"/>
    <n v="1.6"/>
    <n v="0.48"/>
    <s v="Yes"/>
    <n v="4"/>
    <n v="0.8"/>
    <s v="Yes"/>
    <n v="4"/>
    <n v="0.8"/>
    <n v="190"/>
    <n v="4"/>
    <n v="0.8"/>
    <s v="Yes"/>
    <n v="4"/>
    <n v="1.6"/>
    <n v="0.4"/>
    <s v="No"/>
    <n v="0"/>
    <n v="0"/>
    <s v="No"/>
    <n v="0"/>
    <n v="0"/>
    <n v="0"/>
    <n v="767787"/>
    <n v="4"/>
    <n v="1.6"/>
    <n v="10"/>
    <n v="4"/>
    <n v="0.8"/>
    <n v="5"/>
    <n v="2"/>
    <n v="0.2"/>
    <n v="164"/>
    <n v="4"/>
    <n v="0.6"/>
    <n v="5"/>
    <n v="4"/>
    <n v="0.6"/>
    <n v="0.30400000000000005"/>
    <s v="No"/>
    <n v="0"/>
    <n v="0"/>
    <s v="Moderate &amp; Low"/>
    <n v="2"/>
    <n v="0.6"/>
    <s v="Very High &amp; High"/>
    <n v="0"/>
    <n v="0"/>
    <s v="Very Low"/>
    <n v="4"/>
    <n v="0.4"/>
    <s v="Moderate &amp; Low"/>
    <n v="2"/>
    <n v="0.2"/>
    <s v="Very Low"/>
    <n v="4"/>
    <n v="0.4"/>
    <n v="9.6000000000000002E-2"/>
    <n v="1.5800000000000003"/>
    <n v="16"/>
    <n v="2.3800000000000003"/>
    <n v="30"/>
    <s v="Yes"/>
    <n v="2"/>
  </r>
  <r>
    <x v="30"/>
    <x v="30"/>
    <x v="0"/>
    <x v="0"/>
    <x v="23"/>
    <x v="2"/>
    <s v="In-Principle Approval"/>
    <s v="Licensing ongoing"/>
    <s v="B Grade"/>
    <n v="2"/>
    <n v="1"/>
    <n v="130.62530000000001"/>
    <n v="2"/>
    <n v="0.3"/>
    <s v="Not Available"/>
    <m/>
    <n v="0"/>
    <n v="0"/>
    <s v="Not Available"/>
    <m/>
    <n v="0"/>
    <n v="0"/>
    <n v="0.26"/>
    <s v="N/A"/>
    <n v="4"/>
    <n v="1.6"/>
    <s v="In-principal Approval/No Report"/>
    <n v="0"/>
    <n v="0"/>
    <n v="0.24"/>
    <n v="19"/>
    <n v="4"/>
    <n v="2"/>
    <n v="19"/>
    <n v="0"/>
    <n v="0"/>
    <n v="0"/>
    <n v="0.3"/>
    <n v="0.8"/>
    <n v="36"/>
    <n v="5"/>
    <n v="4"/>
    <n v="0.6"/>
    <s v="Yes"/>
    <n v="4"/>
    <n v="0.6"/>
    <n v="7"/>
    <n v="4"/>
    <n v="1.2"/>
    <n v="27"/>
    <n v="4"/>
    <n v="0.4"/>
    <n v="30"/>
    <n v="4"/>
    <n v="0.4"/>
    <n v="250"/>
    <n v="0"/>
    <n v="0"/>
    <n v="0.32"/>
    <n v="18"/>
    <n v="4"/>
    <n v="1.6"/>
    <n v="20"/>
    <n v="4"/>
    <n v="0.8"/>
    <n v="2"/>
    <n v="4"/>
    <n v="1.6"/>
    <n v="0.48"/>
    <s v="Yes"/>
    <n v="4"/>
    <n v="0.8"/>
    <s v="Yes"/>
    <n v="4"/>
    <n v="0.8"/>
    <n v="568"/>
    <n v="4"/>
    <n v="0.8"/>
    <s v="Yes"/>
    <n v="4"/>
    <n v="1.6"/>
    <n v="0.4"/>
    <s v="No"/>
    <n v="0"/>
    <n v="0"/>
    <s v="No"/>
    <n v="0"/>
    <n v="0"/>
    <n v="0"/>
    <n v="1968862"/>
    <n v="4"/>
    <n v="1.6"/>
    <n v="11"/>
    <n v="4"/>
    <n v="0.8"/>
    <n v="76"/>
    <n v="4"/>
    <n v="0.4"/>
    <n v="217"/>
    <n v="4"/>
    <n v="0.6"/>
    <n v="34"/>
    <n v="4"/>
    <n v="0.6"/>
    <n v="0.32"/>
    <s v="No"/>
    <n v="0"/>
    <n v="0"/>
    <s v="Moderate &amp; Low"/>
    <n v="2"/>
    <n v="0.6"/>
    <s v="Moderate &amp; Low"/>
    <n v="2"/>
    <n v="0.2"/>
    <s v="Moderate &amp; Low"/>
    <n v="2"/>
    <n v="0.2"/>
    <s v="High &amp; Very High"/>
    <n v="0"/>
    <n v="0"/>
    <s v="Very High &amp; High"/>
    <n v="0"/>
    <n v="0"/>
    <n v="0.06"/>
    <n v="1.5800000000000003"/>
    <n v="16"/>
    <n v="2.3800000000000003"/>
    <n v="30"/>
    <s v="Yes"/>
    <n v="2"/>
  </r>
  <r>
    <x v="31"/>
    <x v="31"/>
    <x v="1"/>
    <x v="3"/>
    <x v="24"/>
    <x v="2"/>
    <s v="Under Development"/>
    <s v="Licensing ongoing"/>
    <s v="B Grade"/>
    <n v="2"/>
    <n v="1"/>
    <n v="115.8685"/>
    <n v="2"/>
    <n v="0.3"/>
    <s v="Not Available"/>
    <m/>
    <n v="0"/>
    <n v="0"/>
    <s v="Not Available"/>
    <m/>
    <n v="0"/>
    <n v="0"/>
    <n v="0.26"/>
    <s v="N/A"/>
    <n v="4"/>
    <n v="1.6"/>
    <s v="In-principal Approval/No Report"/>
    <n v="0"/>
    <n v="0"/>
    <n v="0.24"/>
    <n v="15"/>
    <n v="4"/>
    <n v="2"/>
    <n v="15"/>
    <n v="0"/>
    <n v="0"/>
    <n v="0"/>
    <n v="0.3"/>
    <n v="0.8"/>
    <n v="36"/>
    <n v="2"/>
    <n v="4"/>
    <n v="0.6"/>
    <s v="Yes"/>
    <n v="4"/>
    <n v="0.6"/>
    <n v="209"/>
    <n v="2"/>
    <n v="0.6"/>
    <n v="32"/>
    <n v="4"/>
    <n v="0.4"/>
    <n v="10"/>
    <n v="4"/>
    <n v="0.4"/>
    <n v="100"/>
    <n v="2"/>
    <n v="0.4"/>
    <n v="0.3"/>
    <n v="2"/>
    <n v="4"/>
    <n v="1.6"/>
    <n v="5"/>
    <n v="4"/>
    <n v="0.8"/>
    <n v="2"/>
    <n v="4"/>
    <n v="1.6"/>
    <n v="0.48"/>
    <s v="Yes"/>
    <n v="4"/>
    <n v="0.8"/>
    <s v="Yes"/>
    <n v="4"/>
    <n v="0.8"/>
    <n v="1718"/>
    <n v="4"/>
    <n v="0.8"/>
    <s v="Yes"/>
    <n v="4"/>
    <n v="1.6"/>
    <n v="0.4"/>
    <s v="No"/>
    <n v="0"/>
    <n v="0"/>
    <s v="No"/>
    <n v="0"/>
    <n v="0"/>
    <n v="0"/>
    <n v="3683456"/>
    <n v="4"/>
    <n v="1.6"/>
    <n v="25"/>
    <n v="2"/>
    <n v="0.4"/>
    <n v="329"/>
    <n v="4"/>
    <n v="0.4"/>
    <n v="900"/>
    <n v="4"/>
    <n v="0.6"/>
    <n v="193"/>
    <n v="4"/>
    <n v="0.6"/>
    <n v="0.28800000000000003"/>
    <s v="No"/>
    <n v="0"/>
    <n v="0"/>
    <s v="Moderate &amp; Low"/>
    <n v="2"/>
    <n v="0.6"/>
    <s v="Moderate &amp; Low"/>
    <n v="2"/>
    <n v="0.2"/>
    <s v="Very Low"/>
    <n v="4"/>
    <n v="0.4"/>
    <s v="Moderate &amp; Low"/>
    <n v="2"/>
    <n v="0.2"/>
    <s v="Very Low"/>
    <n v="4"/>
    <n v="0.4"/>
    <n v="0.10800000000000001"/>
    <n v="1.5760000000000003"/>
    <n v="18"/>
    <n v="2.3760000000000003"/>
    <n v="32"/>
    <s v="Yes"/>
    <n v="2"/>
  </r>
  <r>
    <x v="32"/>
    <x v="32"/>
    <x v="5"/>
    <x v="15"/>
    <x v="25"/>
    <x v="0"/>
    <s v="Planning Stage"/>
    <s v="DPP being prepared."/>
    <s v="C Grade"/>
    <n v="0"/>
    <n v="0"/>
    <n v="251.43"/>
    <n v="2"/>
    <n v="0.3"/>
    <s v="Medium"/>
    <n v="4.1204311339140114"/>
    <n v="2"/>
    <n v="0.5"/>
    <s v="Not Available"/>
    <m/>
    <n v="0"/>
    <n v="0"/>
    <n v="0.16000000000000003"/>
    <s v="Priority 1"/>
    <n v="4"/>
    <n v="1.6"/>
    <s v="Pre-Feasibility/Feasibility"/>
    <n v="4"/>
    <n v="2.4"/>
    <n v="0.6"/>
    <n v="4"/>
    <n v="0"/>
    <n v="0"/>
    <n v="7"/>
    <n v="3"/>
    <n v="2"/>
    <n v="1"/>
    <n v="0.15"/>
    <n v="0.91"/>
    <n v="31"/>
    <n v="3.5"/>
    <n v="4"/>
    <n v="0.6"/>
    <s v="Yes"/>
    <n v="4"/>
    <n v="0.6"/>
    <n v="330"/>
    <n v="2"/>
    <n v="0.6"/>
    <n v="109"/>
    <n v="2"/>
    <n v="0.2"/>
    <n v="7.5"/>
    <n v="4"/>
    <n v="0.4"/>
    <n v="160"/>
    <n v="2"/>
    <n v="0.4"/>
    <n v="0.27999999999999997"/>
    <n v="6"/>
    <n v="4"/>
    <n v="1.6"/>
    <n v="4.3"/>
    <n v="4"/>
    <n v="0.8"/>
    <n v="5.2"/>
    <n v="4"/>
    <n v="1.6"/>
    <n v="0.48"/>
    <s v="No"/>
    <n v="0"/>
    <n v="0"/>
    <s v="Yes"/>
    <n v="4"/>
    <n v="0.8"/>
    <n v="173"/>
    <n v="4"/>
    <n v="0.8"/>
    <s v="Yes"/>
    <n v="4"/>
    <n v="1.6"/>
    <n v="0.32000000000000006"/>
    <s v="No"/>
    <n v="0"/>
    <n v="0"/>
    <s v="No"/>
    <n v="0"/>
    <n v="0"/>
    <n v="0"/>
    <n v="724353"/>
    <n v="4"/>
    <n v="1.6"/>
    <n v="11"/>
    <n v="4"/>
    <n v="0.8"/>
    <n v="32"/>
    <n v="4"/>
    <n v="0.4"/>
    <n v="171"/>
    <n v="4"/>
    <n v="0.6"/>
    <n v="12"/>
    <n v="4"/>
    <n v="0.6"/>
    <n v="0.32"/>
    <s v="No"/>
    <n v="0"/>
    <n v="0"/>
    <s v="Very High &amp; High"/>
    <n v="0"/>
    <n v="0"/>
    <s v="Very High &amp; High"/>
    <n v="0"/>
    <n v="0"/>
    <s v="Very Low"/>
    <n v="4"/>
    <n v="0.4"/>
    <s v="Moderate &amp; Low"/>
    <n v="2"/>
    <n v="0.2"/>
    <s v="Very Low"/>
    <n v="4"/>
    <n v="0.4"/>
    <n v="0.06"/>
    <n v="1.4600000000000002"/>
    <n v="29"/>
    <n v="2.37"/>
    <n v="33"/>
    <s v="Yes"/>
    <n v="1"/>
  </r>
  <r>
    <x v="33"/>
    <x v="33"/>
    <x v="3"/>
    <x v="16"/>
    <x v="26"/>
    <x v="0"/>
    <s v="Planning Stage"/>
    <s v="DPP preparation ongoing"/>
    <s v="B Grade"/>
    <n v="2"/>
    <n v="1"/>
    <n v="255.86"/>
    <n v="2"/>
    <n v="0.3"/>
    <s v="Medium"/>
    <n v="3.2703040725396701"/>
    <n v="2"/>
    <n v="0.5"/>
    <s v="Medium"/>
    <n v="4.0947393105604624"/>
    <n v="2"/>
    <n v="0.2"/>
    <n v="0.4"/>
    <s v="Priority 2"/>
    <n v="2"/>
    <n v="0.8"/>
    <s v="Pre-Feasibility/Feasibility"/>
    <n v="4"/>
    <n v="2.4"/>
    <n v="0.48"/>
    <n v="8"/>
    <n v="2"/>
    <n v="1"/>
    <n v="8"/>
    <n v="0"/>
    <n v="0"/>
    <n v="0"/>
    <n v="0.15"/>
    <n v="1.03"/>
    <n v="21"/>
    <n v="0"/>
    <n v="4"/>
    <n v="0.6"/>
    <s v="Yes"/>
    <n v="4"/>
    <n v="0.6"/>
    <n v="427"/>
    <n v="0"/>
    <n v="0"/>
    <n v="52"/>
    <n v="4"/>
    <n v="0.4"/>
    <n v="52"/>
    <n v="2"/>
    <n v="0.2"/>
    <n v="2"/>
    <n v="4"/>
    <n v="0.8"/>
    <n v="0.26"/>
    <n v="12"/>
    <n v="4"/>
    <n v="1.6"/>
    <n v="57"/>
    <n v="2"/>
    <n v="0.4"/>
    <n v="2.5"/>
    <n v="4"/>
    <n v="1.6"/>
    <n v="0.432"/>
    <s v="No"/>
    <n v="0"/>
    <n v="0"/>
    <s v="Yes"/>
    <n v="4"/>
    <n v="0.8"/>
    <n v="73"/>
    <n v="2"/>
    <n v="0.4"/>
    <s v="Yes"/>
    <n v="4"/>
    <n v="1.6"/>
    <n v="0.28000000000000003"/>
    <s v="No"/>
    <n v="0"/>
    <n v="0"/>
    <s v="No"/>
    <n v="0"/>
    <n v="0"/>
    <n v="0"/>
    <n v="433534"/>
    <n v="4"/>
    <n v="1.6"/>
    <n v="52"/>
    <n v="0"/>
    <n v="0"/>
    <n v="82"/>
    <n v="4"/>
    <n v="0.4"/>
    <n v="95"/>
    <n v="4"/>
    <n v="0.6"/>
    <n v="20"/>
    <n v="4"/>
    <n v="0.6"/>
    <n v="0.25600000000000001"/>
    <s v="No"/>
    <n v="0"/>
    <n v="0"/>
    <s v="Moderate &amp; Low"/>
    <n v="2"/>
    <n v="0.6"/>
    <s v="Very High &amp; High"/>
    <n v="0"/>
    <n v="0"/>
    <s v="Very Low"/>
    <n v="4"/>
    <n v="0.4"/>
    <s v="Moderate &amp; Low"/>
    <n v="2"/>
    <n v="0.2"/>
    <s v="Very Low"/>
    <n v="4"/>
    <n v="0.4"/>
    <n v="9.6000000000000002E-2"/>
    <n v="1.3240000000000001"/>
    <n v="40"/>
    <n v="2.3540000000000001"/>
    <n v="34"/>
    <s v="Yes"/>
    <n v="0"/>
  </r>
  <r>
    <x v="34"/>
    <x v="34"/>
    <x v="1"/>
    <x v="2"/>
    <x v="11"/>
    <x v="2"/>
    <s v="Under Development"/>
    <s v="Litigation ongoing"/>
    <s v="B Grade"/>
    <n v="2"/>
    <n v="1"/>
    <n v="300"/>
    <n v="2"/>
    <n v="0.3"/>
    <s v="Not Available"/>
    <m/>
    <n v="0"/>
    <n v="0"/>
    <s v="Not Available"/>
    <m/>
    <n v="0"/>
    <n v="0"/>
    <n v="0.26"/>
    <s v="N/A"/>
    <n v="4"/>
    <n v="1.6"/>
    <s v="In-principal Approval/No Report"/>
    <n v="0"/>
    <n v="0"/>
    <n v="0.24"/>
    <n v="18"/>
    <n v="4"/>
    <n v="2"/>
    <n v="18"/>
    <n v="0"/>
    <n v="0"/>
    <n v="0"/>
    <n v="0.3"/>
    <n v="0.8"/>
    <n v="36"/>
    <n v="0"/>
    <n v="4"/>
    <n v="0.6"/>
    <s v="Yes"/>
    <n v="4"/>
    <n v="0.6"/>
    <n v="219"/>
    <n v="2"/>
    <n v="0.6"/>
    <n v="43"/>
    <n v="4"/>
    <n v="0.4"/>
    <n v="27"/>
    <n v="4"/>
    <n v="0.4"/>
    <n v="104"/>
    <n v="2"/>
    <n v="0.4"/>
    <n v="0.3"/>
    <n v="4.5"/>
    <n v="4"/>
    <n v="1.6"/>
    <n v="11"/>
    <n v="4"/>
    <n v="0.8"/>
    <n v="1"/>
    <n v="4"/>
    <n v="1.6"/>
    <n v="0.48"/>
    <s v="Yes"/>
    <n v="4"/>
    <n v="0.8"/>
    <s v="Yes"/>
    <n v="4"/>
    <n v="0.8"/>
    <n v="606"/>
    <n v="4"/>
    <n v="0.8"/>
    <s v="Yes"/>
    <n v="4"/>
    <n v="1.6"/>
    <n v="0.4"/>
    <s v="No"/>
    <n v="0"/>
    <n v="0"/>
    <s v="No"/>
    <n v="0"/>
    <n v="0"/>
    <n v="0"/>
    <n v="861792"/>
    <n v="4"/>
    <n v="1.6"/>
    <n v="4"/>
    <n v="4"/>
    <n v="0.8"/>
    <n v="218"/>
    <n v="4"/>
    <n v="0.4"/>
    <n v="144"/>
    <n v="4"/>
    <n v="0.6"/>
    <n v="78"/>
    <n v="4"/>
    <n v="0.6"/>
    <n v="0.32"/>
    <s v="No"/>
    <n v="0"/>
    <n v="0"/>
    <s v="Very High &amp; High"/>
    <n v="0"/>
    <n v="0"/>
    <s v="Very High &amp; High"/>
    <n v="0"/>
    <n v="0"/>
    <s v="Very Low"/>
    <n v="4"/>
    <n v="0.4"/>
    <s v="High &amp; Very High"/>
    <n v="0"/>
    <n v="0"/>
    <s v="Very Low"/>
    <n v="4"/>
    <n v="0.4"/>
    <n v="4.8000000000000001E-2"/>
    <n v="1.5480000000000003"/>
    <n v="23"/>
    <n v="2.3480000000000003"/>
    <n v="35"/>
    <s v="Yes"/>
    <n v="2"/>
  </r>
  <r>
    <x v="35"/>
    <x v="35"/>
    <x v="1"/>
    <x v="17"/>
    <x v="27"/>
    <x v="2"/>
    <s v="Under Development"/>
    <s v="Operational"/>
    <s v="A Grade"/>
    <n v="4"/>
    <n v="2"/>
    <n v="197.01"/>
    <n v="2"/>
    <n v="0.3"/>
    <s v="Not Available"/>
    <m/>
    <n v="0"/>
    <n v="0"/>
    <s v="Not Available"/>
    <m/>
    <n v="0"/>
    <n v="0"/>
    <n v="0.45999999999999996"/>
    <s v="N/A"/>
    <n v="4"/>
    <n v="1.6"/>
    <s v="In-principal Approval/No Report"/>
    <n v="0"/>
    <n v="0"/>
    <n v="0.24"/>
    <n v="5"/>
    <n v="2"/>
    <n v="1"/>
    <n v="6"/>
    <n v="1"/>
    <n v="0"/>
    <n v="0"/>
    <n v="0.15"/>
    <n v="0.85"/>
    <n v="33"/>
    <n v="1"/>
    <n v="4"/>
    <n v="0.6"/>
    <s v="Yes"/>
    <n v="4"/>
    <n v="0.6"/>
    <n v="204"/>
    <n v="2"/>
    <n v="0.6"/>
    <n v="57"/>
    <n v="4"/>
    <n v="0.4"/>
    <n v="41"/>
    <n v="4"/>
    <n v="0.4"/>
    <n v="88"/>
    <n v="2"/>
    <n v="0.4"/>
    <n v="0.3"/>
    <n v="15.5"/>
    <n v="4"/>
    <n v="1.6"/>
    <n v="33"/>
    <n v="4"/>
    <n v="0.8"/>
    <n v="1"/>
    <n v="4"/>
    <n v="1.6"/>
    <n v="0.48"/>
    <s v="Yes"/>
    <n v="4"/>
    <n v="0.8"/>
    <s v="Yes"/>
    <n v="4"/>
    <n v="0.8"/>
    <n v="72"/>
    <n v="2"/>
    <n v="0.4"/>
    <s v="No"/>
    <n v="0"/>
    <n v="0"/>
    <n v="0.2"/>
    <s v="Yes"/>
    <n v="4"/>
    <n v="4"/>
    <s v="Yes"/>
    <n v="4"/>
    <n v="0"/>
    <n v="0.16"/>
    <n v="171975"/>
    <n v="2"/>
    <n v="0.8"/>
    <n v="10"/>
    <n v="4"/>
    <n v="0.8"/>
    <n v="60"/>
    <n v="4"/>
    <n v="0.4"/>
    <n v="68"/>
    <n v="4"/>
    <n v="0.6"/>
    <n v="78"/>
    <n v="4"/>
    <n v="0.6"/>
    <n v="0.25600000000000001"/>
    <s v="No"/>
    <n v="0"/>
    <n v="0"/>
    <s v="Very High &amp; High"/>
    <n v="0"/>
    <n v="0"/>
    <s v="Very High &amp; High"/>
    <n v="0"/>
    <n v="0"/>
    <s v="Very Low"/>
    <n v="4"/>
    <n v="0.4"/>
    <s v="Moderate &amp; Low"/>
    <n v="2"/>
    <n v="0.2"/>
    <s v="Very Low"/>
    <n v="4"/>
    <n v="0.4"/>
    <n v="0.06"/>
    <n v="1.456"/>
    <n v="30"/>
    <n v="2.306"/>
    <n v="36"/>
    <s v="Yes"/>
    <n v="2"/>
  </r>
  <r>
    <x v="36"/>
    <x v="36"/>
    <x v="6"/>
    <x v="18"/>
    <x v="28"/>
    <x v="0"/>
    <s v="Planning Stage"/>
    <s v="Land acquisition and development cost are very high. It will take very long."/>
    <s v="C Grade"/>
    <n v="0"/>
    <n v="0"/>
    <n v="300"/>
    <n v="2"/>
    <n v="0.3"/>
    <s v="Not Available"/>
    <m/>
    <n v="0"/>
    <n v="0"/>
    <s v="Not Available"/>
    <m/>
    <n v="0"/>
    <n v="0"/>
    <n v="0.06"/>
    <s v="Priority 3"/>
    <n v="0"/>
    <n v="0"/>
    <s v="Pre-Feasibility/Feasibility"/>
    <n v="4"/>
    <n v="2.4"/>
    <n v="0.36"/>
    <n v="4"/>
    <n v="0"/>
    <n v="0"/>
    <n v="11"/>
    <n v="7"/>
    <n v="4"/>
    <n v="2"/>
    <n v="0.3"/>
    <n v="0.72"/>
    <n v="48"/>
    <n v="15"/>
    <n v="4"/>
    <n v="0.6"/>
    <s v="Yes"/>
    <n v="4"/>
    <n v="0.6"/>
    <n v="110"/>
    <n v="4"/>
    <n v="1.2"/>
    <n v="45"/>
    <n v="4"/>
    <n v="0.4"/>
    <n v="94"/>
    <n v="2"/>
    <n v="0.2"/>
    <n v="45"/>
    <n v="4"/>
    <n v="0.8"/>
    <n v="0.38"/>
    <n v="4"/>
    <n v="4"/>
    <n v="1.6"/>
    <n v="96"/>
    <n v="2"/>
    <n v="0.4"/>
    <n v="2"/>
    <n v="4"/>
    <n v="1.6"/>
    <n v="0.432"/>
    <s v="Yes"/>
    <n v="4"/>
    <n v="0.8"/>
    <s v="Yes"/>
    <n v="4"/>
    <n v="0.8"/>
    <n v="123"/>
    <n v="4"/>
    <n v="0.8"/>
    <s v="Yes"/>
    <n v="4"/>
    <n v="1.6"/>
    <n v="0.4"/>
    <s v="No"/>
    <n v="0"/>
    <n v="0"/>
    <s v="No"/>
    <n v="0"/>
    <n v="0"/>
    <n v="0"/>
    <n v="342511"/>
    <n v="4"/>
    <n v="1.6"/>
    <n v="45"/>
    <n v="2"/>
    <n v="0.4"/>
    <n v="14"/>
    <n v="2"/>
    <n v="0.2"/>
    <n v="140"/>
    <n v="4"/>
    <n v="0.6"/>
    <n v="16"/>
    <n v="4"/>
    <n v="0.6"/>
    <n v="0.27200000000000002"/>
    <s v="No"/>
    <n v="0"/>
    <n v="0"/>
    <s v="Moderate &amp; Low"/>
    <n v="2"/>
    <n v="0.6"/>
    <s v="Moderate &amp; Low"/>
    <n v="2"/>
    <n v="0.2"/>
    <s v="High &amp; Very High"/>
    <n v="0"/>
    <n v="0"/>
    <s v="High &amp; Very High"/>
    <n v="0"/>
    <n v="0"/>
    <s v="Moderate &amp; Low"/>
    <n v="2"/>
    <n v="0.2"/>
    <n v="0.06"/>
    <n v="1.5440000000000003"/>
    <n v="24"/>
    <n v="2.2640000000000002"/>
    <n v="37"/>
    <s v="Yes"/>
    <n v="2"/>
  </r>
  <r>
    <x v="37"/>
    <x v="37"/>
    <x v="1"/>
    <x v="17"/>
    <x v="27"/>
    <x v="2"/>
    <s v="Under Development"/>
    <s v="Operational"/>
    <s v="A Grade"/>
    <n v="4"/>
    <n v="2"/>
    <n v="75.47"/>
    <n v="0"/>
    <n v="0"/>
    <s v="Not Available"/>
    <m/>
    <n v="0"/>
    <n v="0"/>
    <s v="Not Available"/>
    <m/>
    <n v="0"/>
    <n v="0"/>
    <n v="0.4"/>
    <s v="N/A"/>
    <n v="4"/>
    <n v="1.6"/>
    <s v="In-principal Approval/No Report"/>
    <n v="0"/>
    <n v="0"/>
    <n v="0.24"/>
    <n v="5"/>
    <n v="2"/>
    <n v="1"/>
    <n v="6"/>
    <n v="1"/>
    <n v="0"/>
    <n v="0"/>
    <n v="0.15"/>
    <n v="0.79"/>
    <n v="40"/>
    <n v="3"/>
    <n v="4"/>
    <n v="0.6"/>
    <s v="Yes"/>
    <n v="4"/>
    <n v="0.6"/>
    <n v="218"/>
    <n v="2"/>
    <n v="0.6"/>
    <n v="48.1"/>
    <n v="4"/>
    <n v="0.4"/>
    <n v="32"/>
    <n v="4"/>
    <n v="0.4"/>
    <n v="102"/>
    <n v="2"/>
    <n v="0.4"/>
    <n v="0.3"/>
    <n v="0.5"/>
    <n v="4"/>
    <n v="1.6"/>
    <n v="25"/>
    <n v="4"/>
    <n v="0.8"/>
    <n v="1"/>
    <n v="4"/>
    <n v="1.6"/>
    <n v="0.48"/>
    <s v="Yes"/>
    <n v="4"/>
    <n v="0.8"/>
    <s v="Yes"/>
    <n v="4"/>
    <n v="0.8"/>
    <n v="72"/>
    <n v="2"/>
    <n v="0.4"/>
    <s v="No"/>
    <n v="0"/>
    <n v="0"/>
    <n v="0.2"/>
    <s v="Yes"/>
    <n v="4"/>
    <n v="4"/>
    <s v="Yes"/>
    <n v="4"/>
    <n v="0"/>
    <n v="0.16"/>
    <n v="171975"/>
    <n v="2"/>
    <n v="0.8"/>
    <n v="9"/>
    <n v="4"/>
    <n v="0.8"/>
    <n v="60"/>
    <n v="4"/>
    <n v="0.4"/>
    <n v="68"/>
    <n v="4"/>
    <n v="0.6"/>
    <n v="78"/>
    <n v="4"/>
    <n v="0.6"/>
    <n v="0.25600000000000001"/>
    <s v="No"/>
    <n v="0"/>
    <n v="0"/>
    <s v="Very High &amp; High"/>
    <n v="0"/>
    <n v="0"/>
    <s v="Very High &amp; High"/>
    <n v="0"/>
    <n v="0"/>
    <s v="Very Low"/>
    <n v="4"/>
    <n v="0.4"/>
    <s v="Moderate &amp; Low"/>
    <n v="2"/>
    <n v="0.2"/>
    <s v="Very Low"/>
    <n v="4"/>
    <n v="0.4"/>
    <n v="0.06"/>
    <n v="1.456"/>
    <n v="30"/>
    <n v="2.246"/>
    <n v="38"/>
    <s v="Yes"/>
    <n v="2"/>
  </r>
  <r>
    <x v="38"/>
    <x v="38"/>
    <x v="7"/>
    <x v="19"/>
    <x v="29"/>
    <x v="0"/>
    <s v="Planning Stage"/>
    <s v="Feasibility to be done"/>
    <s v="B Grade"/>
    <n v="2"/>
    <n v="1"/>
    <n v="602.41999999999996"/>
    <n v="4"/>
    <n v="0.6"/>
    <s v="Medium"/>
    <n v="4.832010889412703"/>
    <n v="2"/>
    <n v="0.5"/>
    <s v="Low"/>
    <n v="1.2602171242654627"/>
    <n v="4"/>
    <n v="0.4"/>
    <n v="0.5"/>
    <s v="Priority 1"/>
    <n v="4"/>
    <n v="1.6"/>
    <s v="Pre-Feasibility/Feasibility"/>
    <n v="4"/>
    <n v="2.4"/>
    <n v="0.6"/>
    <n v="0"/>
    <n v="0"/>
    <n v="0"/>
    <n v="0"/>
    <n v="0"/>
    <n v="0"/>
    <n v="0"/>
    <n v="0"/>
    <n v="1.1000000000000001"/>
    <n v="16"/>
    <n v="28"/>
    <n v="2"/>
    <n v="0.3"/>
    <s v="No"/>
    <n v="0"/>
    <n v="0"/>
    <n v="522"/>
    <n v="0"/>
    <n v="0"/>
    <n v="45"/>
    <n v="4"/>
    <n v="0.4"/>
    <n v="7"/>
    <n v="4"/>
    <n v="0.4"/>
    <n v="79"/>
    <n v="2"/>
    <n v="0.4"/>
    <n v="0.15000000000000002"/>
    <n v="2"/>
    <n v="4"/>
    <n v="1.6"/>
    <n v="185"/>
    <n v="0"/>
    <n v="0"/>
    <n v="0"/>
    <n v="4"/>
    <n v="1.6"/>
    <n v="0.38400000000000001"/>
    <s v="No"/>
    <n v="0"/>
    <n v="0"/>
    <s v="Yes"/>
    <n v="4"/>
    <n v="0.8"/>
    <n v="22"/>
    <n v="0"/>
    <n v="0"/>
    <s v="Yes"/>
    <n v="4"/>
    <n v="1.6"/>
    <n v="0.24000000000000005"/>
    <s v="No"/>
    <n v="0"/>
    <n v="0"/>
    <s v="No"/>
    <n v="0"/>
    <n v="0"/>
    <n v="0"/>
    <n v="186161"/>
    <n v="2"/>
    <n v="0.8"/>
    <n v="39"/>
    <n v="2"/>
    <n v="0.4"/>
    <n v="18"/>
    <n v="2"/>
    <n v="0.2"/>
    <n v="29"/>
    <n v="4"/>
    <n v="0.6"/>
    <n v="2"/>
    <n v="2"/>
    <n v="0.3"/>
    <n v="0.184"/>
    <s v="No"/>
    <n v="0"/>
    <n v="0"/>
    <s v="Moderate &amp; Low"/>
    <n v="2"/>
    <n v="0.6"/>
    <s v="Moderate &amp; Low"/>
    <n v="2"/>
    <n v="0.2"/>
    <s v="Very Low"/>
    <n v="4"/>
    <n v="0.4"/>
    <s v="Very Low"/>
    <n v="4"/>
    <n v="0.4"/>
    <s v="Very Low"/>
    <n v="4"/>
    <n v="0.4"/>
    <n v="0.12"/>
    <n v="1.0779999999999998"/>
    <n v="47"/>
    <n v="2.1779999999999999"/>
    <n v="39"/>
    <s v="Yes"/>
    <n v="0"/>
  </r>
  <r>
    <x v="39"/>
    <x v="39"/>
    <x v="0"/>
    <x v="1"/>
    <x v="8"/>
    <x v="0"/>
    <s v="Planning Stage"/>
    <s v="No land available"/>
    <s v="C Grade"/>
    <n v="0"/>
    <n v="0"/>
    <n v="1438.52"/>
    <n v="4"/>
    <n v="0.6"/>
    <s v="Medium"/>
    <n v="2.5365584072518979"/>
    <n v="2"/>
    <n v="0.5"/>
    <s v="High"/>
    <n v="17.800385118037983"/>
    <n v="0"/>
    <n v="0"/>
    <n v="0.22000000000000003"/>
    <s v="Priority 3"/>
    <n v="0"/>
    <n v="0"/>
    <s v="Pre-Feasibility/Feasibility"/>
    <n v="4"/>
    <n v="2.4"/>
    <n v="0.36"/>
    <n v="1"/>
    <n v="0"/>
    <n v="0"/>
    <n v="4"/>
    <n v="3"/>
    <n v="2"/>
    <n v="1"/>
    <n v="0.15"/>
    <n v="0.73000000000000009"/>
    <n v="47"/>
    <n v="25"/>
    <n v="4"/>
    <n v="0.6"/>
    <s v="No"/>
    <n v="0"/>
    <n v="0"/>
    <n v="71"/>
    <n v="4"/>
    <n v="1.2"/>
    <n v="26"/>
    <n v="4"/>
    <n v="0.4"/>
    <n v="71"/>
    <n v="2"/>
    <n v="0.2"/>
    <n v="106"/>
    <n v="2"/>
    <n v="0.4"/>
    <n v="0.27999999999999997"/>
    <n v="4"/>
    <n v="4"/>
    <n v="1.6"/>
    <s v="Not available"/>
    <n v="0"/>
    <n v="0"/>
    <s v="Not Available"/>
    <n v="0"/>
    <n v="0"/>
    <n v="0.192"/>
    <s v="Yes"/>
    <n v="4"/>
    <n v="0.8"/>
    <s v="Yes"/>
    <n v="4"/>
    <n v="0.8"/>
    <n v="38"/>
    <n v="0"/>
    <n v="0"/>
    <s v="Yes"/>
    <n v="4"/>
    <n v="1.6"/>
    <n v="0.32000000000000006"/>
    <s v="Yes"/>
    <n v="4"/>
    <n v="4"/>
    <s v="Yes"/>
    <n v="4"/>
    <n v="0"/>
    <n v="0.16"/>
    <n v="260078"/>
    <n v="4"/>
    <n v="1.6"/>
    <n v="12"/>
    <n v="4"/>
    <n v="0.8"/>
    <n v="86"/>
    <n v="4"/>
    <n v="0.4"/>
    <n v="61"/>
    <n v="4"/>
    <n v="0.6"/>
    <n v="24"/>
    <n v="4"/>
    <n v="0.6"/>
    <n v="0.32"/>
    <s v="Yes"/>
    <n v="4"/>
    <n v="1.2"/>
    <s v="Moderate &amp; Low"/>
    <n v="2"/>
    <n v="0.6"/>
    <s v="Moderate &amp; Low"/>
    <n v="2"/>
    <n v="0.2"/>
    <s v="Moderate &amp; Low"/>
    <n v="2"/>
    <n v="0.2"/>
    <s v="High &amp; Very High"/>
    <n v="0"/>
    <n v="0"/>
    <s v="Moderate &amp; Low"/>
    <n v="2"/>
    <n v="0.2"/>
    <n v="0.14399999999999999"/>
    <n v="1.4159999999999999"/>
    <n v="35"/>
    <n v="2.1459999999999999"/>
    <n v="40"/>
    <s v="Yes"/>
    <n v="0"/>
  </r>
  <r>
    <x v="40"/>
    <x v="40"/>
    <x v="1"/>
    <x v="20"/>
    <x v="30"/>
    <x v="0"/>
    <s v="Planning Stage"/>
    <s v="Feasibility Ongoing"/>
    <s v="C Grade"/>
    <n v="0"/>
    <n v="0"/>
    <n v="320.37"/>
    <n v="2"/>
    <n v="0.3"/>
    <s v="Medium"/>
    <n v="3.6340793457564691"/>
    <n v="2"/>
    <n v="0.5"/>
    <s v="Medium"/>
    <n v="3.3410431688360331"/>
    <n v="2"/>
    <n v="0.2"/>
    <n v="0.2"/>
    <s v="Priority 3"/>
    <n v="0"/>
    <n v="0"/>
    <s v="Pre-Feasibility/Feasibility"/>
    <n v="4"/>
    <n v="2.4"/>
    <n v="0.36"/>
    <n v="2"/>
    <n v="0"/>
    <n v="0"/>
    <n v="2"/>
    <n v="0"/>
    <n v="0"/>
    <n v="0"/>
    <n v="0"/>
    <n v="0.56000000000000005"/>
    <n v="62"/>
    <n v="0"/>
    <n v="4"/>
    <n v="0.6"/>
    <s v="Yes"/>
    <n v="4"/>
    <n v="0.6"/>
    <n v="7"/>
    <n v="4"/>
    <n v="1.2"/>
    <n v="79"/>
    <n v="4"/>
    <n v="0.4"/>
    <n v="77"/>
    <n v="2"/>
    <n v="0.2"/>
    <n v="171"/>
    <n v="2"/>
    <n v="0.4"/>
    <n v="0.34"/>
    <n v="0.3"/>
    <n v="4"/>
    <n v="1.6"/>
    <n v="18"/>
    <n v="4"/>
    <n v="0.8"/>
    <n v="2"/>
    <n v="4"/>
    <n v="1.6"/>
    <n v="0.48"/>
    <s v="No"/>
    <n v="0"/>
    <n v="0"/>
    <s v="Yes"/>
    <n v="4"/>
    <n v="0.8"/>
    <n v="40"/>
    <n v="0"/>
    <n v="0"/>
    <s v="Yes"/>
    <n v="4"/>
    <n v="1.6"/>
    <n v="0.24000000000000005"/>
    <s v="Yes"/>
    <n v="4"/>
    <n v="4"/>
    <s v="Yes"/>
    <n v="4"/>
    <n v="0"/>
    <n v="0.16"/>
    <n v="152354"/>
    <n v="2"/>
    <n v="0.8"/>
    <n v="33.799999999999997"/>
    <n v="2"/>
    <n v="0.4"/>
    <n v="2"/>
    <n v="0"/>
    <n v="0"/>
    <n v="68"/>
    <n v="4"/>
    <n v="0.6"/>
    <n v="78"/>
    <n v="4"/>
    <n v="0.6"/>
    <n v="0.19200000000000003"/>
    <s v="No"/>
    <n v="0"/>
    <n v="0"/>
    <s v="Moderate &amp; Low"/>
    <n v="2"/>
    <n v="0.6"/>
    <s v="Moderate &amp; Low"/>
    <n v="2"/>
    <n v="0.2"/>
    <s v="Very Low"/>
    <n v="4"/>
    <n v="0.4"/>
    <s v="Moderate &amp; Low"/>
    <n v="2"/>
    <n v="0.2"/>
    <s v="Very Low"/>
    <n v="4"/>
    <n v="0.4"/>
    <n v="0.10800000000000001"/>
    <n v="1.52"/>
    <n v="25"/>
    <n v="2.08"/>
    <n v="41"/>
    <s v="Yes"/>
    <n v="0"/>
  </r>
  <r>
    <x v="41"/>
    <x v="41"/>
    <x v="4"/>
    <x v="21"/>
    <x v="31"/>
    <x v="0"/>
    <s v="Planning Stage"/>
    <s v="Land not available"/>
    <s v="C Grade"/>
    <n v="0"/>
    <n v="0"/>
    <n v="500"/>
    <n v="2"/>
    <n v="0.3"/>
    <s v="Not Available"/>
    <m/>
    <n v="0"/>
    <n v="0"/>
    <s v="Low"/>
    <n v="0.13200000000000001"/>
    <n v="4"/>
    <n v="0.4"/>
    <n v="0.13999999999999999"/>
    <s v="Priority 2"/>
    <n v="2"/>
    <n v="0.8"/>
    <s v="Pre-Feasibility/Feasibility"/>
    <n v="4"/>
    <n v="2.4"/>
    <n v="0.48"/>
    <n v="0"/>
    <n v="0"/>
    <n v="0"/>
    <n v="1"/>
    <n v="1"/>
    <n v="0"/>
    <n v="0"/>
    <n v="0"/>
    <n v="0.62"/>
    <n v="58"/>
    <n v="10"/>
    <n v="4"/>
    <n v="0.6"/>
    <s v="Yes"/>
    <n v="4"/>
    <n v="0.6"/>
    <n v="346"/>
    <n v="2"/>
    <n v="0.6"/>
    <n v="150"/>
    <n v="2"/>
    <n v="0.2"/>
    <n v="5"/>
    <n v="4"/>
    <n v="0.4"/>
    <n v="87"/>
    <n v="2"/>
    <n v="0.4"/>
    <n v="0.27999999999999997"/>
    <n v="11"/>
    <n v="4"/>
    <n v="1.6"/>
    <n v="4"/>
    <n v="4"/>
    <n v="0.8"/>
    <n v="4"/>
    <n v="4"/>
    <n v="1.6"/>
    <n v="0.48"/>
    <s v="No"/>
    <n v="0"/>
    <n v="0"/>
    <s v="Yes"/>
    <n v="4"/>
    <n v="0.8"/>
    <n v="33"/>
    <n v="0"/>
    <n v="0"/>
    <s v="No"/>
    <n v="0"/>
    <n v="0"/>
    <n v="8.0000000000000016E-2"/>
    <s v="Yes"/>
    <n v="4"/>
    <n v="4"/>
    <s v="Yes"/>
    <n v="4"/>
    <n v="0"/>
    <n v="0.16"/>
    <n v="237713"/>
    <n v="4"/>
    <n v="1.6"/>
    <n v="7.2"/>
    <n v="4"/>
    <n v="0.8"/>
    <n v="2"/>
    <n v="0"/>
    <n v="0"/>
    <n v="56"/>
    <n v="4"/>
    <n v="0.6"/>
    <n v="5"/>
    <n v="4"/>
    <n v="0.6"/>
    <n v="0.28800000000000003"/>
    <s v="Yes"/>
    <n v="4"/>
    <n v="1.2"/>
    <s v="Moderate &amp; Low"/>
    <n v="2"/>
    <n v="0.6"/>
    <s v="Very High &amp; High"/>
    <n v="0"/>
    <n v="0"/>
    <s v="Very Low"/>
    <n v="4"/>
    <n v="0.4"/>
    <s v="Moderate &amp; Low"/>
    <n v="2"/>
    <n v="0.2"/>
    <s v="Very Low"/>
    <n v="4"/>
    <n v="0.4"/>
    <n v="0.16799999999999998"/>
    <n v="1.456"/>
    <n v="30"/>
    <n v="2.0760000000000001"/>
    <n v="42"/>
    <s v="Yes"/>
    <n v="1"/>
  </r>
  <r>
    <x v="42"/>
    <x v="42"/>
    <x v="7"/>
    <x v="22"/>
    <x v="32"/>
    <x v="0"/>
    <s v="Planning Stage"/>
    <s v="Land partially available"/>
    <s v="B Grade"/>
    <n v="2"/>
    <n v="1"/>
    <n v="107.73"/>
    <n v="2"/>
    <n v="0.3"/>
    <s v="Low"/>
    <n v="6.257495590828924"/>
    <n v="0"/>
    <n v="0"/>
    <s v="High"/>
    <n v="16.378817413905132"/>
    <n v="0"/>
    <n v="0"/>
    <n v="0.26"/>
    <s v="Priority 2"/>
    <n v="2"/>
    <n v="0.8"/>
    <s v="Pre-Feasibility/Feasibility"/>
    <n v="4"/>
    <n v="2.4"/>
    <n v="0.48"/>
    <n v="0"/>
    <n v="0"/>
    <n v="0"/>
    <n v="0"/>
    <n v="0"/>
    <n v="0"/>
    <n v="0"/>
    <n v="0"/>
    <n v="0.74"/>
    <n v="44"/>
    <n v="2"/>
    <n v="4"/>
    <n v="0.6"/>
    <s v="Yes"/>
    <n v="4"/>
    <n v="0.6"/>
    <n v="484"/>
    <n v="0"/>
    <n v="0"/>
    <n v="10"/>
    <n v="4"/>
    <n v="0.4"/>
    <n v="4"/>
    <n v="4"/>
    <n v="0.4"/>
    <n v="72"/>
    <n v="2"/>
    <n v="0.4"/>
    <n v="0.24"/>
    <n v="1"/>
    <n v="4"/>
    <n v="1.6"/>
    <s v="Not available"/>
    <n v="0"/>
    <n v="0"/>
    <n v="30"/>
    <n v="2"/>
    <n v="0.8"/>
    <n v="0.28800000000000003"/>
    <s v="No"/>
    <n v="0"/>
    <n v="0"/>
    <s v="Yes"/>
    <n v="4"/>
    <n v="0.8"/>
    <n v="70"/>
    <n v="2"/>
    <n v="0.4"/>
    <s v="No"/>
    <n v="0"/>
    <n v="0"/>
    <n v="0.12000000000000002"/>
    <s v="Yes"/>
    <n v="4"/>
    <n v="4"/>
    <s v="Yes"/>
    <n v="4"/>
    <n v="0"/>
    <n v="0.16"/>
    <n v="391484"/>
    <n v="4"/>
    <n v="1.6"/>
    <n v="2.5"/>
    <n v="4"/>
    <n v="0.8"/>
    <n v="6"/>
    <n v="2"/>
    <n v="0.2"/>
    <n v="37"/>
    <n v="4"/>
    <n v="0.6"/>
    <n v="5"/>
    <n v="4"/>
    <n v="0.6"/>
    <n v="0.30400000000000005"/>
    <s v="No"/>
    <n v="0"/>
    <n v="0"/>
    <s v="Moderate &amp; Low"/>
    <n v="2"/>
    <n v="0.6"/>
    <s v="Moderate &amp; Low"/>
    <n v="2"/>
    <n v="0.2"/>
    <s v="Very Low"/>
    <n v="4"/>
    <n v="0.4"/>
    <s v="Very Low"/>
    <n v="4"/>
    <n v="0.4"/>
    <s v="Very Low"/>
    <n v="4"/>
    <n v="0.4"/>
    <n v="0.12"/>
    <n v="1.2320000000000002"/>
    <n v="43"/>
    <n v="1.9720000000000002"/>
    <n v="43"/>
    <s v="Yes"/>
    <n v="0"/>
  </r>
  <r>
    <x v="43"/>
    <x v="43"/>
    <x v="5"/>
    <x v="23"/>
    <x v="33"/>
    <x v="0"/>
    <s v="In-Principle Approval"/>
    <s v="Land under litigation"/>
    <s v="C Grade"/>
    <n v="0"/>
    <n v="0"/>
    <n v="242.34"/>
    <n v="2"/>
    <n v="0.3"/>
    <s v="Low"/>
    <n v="6.5651563918461662"/>
    <n v="0"/>
    <n v="0"/>
    <s v="Low"/>
    <n v="0.18156309317487826"/>
    <n v="4"/>
    <n v="0.4"/>
    <n v="0.13999999999999999"/>
    <s v="Priority 3"/>
    <n v="0"/>
    <n v="0"/>
    <s v="Pre-Feasibility/Feasibility"/>
    <n v="4"/>
    <n v="2.4"/>
    <n v="0.36"/>
    <n v="2"/>
    <n v="0"/>
    <n v="0"/>
    <n v="4"/>
    <n v="2"/>
    <n v="2"/>
    <n v="1"/>
    <n v="0.15"/>
    <n v="0.65"/>
    <n v="55"/>
    <n v="0"/>
    <n v="4"/>
    <n v="0.6"/>
    <s v="Yes"/>
    <n v="4"/>
    <n v="0.6"/>
    <n v="204"/>
    <n v="2"/>
    <n v="0.6"/>
    <n v="42"/>
    <n v="4"/>
    <n v="0.4"/>
    <n v="22.8"/>
    <n v="4"/>
    <n v="0.4"/>
    <n v="146"/>
    <n v="2"/>
    <n v="0.4"/>
    <n v="0.3"/>
    <n v="5"/>
    <n v="4"/>
    <n v="1.6"/>
    <s v="Not available"/>
    <n v="0"/>
    <n v="0"/>
    <s v="Not Available"/>
    <n v="0"/>
    <n v="0"/>
    <n v="0.192"/>
    <s v="Yes"/>
    <n v="4"/>
    <n v="0.8"/>
    <s v="Yes"/>
    <n v="4"/>
    <n v="0.8"/>
    <n v="76"/>
    <n v="2"/>
    <n v="0.4"/>
    <s v="No"/>
    <n v="0"/>
    <n v="0"/>
    <n v="0.2"/>
    <s v="Yes"/>
    <n v="4"/>
    <n v="4"/>
    <s v="Yes"/>
    <n v="4"/>
    <n v="0"/>
    <n v="0.16"/>
    <n v="301099"/>
    <n v="4"/>
    <n v="1.6"/>
    <n v="2.6"/>
    <n v="4"/>
    <n v="0.8"/>
    <n v="12"/>
    <n v="2"/>
    <n v="0.2"/>
    <n v="84"/>
    <n v="4"/>
    <n v="0.6"/>
    <n v="12"/>
    <n v="4"/>
    <n v="0.6"/>
    <n v="0.30400000000000005"/>
    <s v="No"/>
    <n v="0"/>
    <n v="0"/>
    <s v="Moderate &amp; Low"/>
    <n v="2"/>
    <n v="0.6"/>
    <s v="Moderate &amp; Low"/>
    <n v="2"/>
    <n v="0.2"/>
    <s v="Very Low"/>
    <n v="4"/>
    <n v="0.4"/>
    <s v="Moderate &amp; Low"/>
    <n v="2"/>
    <n v="0.2"/>
    <s v="Very Low"/>
    <n v="4"/>
    <n v="0.4"/>
    <n v="0.10800000000000001"/>
    <n v="1.2640000000000002"/>
    <n v="42"/>
    <n v="1.9140000000000001"/>
    <n v="44"/>
    <s v="Yes"/>
    <n v="0"/>
  </r>
  <r>
    <x v="44"/>
    <x v="44"/>
    <x v="1"/>
    <x v="24"/>
    <x v="34"/>
    <x v="0"/>
    <s v="Planning Stage"/>
    <s v="Land acquisition ongoing"/>
    <s v="C Grade"/>
    <n v="0"/>
    <n v="0"/>
    <n v="525.26499999999999"/>
    <n v="4"/>
    <n v="0.6"/>
    <s v="Medium"/>
    <n v="2.3144508010242451"/>
    <n v="2"/>
    <n v="0.5"/>
    <s v="Low"/>
    <n v="0.14011974907903629"/>
    <n v="4"/>
    <n v="0.4"/>
    <n v="0.30000000000000004"/>
    <s v="Priority 3"/>
    <n v="0"/>
    <n v="0"/>
    <s v="Pre-Feasibility/Feasibility"/>
    <n v="4"/>
    <n v="2.4"/>
    <n v="0.36"/>
    <n v="0"/>
    <n v="0"/>
    <n v="0"/>
    <n v="0"/>
    <n v="0"/>
    <n v="0"/>
    <n v="0"/>
    <n v="0"/>
    <n v="0.66"/>
    <n v="53"/>
    <n v="13"/>
    <n v="4"/>
    <n v="0.6"/>
    <s v="Yes"/>
    <n v="4"/>
    <n v="0.6"/>
    <n v="175"/>
    <n v="4"/>
    <n v="1.2"/>
    <n v="82"/>
    <n v="4"/>
    <n v="0.4"/>
    <n v="75"/>
    <n v="2"/>
    <n v="0.2"/>
    <n v="176"/>
    <n v="2"/>
    <n v="0.4"/>
    <n v="0.34"/>
    <n v="3"/>
    <n v="4"/>
    <n v="1.6"/>
    <s v="Not available"/>
    <n v="0"/>
    <n v="0"/>
    <s v="Not Available"/>
    <n v="0"/>
    <n v="0"/>
    <n v="0.192"/>
    <s v="Yes"/>
    <n v="4"/>
    <n v="0.8"/>
    <s v="Yes"/>
    <n v="4"/>
    <n v="0.8"/>
    <n v="13"/>
    <n v="0"/>
    <n v="0"/>
    <s v="No"/>
    <n v="0"/>
    <n v="0"/>
    <n v="0.16000000000000003"/>
    <s v="Yes"/>
    <n v="4"/>
    <n v="4"/>
    <s v="Yes"/>
    <n v="4"/>
    <n v="0"/>
    <n v="0.16"/>
    <n v="142285"/>
    <n v="2"/>
    <n v="0.8"/>
    <n v="18"/>
    <n v="4"/>
    <n v="0.8"/>
    <n v="332"/>
    <n v="4"/>
    <n v="0.4"/>
    <n v="40"/>
    <n v="4"/>
    <n v="0.6"/>
    <n v="78"/>
    <n v="4"/>
    <n v="0.6"/>
    <n v="0.25600000000000001"/>
    <s v="No"/>
    <n v="0"/>
    <n v="0"/>
    <s v="Moderate &amp; Low"/>
    <n v="2"/>
    <n v="0.6"/>
    <s v="Very Low"/>
    <n v="4"/>
    <n v="0.4"/>
    <s v="Moderate &amp; Low"/>
    <n v="2"/>
    <n v="0.2"/>
    <s v="Moderate &amp; Low"/>
    <n v="2"/>
    <n v="0.2"/>
    <s v="Moderate &amp; Low"/>
    <n v="2"/>
    <n v="0.2"/>
    <n v="9.5999999999999988E-2"/>
    <n v="1.2040000000000002"/>
    <n v="45"/>
    <n v="1.8640000000000003"/>
    <n v="45"/>
    <s v="Yes"/>
    <n v="0"/>
  </r>
  <r>
    <x v="45"/>
    <x v="45"/>
    <x v="6"/>
    <x v="25"/>
    <x v="35"/>
    <x v="0"/>
    <s v="Planning Stage"/>
    <s v="Most land is private and cost-prohibitive."/>
    <s v="C Grade"/>
    <n v="0"/>
    <n v="0"/>
    <n v="304.07"/>
    <n v="2"/>
    <n v="0.3"/>
    <s v="Medium"/>
    <n v="3.2689841154997206"/>
    <n v="2"/>
    <n v="0.5"/>
    <s v="Medium"/>
    <n v="3.4614726872101818"/>
    <n v="2"/>
    <n v="0.2"/>
    <n v="0.2"/>
    <s v="Priority 3"/>
    <n v="0"/>
    <n v="0"/>
    <s v="Pre-Feasibility/Feasibility"/>
    <n v="4"/>
    <n v="2.4"/>
    <n v="0.36"/>
    <n v="1"/>
    <n v="0"/>
    <n v="0"/>
    <n v="1"/>
    <n v="0"/>
    <n v="0"/>
    <n v="0"/>
    <n v="0"/>
    <n v="0.56000000000000005"/>
    <n v="62"/>
    <n v="30"/>
    <n v="2"/>
    <n v="0.3"/>
    <s v="No"/>
    <n v="0"/>
    <n v="0"/>
    <n v="206"/>
    <n v="2"/>
    <n v="0.6"/>
    <n v="53"/>
    <n v="4"/>
    <n v="0.4"/>
    <s v="Not connected "/>
    <n v="0"/>
    <n v="0"/>
    <n v="171"/>
    <n v="2"/>
    <n v="0.4"/>
    <n v="0.16999999999999998"/>
    <n v="18"/>
    <n v="4"/>
    <n v="1.6"/>
    <n v="10"/>
    <n v="4"/>
    <n v="0.8"/>
    <n v="2"/>
    <n v="4"/>
    <n v="1.6"/>
    <n v="0.48"/>
    <s v="No"/>
    <n v="0"/>
    <n v="0"/>
    <s v="Yes"/>
    <n v="4"/>
    <n v="0.8"/>
    <n v="33"/>
    <n v="0"/>
    <n v="0"/>
    <s v="No"/>
    <n v="0"/>
    <n v="0"/>
    <n v="8.0000000000000016E-2"/>
    <s v="Yes"/>
    <n v="4"/>
    <n v="4"/>
    <s v="Yes"/>
    <n v="4"/>
    <n v="0"/>
    <n v="0.16"/>
    <n v="218825"/>
    <n v="4"/>
    <n v="1.6"/>
    <n v="10"/>
    <n v="4"/>
    <n v="0.8"/>
    <n v="15"/>
    <n v="2"/>
    <n v="0.2"/>
    <n v="56"/>
    <n v="4"/>
    <n v="0.6"/>
    <n v="16"/>
    <n v="4"/>
    <n v="0.6"/>
    <n v="0.30400000000000005"/>
    <s v="No"/>
    <n v="0"/>
    <n v="0"/>
    <s v="Very High &amp; High"/>
    <n v="0"/>
    <n v="0"/>
    <s v="Very Low"/>
    <n v="4"/>
    <n v="0.4"/>
    <s v="High &amp; Very High"/>
    <n v="0"/>
    <n v="0"/>
    <s v="High &amp; Very High"/>
    <n v="0"/>
    <n v="0"/>
    <s v="Very High &amp; High"/>
    <n v="0"/>
    <n v="0"/>
    <n v="2.4E-2"/>
    <n v="1.218"/>
    <n v="44"/>
    <n v="1.778"/>
    <n v="46"/>
    <s v="Yes"/>
    <n v="0"/>
  </r>
  <r>
    <x v="46"/>
    <x v="46"/>
    <x v="4"/>
    <x v="26"/>
    <x v="36"/>
    <x v="0"/>
    <s v="Planning Stage"/>
    <s v="Land not available"/>
    <s v="B Grade"/>
    <n v="2"/>
    <n v="1"/>
    <n v="403.63"/>
    <n v="2"/>
    <n v="0.3"/>
    <s v="Not Available"/>
    <m/>
    <n v="0"/>
    <n v="0"/>
    <s v="Not Available"/>
    <m/>
    <n v="0"/>
    <n v="0"/>
    <n v="0.26"/>
    <s v="Priority 3"/>
    <n v="0"/>
    <n v="0"/>
    <s v="In-principal Approval/No Report"/>
    <n v="0"/>
    <n v="0"/>
    <n v="0"/>
    <n v="1"/>
    <n v="0"/>
    <n v="0"/>
    <n v="1"/>
    <n v="0"/>
    <n v="0"/>
    <n v="0"/>
    <n v="0"/>
    <n v="0.26"/>
    <n v="86"/>
    <n v="5"/>
    <n v="4"/>
    <n v="0.6"/>
    <s v="Yes"/>
    <n v="4"/>
    <n v="0.6"/>
    <n v="402"/>
    <n v="0"/>
    <n v="0"/>
    <n v="48"/>
    <n v="4"/>
    <n v="0.4"/>
    <n v="18"/>
    <n v="4"/>
    <n v="0.4"/>
    <n v="34"/>
    <n v="4"/>
    <n v="0.8"/>
    <n v="0.27999999999999997"/>
    <n v="17"/>
    <n v="4"/>
    <n v="1.6"/>
    <n v="91.1"/>
    <n v="2"/>
    <n v="0.4"/>
    <n v="5"/>
    <n v="4"/>
    <n v="1.6"/>
    <n v="0.432"/>
    <s v="No"/>
    <n v="0"/>
    <n v="0"/>
    <s v="Yes"/>
    <n v="4"/>
    <n v="0.8"/>
    <n v="65"/>
    <n v="2"/>
    <n v="0.4"/>
    <s v="No"/>
    <n v="0"/>
    <n v="0"/>
    <n v="0.12000000000000002"/>
    <s v="Yes"/>
    <n v="4"/>
    <n v="4"/>
    <s v="Yes"/>
    <n v="4"/>
    <n v="0"/>
    <n v="0.16"/>
    <n v="196178"/>
    <n v="2"/>
    <n v="0.8"/>
    <n v="5"/>
    <n v="4"/>
    <n v="0.8"/>
    <n v="14"/>
    <n v="2"/>
    <n v="0.2"/>
    <n v="40"/>
    <n v="4"/>
    <n v="0.6"/>
    <n v="5"/>
    <n v="4"/>
    <n v="0.6"/>
    <n v="0.24"/>
    <s v="No"/>
    <n v="0"/>
    <n v="0"/>
    <s v="Moderate &amp; Low"/>
    <n v="2"/>
    <n v="0.6"/>
    <s v="Very High &amp; High"/>
    <n v="0"/>
    <n v="0"/>
    <s v="Very Low"/>
    <n v="4"/>
    <n v="0.4"/>
    <s v="Moderate &amp; Low"/>
    <n v="2"/>
    <n v="0.2"/>
    <s v="Very Low"/>
    <n v="4"/>
    <n v="0.4"/>
    <n v="9.6000000000000002E-2"/>
    <n v="1.3280000000000001"/>
    <n v="39"/>
    <n v="1.5880000000000001"/>
    <n v="47"/>
    <s v="Yes"/>
    <n v="2"/>
  </r>
  <r>
    <x v="47"/>
    <x v="47"/>
    <x v="2"/>
    <x v="8"/>
    <x v="13"/>
    <x v="1"/>
    <s v="Under Development"/>
    <s v="Negotiation ongoing"/>
    <s v="A Grade"/>
    <n v="4"/>
    <n v="2"/>
    <n v="110.15"/>
    <n v="2"/>
    <n v="0.3"/>
    <s v="Not Available"/>
    <m/>
    <n v="0"/>
    <n v="0"/>
    <s v="Not Available"/>
    <m/>
    <n v="0"/>
    <n v="0"/>
    <n v="0.45999999999999996"/>
    <s v="Priority 1"/>
    <n v="4"/>
    <n v="1.6"/>
    <s v="Pre-Feasibility/Feasibility"/>
    <n v="4"/>
    <n v="2.4"/>
    <n v="0.6"/>
    <n v="0"/>
    <n v="0"/>
    <n v="0"/>
    <n v="1"/>
    <n v="1"/>
    <n v="0"/>
    <n v="0"/>
    <n v="0"/>
    <n v="1.06"/>
    <n v="19"/>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Low"/>
    <n v="4"/>
    <n v="1.2"/>
    <s v="Very Low"/>
    <n v="4"/>
    <n v="0.4"/>
    <s v="Moderate &amp; Low"/>
    <n v="2"/>
    <n v="0.2"/>
    <s v="Moderate &amp; Low"/>
    <n v="2"/>
    <n v="0.2"/>
    <s v="Moderate &amp; Low"/>
    <n v="2"/>
    <n v="0.2"/>
    <n v="0.13200000000000001"/>
    <n v="0.13200000000000001"/>
    <n v="52"/>
    <n v="1.1920000000000002"/>
    <n v="48"/>
    <s v="No"/>
    <n v="23"/>
  </r>
  <r>
    <x v="48"/>
    <x v="48"/>
    <x v="1"/>
    <x v="24"/>
    <x v="37"/>
    <x v="0"/>
    <s v="Pre-Planning Stage"/>
    <s v="Land acquisition ongoing"/>
    <s v="A Grade"/>
    <n v="4"/>
    <n v="2"/>
    <n v="686"/>
    <n v="4"/>
    <n v="0.6"/>
    <s v="Not Available"/>
    <m/>
    <n v="0"/>
    <n v="0"/>
    <s v="Not Available"/>
    <m/>
    <n v="0"/>
    <n v="0"/>
    <n v="0.52"/>
    <s v="Priority 1"/>
    <n v="4"/>
    <n v="1.6"/>
    <s v="Site Visit/Assessment"/>
    <n v="2"/>
    <n v="1.2"/>
    <n v="0.42"/>
    <n v="0"/>
    <n v="0"/>
    <n v="0"/>
    <n v="0"/>
    <n v="0"/>
    <n v="0"/>
    <n v="0"/>
    <n v="0"/>
    <n v="0.94"/>
    <n v="23"/>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Very Low"/>
    <n v="4"/>
    <n v="0.4"/>
    <s v="Moderate &amp; Low"/>
    <n v="2"/>
    <n v="0.2"/>
    <s v="Moderate &amp; Low"/>
    <n v="2"/>
    <n v="0.2"/>
    <s v="Moderate &amp; Low"/>
    <n v="2"/>
    <n v="0.2"/>
    <n v="9.5999999999999988E-2"/>
    <n v="9.5999999999999988E-2"/>
    <n v="73"/>
    <n v="1.036"/>
    <n v="49"/>
    <s v="No"/>
    <n v="23"/>
  </r>
  <r>
    <x v="49"/>
    <x v="49"/>
    <x v="0"/>
    <x v="6"/>
    <x v="38"/>
    <x v="0"/>
    <s v="Pre-Planning Stage"/>
    <s v="Proposed Agro Photo Voltaic Zone"/>
    <s v="A Grade"/>
    <n v="4"/>
    <n v="2"/>
    <n v="8005.01"/>
    <n v="4"/>
    <n v="0.6"/>
    <s v="Not Available"/>
    <m/>
    <n v="0"/>
    <n v="0"/>
    <s v="Not Available"/>
    <m/>
    <n v="0"/>
    <n v="0"/>
    <n v="0.52"/>
    <s v="Priority 1"/>
    <n v="4"/>
    <n v="1.6"/>
    <s v="Site Visit/Assessment"/>
    <n v="2"/>
    <n v="1.2"/>
    <n v="0.42"/>
    <n v="0"/>
    <n v="0"/>
    <n v="0"/>
    <n v="0"/>
    <n v="0"/>
    <n v="0"/>
    <n v="0"/>
    <n v="0"/>
    <n v="0.94"/>
    <n v="23"/>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High &amp; High"/>
    <n v="0"/>
    <n v="0"/>
    <s v="Very High &amp; High"/>
    <n v="0"/>
    <n v="0"/>
    <s v="Moderate &amp; Low"/>
    <n v="2"/>
    <n v="0.2"/>
    <s v="High &amp; Very High"/>
    <n v="0"/>
    <n v="0"/>
    <s v="Moderate &amp; Low"/>
    <n v="2"/>
    <n v="0.2"/>
    <n v="2.4E-2"/>
    <n v="2.4E-2"/>
    <n v="100"/>
    <n v="0.96399999999999997"/>
    <n v="50"/>
    <s v="No"/>
    <n v="23"/>
  </r>
  <r>
    <x v="50"/>
    <x v="50"/>
    <x v="1"/>
    <x v="3"/>
    <x v="39"/>
    <x v="2"/>
    <s v="Under Development"/>
    <s v="Licensing process ongoing"/>
    <s v="B Grade"/>
    <n v="2"/>
    <n v="1"/>
    <n v="84.95"/>
    <n v="0"/>
    <n v="0"/>
    <s v="Not Available"/>
    <m/>
    <n v="0"/>
    <n v="0"/>
    <s v="Not Available"/>
    <m/>
    <n v="0"/>
    <n v="0"/>
    <n v="0.2"/>
    <s v="N/A"/>
    <n v="4"/>
    <n v="1.6"/>
    <s v="In-principal Approval/No Report"/>
    <n v="0"/>
    <n v="0"/>
    <n v="0.24"/>
    <n v="15"/>
    <n v="4"/>
    <n v="2"/>
    <n v="15"/>
    <n v="0"/>
    <n v="0"/>
    <n v="0"/>
    <n v="0.3"/>
    <n v="0.74"/>
    <n v="44"/>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Very Low"/>
    <n v="4"/>
    <n v="0.4"/>
    <s v="Moderate &amp; Low"/>
    <n v="2"/>
    <n v="0.2"/>
    <s v="Very Low"/>
    <n v="4"/>
    <n v="0.4"/>
    <n v="0.10800000000000001"/>
    <n v="0.10800000000000001"/>
    <n v="61"/>
    <n v="0.84799999999999998"/>
    <n v="51"/>
    <s v="No"/>
    <n v="23"/>
  </r>
  <r>
    <x v="51"/>
    <x v="51"/>
    <x v="1"/>
    <x v="3"/>
    <x v="7"/>
    <x v="2"/>
    <s v="Under Development"/>
    <s v="Land not available"/>
    <s v="B Grade"/>
    <n v="2"/>
    <n v="1"/>
    <n v="56.082000000000001"/>
    <n v="0"/>
    <n v="0"/>
    <s v="Not Available"/>
    <m/>
    <n v="0"/>
    <n v="0"/>
    <s v="Not Available"/>
    <m/>
    <n v="0"/>
    <n v="0"/>
    <n v="0.2"/>
    <s v="N/A"/>
    <n v="4"/>
    <n v="1.6"/>
    <s v="In-principal Approval/No Report"/>
    <n v="0"/>
    <n v="0"/>
    <n v="0.24"/>
    <n v="15"/>
    <n v="4"/>
    <n v="2"/>
    <n v="15"/>
    <n v="0"/>
    <n v="0"/>
    <n v="0"/>
    <n v="0.3"/>
    <n v="0.74"/>
    <n v="44"/>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Very Low"/>
    <n v="4"/>
    <n v="0.4"/>
    <s v="Moderate &amp; Low"/>
    <n v="2"/>
    <n v="0.2"/>
    <s v="Very Low"/>
    <n v="4"/>
    <n v="0.4"/>
    <n v="0.10800000000000001"/>
    <n v="0.10800000000000001"/>
    <n v="61"/>
    <n v="0.84799999999999998"/>
    <n v="51"/>
    <s v="No"/>
    <n v="23"/>
  </r>
  <r>
    <x v="52"/>
    <x v="52"/>
    <x v="5"/>
    <x v="27"/>
    <x v="40"/>
    <x v="2"/>
    <s v="Under Development"/>
    <s v="Under Construction"/>
    <s v="A Grade"/>
    <n v="4"/>
    <n v="2"/>
    <n v="1035.93"/>
    <n v="4"/>
    <n v="0.6"/>
    <s v="Not Available"/>
    <m/>
    <n v="0"/>
    <n v="0"/>
    <s v="Not Available"/>
    <m/>
    <n v="0"/>
    <n v="0"/>
    <n v="0.52"/>
    <s v="N/A"/>
    <n v="4"/>
    <n v="1.6"/>
    <s v="In-principal Approval/No Report"/>
    <n v="0"/>
    <n v="0"/>
    <n v="0.24"/>
    <n v="2"/>
    <n v="0"/>
    <n v="0"/>
    <n v="2"/>
    <n v="0"/>
    <n v="0"/>
    <n v="0"/>
    <n v="0"/>
    <n v="0.76"/>
    <n v="42"/>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High &amp; High"/>
    <n v="0"/>
    <n v="0"/>
    <s v="Very High &amp; High"/>
    <n v="0"/>
    <n v="0"/>
    <s v="Very Low"/>
    <n v="4"/>
    <n v="0.4"/>
    <s v="Moderate &amp; Low"/>
    <n v="2"/>
    <n v="0.2"/>
    <s v="Very Low"/>
    <n v="4"/>
    <n v="0.4"/>
    <n v="0.06"/>
    <n v="0.06"/>
    <n v="86"/>
    <n v="0.82000000000000006"/>
    <n v="53"/>
    <s v="No"/>
    <n v="23"/>
  </r>
  <r>
    <x v="53"/>
    <x v="53"/>
    <x v="1"/>
    <x v="2"/>
    <x v="2"/>
    <x v="0"/>
    <s v="In-Principle Approval"/>
    <s v="Under Construction"/>
    <s v="A Grade"/>
    <n v="4"/>
    <n v="2"/>
    <n v="413"/>
    <n v="2"/>
    <n v="0.3"/>
    <s v="Not Available"/>
    <m/>
    <n v="0"/>
    <n v="0"/>
    <s v="Not Available"/>
    <m/>
    <n v="0"/>
    <n v="0"/>
    <n v="0.45999999999999996"/>
    <s v="Priority 3"/>
    <n v="0"/>
    <n v="0"/>
    <s v="In-principal Approval/No Report"/>
    <n v="0"/>
    <n v="0"/>
    <n v="0"/>
    <n v="18"/>
    <n v="4"/>
    <n v="2"/>
    <n v="18"/>
    <n v="0"/>
    <n v="0"/>
    <n v="0"/>
    <n v="0.3"/>
    <n v="0.76"/>
    <n v="42"/>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High &amp; High"/>
    <n v="0"/>
    <n v="0"/>
    <s v="Very High &amp; High"/>
    <n v="0"/>
    <n v="0"/>
    <s v="Very Low"/>
    <n v="4"/>
    <n v="0.4"/>
    <s v="High &amp; Very High"/>
    <n v="0"/>
    <n v="0"/>
    <s v="Very Low"/>
    <n v="4"/>
    <n v="0.4"/>
    <n v="4.8000000000000001E-2"/>
    <n v="4.8000000000000001E-2"/>
    <n v="95"/>
    <n v="0.80800000000000005"/>
    <n v="54"/>
    <s v="No"/>
    <n v="23"/>
  </r>
  <r>
    <x v="54"/>
    <x v="54"/>
    <x v="2"/>
    <x v="28"/>
    <x v="41"/>
    <x v="0"/>
    <s v="Pre-Planning Stage"/>
    <s v="Proposed land under litigation"/>
    <s v="C Grade"/>
    <n v="0"/>
    <n v="0"/>
    <n v="208.63"/>
    <n v="2"/>
    <n v="0.3"/>
    <s v="Not Available"/>
    <m/>
    <n v="0"/>
    <n v="0"/>
    <s v="Not Available"/>
    <m/>
    <n v="0"/>
    <n v="0"/>
    <n v="0.06"/>
    <s v="Priority 2"/>
    <n v="2"/>
    <n v="0.8"/>
    <s v="Site Visit/Assessment"/>
    <n v="2"/>
    <n v="1.2"/>
    <n v="0.3"/>
    <n v="10"/>
    <n v="2"/>
    <n v="1"/>
    <n v="15"/>
    <n v="5"/>
    <n v="2"/>
    <n v="1"/>
    <n v="0.3"/>
    <n v="0.65999999999999992"/>
    <n v="54"/>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Low"/>
    <n v="4"/>
    <n v="1.2"/>
    <s v="Very Low"/>
    <n v="4"/>
    <n v="0.4"/>
    <s v="Moderate &amp; Low"/>
    <n v="2"/>
    <n v="0.2"/>
    <s v="Moderate &amp; Low"/>
    <n v="2"/>
    <n v="0.2"/>
    <s v="Moderate &amp; Low"/>
    <n v="2"/>
    <n v="0.2"/>
    <n v="0.13200000000000001"/>
    <n v="0.13200000000000001"/>
    <n v="52"/>
    <n v="0.79199999999999993"/>
    <n v="55"/>
    <s v="No"/>
    <n v="23"/>
  </r>
  <r>
    <x v="55"/>
    <x v="55"/>
    <x v="3"/>
    <x v="29"/>
    <x v="42"/>
    <x v="0"/>
    <s v="In-Principle Approval"/>
    <s v="Planning Stage."/>
    <s v="A Grade"/>
    <n v="4"/>
    <n v="2"/>
    <n v="511.83"/>
    <n v="4"/>
    <n v="0.6"/>
    <s v="Not Available"/>
    <m/>
    <n v="0"/>
    <n v="0"/>
    <s v="Not Available"/>
    <m/>
    <n v="0"/>
    <n v="0"/>
    <n v="0.52"/>
    <s v="Priority 3"/>
    <n v="0"/>
    <n v="0"/>
    <s v="In-principal Approval/No Report"/>
    <n v="0"/>
    <n v="0"/>
    <n v="0"/>
    <n v="5"/>
    <n v="2"/>
    <n v="1"/>
    <n v="5"/>
    <n v="0"/>
    <n v="0"/>
    <n v="0"/>
    <n v="0.15"/>
    <n v="0.67"/>
    <n v="50"/>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Very Low"/>
    <n v="4"/>
    <n v="0.4"/>
    <s v="Moderate &amp; Low"/>
    <n v="2"/>
    <n v="0.2"/>
    <s v="Very Low"/>
    <n v="4"/>
    <n v="0.4"/>
    <n v="0.10800000000000001"/>
    <n v="0.10800000000000001"/>
    <n v="61"/>
    <n v="0.77800000000000002"/>
    <n v="56"/>
    <s v="No"/>
    <n v="23"/>
  </r>
  <r>
    <x v="56"/>
    <x v="56"/>
    <x v="0"/>
    <x v="30"/>
    <x v="43"/>
    <x v="0"/>
    <s v="Pre-Planning Stage"/>
    <s v="Planning Stage"/>
    <s v="A Grade"/>
    <n v="4"/>
    <n v="2"/>
    <n v="4835.91"/>
    <n v="4"/>
    <n v="0.6"/>
    <s v="Not Available"/>
    <m/>
    <n v="0"/>
    <n v="0"/>
    <s v="Not Available"/>
    <m/>
    <n v="0"/>
    <n v="0"/>
    <n v="0.52"/>
    <s v="Priority 3"/>
    <n v="0"/>
    <n v="0"/>
    <s v="Site Visit/Assessment"/>
    <n v="2"/>
    <n v="1.2"/>
    <n v="0.18"/>
    <n v="0"/>
    <n v="0"/>
    <n v="0"/>
    <n v="1"/>
    <n v="1"/>
    <n v="0"/>
    <n v="0"/>
    <n v="0"/>
    <n v="0.7"/>
    <n v="49"/>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High &amp; Very High"/>
    <n v="0"/>
    <n v="0"/>
    <s v="High &amp; Very High"/>
    <n v="0"/>
    <n v="0"/>
    <s v="Very High &amp; High"/>
    <n v="0"/>
    <n v="0"/>
    <n v="4.8000000000000001E-2"/>
    <n v="4.8000000000000001E-2"/>
    <n v="95"/>
    <n v="0.748"/>
    <n v="57"/>
    <s v="No"/>
    <n v="23"/>
  </r>
  <r>
    <x v="57"/>
    <x v="57"/>
    <x v="0"/>
    <x v="1"/>
    <x v="8"/>
    <x v="0"/>
    <s v="In-Principle Approval"/>
    <s v="No information on land availability"/>
    <s v="A Grade"/>
    <n v="4"/>
    <n v="2"/>
    <n v="8784.77"/>
    <n v="4"/>
    <n v="0.6"/>
    <s v="Not Available"/>
    <m/>
    <n v="0"/>
    <n v="0"/>
    <s v="Not Available"/>
    <m/>
    <n v="0"/>
    <n v="0"/>
    <n v="0.52"/>
    <s v="Priority 3"/>
    <n v="0"/>
    <n v="0"/>
    <s v="In-principal Approval/No Report"/>
    <n v="0"/>
    <n v="0"/>
    <n v="0"/>
    <n v="1"/>
    <n v="0"/>
    <n v="0"/>
    <n v="4"/>
    <n v="3"/>
    <n v="2"/>
    <n v="1"/>
    <n v="0.15"/>
    <n v="0.67"/>
    <n v="50"/>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Moderate &amp; Low"/>
    <n v="2"/>
    <n v="0.2"/>
    <s v="High &amp; Very High"/>
    <n v="0"/>
    <n v="0"/>
    <s v="Moderate &amp; Low"/>
    <n v="2"/>
    <n v="0.2"/>
    <n v="7.1999999999999995E-2"/>
    <n v="7.1999999999999995E-2"/>
    <n v="81"/>
    <n v="0.74199999999999999"/>
    <n v="58"/>
    <s v="No"/>
    <n v="23"/>
  </r>
  <r>
    <x v="58"/>
    <x v="58"/>
    <x v="0"/>
    <x v="1"/>
    <x v="8"/>
    <x v="0"/>
    <s v="In-Principle Approval"/>
    <s v="No land available"/>
    <s v="A Grade"/>
    <n v="4"/>
    <n v="2"/>
    <n v="1000"/>
    <n v="4"/>
    <n v="0.6"/>
    <s v="Not Available"/>
    <m/>
    <n v="0"/>
    <n v="0"/>
    <s v="Not Available"/>
    <m/>
    <n v="0"/>
    <n v="0"/>
    <n v="0.52"/>
    <s v="Priority 3"/>
    <n v="0"/>
    <n v="0"/>
    <s v="In-principal Approval/No Report"/>
    <n v="0"/>
    <n v="0"/>
    <n v="0"/>
    <n v="1"/>
    <n v="0"/>
    <n v="0"/>
    <n v="4"/>
    <n v="3"/>
    <n v="2"/>
    <n v="1"/>
    <n v="0.15"/>
    <n v="0.67"/>
    <n v="50"/>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Moderate &amp; Low"/>
    <n v="2"/>
    <n v="0.2"/>
    <s v="High &amp; Very High"/>
    <n v="0"/>
    <n v="0"/>
    <s v="Moderate &amp; Low"/>
    <n v="2"/>
    <n v="0.2"/>
    <n v="7.1999999999999995E-2"/>
    <n v="7.1999999999999995E-2"/>
    <n v="81"/>
    <n v="0.74199999999999999"/>
    <n v="58"/>
    <s v="No"/>
    <n v="23"/>
  </r>
  <r>
    <x v="59"/>
    <x v="59"/>
    <x v="1"/>
    <x v="17"/>
    <x v="27"/>
    <x v="2"/>
    <s v="In-Principle Approval"/>
    <s v="Licensing process ongoing"/>
    <s v="B Grade"/>
    <n v="2"/>
    <n v="1"/>
    <n v="110"/>
    <n v="2"/>
    <n v="0.3"/>
    <s v="Not Available"/>
    <m/>
    <n v="0"/>
    <n v="0"/>
    <s v="Not Available"/>
    <m/>
    <n v="0"/>
    <n v="0"/>
    <n v="0.26"/>
    <s v="N/A"/>
    <n v="4"/>
    <n v="1.6"/>
    <s v="In-principal Approval/No Report"/>
    <n v="0"/>
    <n v="0"/>
    <n v="0.24"/>
    <n v="5"/>
    <n v="2"/>
    <n v="1"/>
    <n v="6"/>
    <n v="1"/>
    <n v="0"/>
    <n v="0"/>
    <n v="0.15"/>
    <n v="0.65"/>
    <n v="55"/>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High &amp; High"/>
    <n v="0"/>
    <n v="0"/>
    <s v="Very High &amp; High"/>
    <n v="0"/>
    <n v="0"/>
    <s v="Very Low"/>
    <n v="4"/>
    <n v="0.4"/>
    <s v="Moderate &amp; Low"/>
    <n v="2"/>
    <n v="0.2"/>
    <s v="Very Low"/>
    <n v="4"/>
    <n v="0.4"/>
    <n v="0.06"/>
    <n v="0.06"/>
    <n v="86"/>
    <n v="0.71"/>
    <n v="60"/>
    <s v="No"/>
    <n v="23"/>
  </r>
  <r>
    <x v="60"/>
    <x v="60"/>
    <x v="1"/>
    <x v="17"/>
    <x v="27"/>
    <x v="2"/>
    <s v="In-Principle Approval"/>
    <s v="Licensing ongoing"/>
    <s v="B Grade"/>
    <n v="2"/>
    <n v="1"/>
    <n v="140"/>
    <n v="2"/>
    <n v="0.3"/>
    <s v="Not Available"/>
    <m/>
    <n v="0"/>
    <n v="0"/>
    <s v="Not Available"/>
    <m/>
    <n v="0"/>
    <n v="0"/>
    <n v="0.26"/>
    <s v="N/A"/>
    <n v="4"/>
    <n v="1.6"/>
    <s v="In-principal Approval/No Report"/>
    <n v="0"/>
    <n v="0"/>
    <n v="0.24"/>
    <n v="5"/>
    <n v="2"/>
    <n v="1"/>
    <n v="6"/>
    <n v="1"/>
    <n v="0"/>
    <n v="0"/>
    <n v="0.15"/>
    <n v="0.65"/>
    <n v="55"/>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High &amp; High"/>
    <n v="0"/>
    <n v="0"/>
    <s v="Very High &amp; High"/>
    <n v="0"/>
    <n v="0"/>
    <s v="Very Low"/>
    <n v="4"/>
    <n v="0.4"/>
    <s v="Moderate &amp; Low"/>
    <n v="2"/>
    <n v="0.2"/>
    <s v="Very Low"/>
    <n v="4"/>
    <n v="0.4"/>
    <n v="0.06"/>
    <n v="0.06"/>
    <n v="86"/>
    <n v="0.71"/>
    <n v="60"/>
    <s v="No"/>
    <n v="23"/>
  </r>
  <r>
    <x v="61"/>
    <x v="61"/>
    <x v="4"/>
    <x v="14"/>
    <x v="22"/>
    <x v="2"/>
    <s v="Under Development"/>
    <s v="Land not available"/>
    <s v="C Grade"/>
    <n v="0"/>
    <n v="0"/>
    <n v="100"/>
    <n v="2"/>
    <n v="0.3"/>
    <s v="Not Available"/>
    <m/>
    <n v="0"/>
    <n v="0"/>
    <s v="Not Available"/>
    <m/>
    <n v="0"/>
    <n v="0"/>
    <n v="0.06"/>
    <s v="N/A"/>
    <n v="4"/>
    <n v="1.6"/>
    <s v="In-principal Approval/No Report"/>
    <n v="0"/>
    <n v="0"/>
    <n v="0.24"/>
    <n v="5"/>
    <n v="2"/>
    <n v="1"/>
    <n v="8"/>
    <n v="3"/>
    <n v="2"/>
    <n v="1"/>
    <n v="0.3"/>
    <n v="0.6"/>
    <n v="59"/>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Very High &amp; High"/>
    <n v="0"/>
    <n v="0"/>
    <m/>
    <n v="0"/>
    <n v="0"/>
    <s v="Moderate &amp; Low"/>
    <n v="2"/>
    <n v="0.2"/>
    <s v="Very Low"/>
    <n v="4"/>
    <n v="0.4"/>
    <n v="7.2000000000000008E-2"/>
    <n v="7.2000000000000008E-2"/>
    <n v="75"/>
    <n v="0.67199999999999993"/>
    <n v="62"/>
    <s v="No"/>
    <n v="24"/>
  </r>
  <r>
    <x v="62"/>
    <x v="62"/>
    <x v="6"/>
    <x v="18"/>
    <x v="44"/>
    <x v="0"/>
    <s v="Pre-Planning Stage"/>
    <s v="River Commission Objections. Hilsa Breeding Area."/>
    <s v="C Grade"/>
    <n v="0"/>
    <n v="0"/>
    <n v="2255.96"/>
    <n v="4"/>
    <n v="0.6"/>
    <s v="Not Available"/>
    <m/>
    <n v="0"/>
    <n v="0"/>
    <s v="Not Available"/>
    <m/>
    <n v="0"/>
    <n v="0"/>
    <n v="0.12"/>
    <s v="Priority 3"/>
    <n v="0"/>
    <n v="0"/>
    <s v="Site Visit/Assessment"/>
    <n v="2"/>
    <n v="1.2"/>
    <n v="0.18"/>
    <n v="4"/>
    <n v="0"/>
    <n v="0"/>
    <n v="11"/>
    <n v="7"/>
    <n v="4"/>
    <n v="2"/>
    <n v="0.3"/>
    <n v="0.6"/>
    <n v="59"/>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High &amp; Very High"/>
    <n v="0"/>
    <n v="0"/>
    <s v="High &amp; Very High"/>
    <n v="0"/>
    <n v="0"/>
    <s v="Moderate &amp; Low"/>
    <n v="2"/>
    <n v="0.2"/>
    <n v="0.06"/>
    <n v="0.06"/>
    <n v="86"/>
    <n v="0.65999999999999992"/>
    <n v="63"/>
    <s v="No"/>
    <n v="23"/>
  </r>
  <r>
    <x v="63"/>
    <x v="63"/>
    <x v="1"/>
    <x v="2"/>
    <x v="11"/>
    <x v="0"/>
    <s v="In-Principle Approval"/>
    <s v="Land not available"/>
    <s v="C Grade"/>
    <n v="0"/>
    <n v="0"/>
    <n v="1000"/>
    <n v="4"/>
    <n v="0.6"/>
    <s v="Not Available"/>
    <m/>
    <n v="0"/>
    <n v="0"/>
    <s v="Not Available"/>
    <m/>
    <n v="0"/>
    <n v="0"/>
    <n v="0.12"/>
    <s v="Priority 3"/>
    <n v="0"/>
    <n v="0"/>
    <s v="Site Visit/Assessment"/>
    <n v="2"/>
    <n v="1.2"/>
    <n v="0.18"/>
    <n v="18"/>
    <n v="4"/>
    <n v="2"/>
    <n v="18"/>
    <n v="0"/>
    <n v="0"/>
    <n v="0"/>
    <n v="0.3"/>
    <n v="0.6"/>
    <n v="59"/>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High &amp; High"/>
    <n v="0"/>
    <n v="0"/>
    <s v="Very High &amp; High"/>
    <n v="0"/>
    <n v="0"/>
    <s v="Very Low"/>
    <n v="4"/>
    <n v="0.4"/>
    <s v="High &amp; Very High"/>
    <n v="0"/>
    <n v="0"/>
    <s v="Very Low"/>
    <n v="4"/>
    <n v="0.4"/>
    <n v="4.8000000000000001E-2"/>
    <n v="4.8000000000000001E-2"/>
    <n v="95"/>
    <n v="0.64800000000000002"/>
    <n v="64"/>
    <s v="No"/>
    <n v="23"/>
  </r>
  <r>
    <x v="64"/>
    <x v="64"/>
    <x v="1"/>
    <x v="3"/>
    <x v="45"/>
    <x v="2"/>
    <s v="Under Development"/>
    <s v="Not under BEZA jurisdiction."/>
    <s v="C Grade"/>
    <n v="0"/>
    <n v="0"/>
    <n v="2.4300000000000002"/>
    <n v="0"/>
    <n v="0"/>
    <s v="Not Available"/>
    <m/>
    <n v="0"/>
    <n v="0"/>
    <s v="Not Available"/>
    <m/>
    <n v="0"/>
    <n v="0"/>
    <n v="0"/>
    <s v="N/A"/>
    <n v="4"/>
    <n v="1.6"/>
    <s v="In-principal Approval/No Report"/>
    <n v="0"/>
    <n v="0"/>
    <n v="0.24"/>
    <n v="15"/>
    <n v="4"/>
    <n v="2"/>
    <n v="15"/>
    <n v="0"/>
    <n v="0"/>
    <n v="0"/>
    <n v="0.3"/>
    <n v="0.54"/>
    <n v="64"/>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Very Low"/>
    <n v="4"/>
    <n v="0.4"/>
    <s v="Moderate &amp; Low"/>
    <n v="2"/>
    <n v="0.2"/>
    <s v="Very Low"/>
    <n v="4"/>
    <n v="0.4"/>
    <n v="0.10800000000000001"/>
    <n v="0.10800000000000001"/>
    <n v="61"/>
    <n v="0.64800000000000002"/>
    <n v="64"/>
    <s v="No"/>
    <n v="23"/>
  </r>
  <r>
    <x v="65"/>
    <x v="65"/>
    <x v="4"/>
    <x v="14"/>
    <x v="46"/>
    <x v="0"/>
    <s v="Pre-Planning Stage"/>
    <s v="Land under litigation"/>
    <s v="C Grade"/>
    <n v="0"/>
    <n v="0"/>
    <n v="494"/>
    <n v="2"/>
    <n v="0.3"/>
    <s v="Not Available"/>
    <m/>
    <n v="0"/>
    <n v="0"/>
    <s v="Not Available"/>
    <m/>
    <n v="0"/>
    <n v="0"/>
    <n v="0.06"/>
    <s v="Priority 3"/>
    <n v="0"/>
    <n v="0"/>
    <s v="Site Visit/Assessment"/>
    <n v="2"/>
    <n v="1.2"/>
    <n v="0.18"/>
    <n v="5"/>
    <n v="2"/>
    <n v="1"/>
    <n v="8"/>
    <n v="3"/>
    <n v="2"/>
    <n v="1"/>
    <n v="0.3"/>
    <n v="0.54"/>
    <n v="64"/>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Very High &amp; High"/>
    <n v="0"/>
    <n v="0"/>
    <m/>
    <n v="0"/>
    <n v="0"/>
    <s v="Moderate &amp; Low"/>
    <n v="2"/>
    <n v="0.2"/>
    <s v="Very Low"/>
    <n v="4"/>
    <n v="0.4"/>
    <n v="7.2000000000000008E-2"/>
    <n v="7.2000000000000008E-2"/>
    <n v="75"/>
    <n v="0.6120000000000001"/>
    <n v="66"/>
    <s v="No"/>
    <n v="24"/>
  </r>
  <r>
    <x v="66"/>
    <x v="66"/>
    <x v="1"/>
    <x v="31"/>
    <x v="47"/>
    <x v="2"/>
    <s v="Under Development"/>
    <s v="Licensing process ongoing"/>
    <s v="B Grade"/>
    <n v="2"/>
    <n v="1"/>
    <n v="200"/>
    <n v="2"/>
    <n v="0.3"/>
    <s v="Not Available"/>
    <m/>
    <n v="0"/>
    <n v="0"/>
    <s v="Not Available"/>
    <m/>
    <n v="0"/>
    <n v="0"/>
    <n v="0.26"/>
    <s v="N/A"/>
    <n v="4"/>
    <n v="1.6"/>
    <s v="In-principal Approval/No Report"/>
    <n v="0"/>
    <n v="0"/>
    <n v="0.24"/>
    <n v="3"/>
    <n v="0"/>
    <n v="0"/>
    <n v="3"/>
    <n v="0"/>
    <n v="0"/>
    <n v="0"/>
    <n v="0"/>
    <n v="0.5"/>
    <n v="66"/>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Very High &amp; High"/>
    <n v="0"/>
    <n v="0"/>
    <s v="Very Low"/>
    <n v="4"/>
    <n v="0.4"/>
    <s v="Moderate &amp; Low"/>
    <n v="2"/>
    <n v="0.2"/>
    <s v="Very Low"/>
    <n v="4"/>
    <n v="0.4"/>
    <n v="9.6000000000000002E-2"/>
    <n v="9.6000000000000002E-2"/>
    <n v="70"/>
    <n v="0.59599999999999997"/>
    <n v="67"/>
    <s v="No"/>
    <n v="23"/>
  </r>
  <r>
    <x v="67"/>
    <x v="67"/>
    <x v="7"/>
    <x v="32"/>
    <x v="48"/>
    <x v="0"/>
    <s v="In-Principle Approval"/>
    <s v="Land not available"/>
    <s v="B Grade"/>
    <n v="2"/>
    <n v="1"/>
    <n v="211.64"/>
    <n v="2"/>
    <n v="0.3"/>
    <s v="Not Available"/>
    <m/>
    <n v="0"/>
    <n v="0"/>
    <s v="Not Available"/>
    <m/>
    <n v="0"/>
    <n v="0"/>
    <n v="0.26"/>
    <s v="Priority 1"/>
    <n v="4"/>
    <n v="1.6"/>
    <s v="In-principal Approval/No Report"/>
    <n v="0"/>
    <n v="0"/>
    <n v="0.24"/>
    <n v="0"/>
    <n v="0"/>
    <n v="0"/>
    <n v="0"/>
    <n v="0"/>
    <n v="0"/>
    <n v="0"/>
    <n v="0"/>
    <n v="0.5"/>
    <n v="66"/>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High &amp; High"/>
    <n v="0"/>
    <n v="0"/>
    <s v="Very High &amp; High"/>
    <n v="0"/>
    <n v="0"/>
    <s v="Very Low"/>
    <n v="4"/>
    <n v="0.4"/>
    <s v="Very Low"/>
    <n v="4"/>
    <n v="0.4"/>
    <s v="Very Low"/>
    <n v="4"/>
    <n v="0.4"/>
    <n v="7.2000000000000008E-2"/>
    <n v="7.2000000000000008E-2"/>
    <n v="75"/>
    <n v="0.57200000000000006"/>
    <n v="68"/>
    <s v="No"/>
    <n v="23"/>
  </r>
  <r>
    <x v="68"/>
    <x v="68"/>
    <x v="1"/>
    <x v="12"/>
    <x v="49"/>
    <x v="0"/>
    <s v="In-Principle Approval"/>
    <s v="Land is privately owned."/>
    <s v="C Grade"/>
    <n v="0"/>
    <n v="0"/>
    <n v="510"/>
    <n v="4"/>
    <n v="0.6"/>
    <s v="Not Available"/>
    <m/>
    <n v="0"/>
    <n v="0"/>
    <s v="Not Available"/>
    <m/>
    <n v="0"/>
    <n v="0"/>
    <n v="0.12"/>
    <s v="Priority 3"/>
    <n v="0"/>
    <n v="0"/>
    <s v="In-principal Approval/No Report"/>
    <n v="0"/>
    <n v="0"/>
    <n v="0"/>
    <n v="13"/>
    <n v="4"/>
    <n v="2"/>
    <n v="13"/>
    <n v="0"/>
    <n v="0"/>
    <n v="0"/>
    <n v="0.3"/>
    <n v="0.42"/>
    <n v="75"/>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Low"/>
    <n v="4"/>
    <n v="1.2"/>
    <s v="Moderate &amp; Low"/>
    <n v="2"/>
    <n v="0.2"/>
    <s v="Very Low"/>
    <n v="4"/>
    <n v="0.4"/>
    <s v="Moderate &amp; Low"/>
    <n v="2"/>
    <n v="0.2"/>
    <s v="Very Low"/>
    <n v="4"/>
    <n v="0.4"/>
    <n v="0.14399999999999999"/>
    <n v="0.14399999999999999"/>
    <n v="51"/>
    <n v="0.56399999999999995"/>
    <n v="69"/>
    <s v="No"/>
    <n v="23"/>
  </r>
  <r>
    <x v="69"/>
    <x v="69"/>
    <x v="2"/>
    <x v="33"/>
    <x v="50"/>
    <x v="3"/>
    <m/>
    <s v="Feasibility Ongoing"/>
    <s v="B Grade"/>
    <n v="2"/>
    <n v="1"/>
    <m/>
    <n v="0"/>
    <n v="0"/>
    <s v="Not Available"/>
    <m/>
    <n v="0"/>
    <n v="0"/>
    <s v="Not Available"/>
    <m/>
    <n v="0"/>
    <n v="0"/>
    <n v="0.2"/>
    <s v="Priority 1"/>
    <n v="4"/>
    <n v="1.6"/>
    <s v="In-principal Approval/No Report"/>
    <n v="0"/>
    <n v="0"/>
    <n v="0.24"/>
    <n v="0"/>
    <n v="0"/>
    <n v="0"/>
    <n v="1"/>
    <n v="1"/>
    <n v="0"/>
    <n v="0"/>
    <n v="0"/>
    <n v="0.44"/>
    <n v="73"/>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Low"/>
    <n v="4"/>
    <n v="1.2"/>
    <s v="Very Low"/>
    <n v="4"/>
    <n v="0.4"/>
    <s v="Moderate &amp; Low"/>
    <n v="2"/>
    <n v="0.2"/>
    <s v="High &amp; Very High"/>
    <n v="0"/>
    <n v="0"/>
    <s v="Moderate &amp; Low"/>
    <n v="2"/>
    <n v="0.2"/>
    <n v="0.12"/>
    <n v="0.12"/>
    <n v="58"/>
    <n v="0.56000000000000005"/>
    <n v="70"/>
    <s v="No"/>
    <n v="26"/>
  </r>
  <r>
    <x v="70"/>
    <x v="70"/>
    <x v="5"/>
    <x v="23"/>
    <x v="51"/>
    <x v="0"/>
    <s v="In-Principle Approval"/>
    <s v="Land is private and cost prohibitive. Grade C"/>
    <s v="C Grade"/>
    <n v="0"/>
    <n v="0"/>
    <n v="300"/>
    <n v="2"/>
    <n v="0.3"/>
    <s v="Not Available"/>
    <m/>
    <n v="0"/>
    <n v="0"/>
    <s v="Not Available"/>
    <m/>
    <n v="0"/>
    <n v="0"/>
    <n v="0.06"/>
    <s v="N/A"/>
    <n v="4"/>
    <n v="1.6"/>
    <s v="In-principal Approval/No Report"/>
    <n v="0"/>
    <n v="0"/>
    <n v="0.24"/>
    <n v="2"/>
    <n v="0"/>
    <n v="0"/>
    <n v="4"/>
    <n v="2"/>
    <n v="2"/>
    <n v="1"/>
    <n v="0.15"/>
    <n v="0.44999999999999996"/>
    <n v="68"/>
    <m/>
    <n v="0"/>
    <n v="0"/>
    <m/>
    <n v="0"/>
    <n v="0"/>
    <m/>
    <n v="0"/>
    <n v="0"/>
    <m/>
    <n v="0"/>
    <n v="0"/>
    <m/>
    <n v="0"/>
    <n v="0"/>
    <m/>
    <n v="0"/>
    <n v="0"/>
    <n v="0"/>
    <m/>
    <n v="0"/>
    <n v="0"/>
    <m/>
    <n v="0"/>
    <n v="0"/>
    <m/>
    <n v="0"/>
    <n v="0"/>
    <n v="0"/>
    <m/>
    <n v="0"/>
    <n v="0"/>
    <m/>
    <n v="0"/>
    <n v="0"/>
    <m/>
    <n v="0"/>
    <n v="0"/>
    <m/>
    <n v="0"/>
    <n v="0"/>
    <n v="0"/>
    <m/>
    <n v="0"/>
    <n v="0"/>
    <m/>
    <n v="0"/>
    <n v="0"/>
    <n v="0"/>
    <m/>
    <n v="0"/>
    <n v="0"/>
    <m/>
    <n v="0"/>
    <n v="0"/>
    <m/>
    <n v="0"/>
    <n v="0"/>
    <m/>
    <n v="0"/>
    <n v="0"/>
    <m/>
    <n v="0"/>
    <n v="0"/>
    <n v="0"/>
    <s v="No"/>
    <n v="0"/>
    <n v="0"/>
    <s v="Moderate &amp; Low"/>
    <n v="2"/>
    <n v="0.6"/>
    <s v="Moderate &amp; Low"/>
    <n v="2"/>
    <n v="0.2"/>
    <s v="Very Low"/>
    <n v="4"/>
    <n v="0.4"/>
    <s v="Moderate &amp; Low"/>
    <n v="2"/>
    <n v="0.2"/>
    <s v="Very Low"/>
    <n v="4"/>
    <n v="0.4"/>
    <n v="0.10800000000000001"/>
    <n v="0.10800000000000001"/>
    <n v="61"/>
    <n v="0.55799999999999994"/>
    <n v="71"/>
    <s v="No"/>
    <n v="22"/>
  </r>
  <r>
    <x v="71"/>
    <x v="71"/>
    <x v="3"/>
    <x v="29"/>
    <x v="52"/>
    <x v="2"/>
    <s v="In-Principle Approval"/>
    <s v="Land not available"/>
    <s v="C Grade"/>
    <n v="0"/>
    <n v="0"/>
    <n v="150"/>
    <n v="2"/>
    <n v="0.3"/>
    <s v="Not Available"/>
    <m/>
    <n v="0"/>
    <n v="0"/>
    <s v="Not Available"/>
    <m/>
    <n v="0"/>
    <n v="0"/>
    <n v="0.06"/>
    <s v="N/A"/>
    <n v="4"/>
    <n v="1.6"/>
    <s v="In-principal Approval/No Report"/>
    <n v="0"/>
    <n v="0"/>
    <n v="0.24"/>
    <n v="5"/>
    <n v="2"/>
    <n v="1"/>
    <n v="5"/>
    <n v="0"/>
    <n v="0"/>
    <n v="0"/>
    <n v="0.15"/>
    <n v="0.44999999999999996"/>
    <n v="68"/>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Very Low"/>
    <n v="4"/>
    <n v="0.4"/>
    <s v="Moderate &amp; Low"/>
    <n v="2"/>
    <n v="0.2"/>
    <s v="Very Low"/>
    <n v="4"/>
    <n v="0.4"/>
    <n v="0.10800000000000001"/>
    <n v="0.10800000000000001"/>
    <n v="61"/>
    <n v="0.55799999999999994"/>
    <n v="71"/>
    <s v="No"/>
    <n v="23"/>
  </r>
  <r>
    <x v="72"/>
    <x v="72"/>
    <x v="2"/>
    <x v="28"/>
    <x v="53"/>
    <x v="0"/>
    <s v="In-Principle Approval"/>
    <s v="Proposed land under litigation"/>
    <s v="C Grade"/>
    <n v="0"/>
    <n v="0"/>
    <n v="509.64"/>
    <n v="4"/>
    <n v="0.6"/>
    <s v="Not Available"/>
    <m/>
    <n v="0"/>
    <n v="0"/>
    <s v="Not Available"/>
    <m/>
    <n v="0"/>
    <n v="0"/>
    <n v="0.12"/>
    <s v="Priority 3"/>
    <n v="0"/>
    <n v="0"/>
    <s v="In-principal Approval/No Report"/>
    <n v="0"/>
    <n v="0"/>
    <n v="0"/>
    <n v="10"/>
    <n v="2"/>
    <n v="1"/>
    <n v="15"/>
    <n v="5"/>
    <n v="2"/>
    <n v="1"/>
    <n v="0.3"/>
    <n v="0.42"/>
    <n v="75"/>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Low"/>
    <n v="4"/>
    <n v="1.2"/>
    <s v="Very Low"/>
    <n v="4"/>
    <n v="0.4"/>
    <s v="Moderate &amp; Low"/>
    <n v="2"/>
    <n v="0.2"/>
    <s v="Moderate &amp; Low"/>
    <n v="2"/>
    <n v="0.2"/>
    <s v="Moderate &amp; Low"/>
    <n v="2"/>
    <n v="0.2"/>
    <n v="0.13200000000000001"/>
    <n v="0.13200000000000001"/>
    <n v="52"/>
    <n v="0.55200000000000005"/>
    <n v="73"/>
    <s v="No"/>
    <n v="23"/>
  </r>
  <r>
    <x v="73"/>
    <x v="73"/>
    <x v="1"/>
    <x v="34"/>
    <x v="54"/>
    <x v="2"/>
    <s v="Under Development"/>
    <s v="Under construction"/>
    <s v="B Grade"/>
    <n v="2"/>
    <n v="1"/>
    <n v="92"/>
    <n v="0"/>
    <n v="0"/>
    <s v="Not Available"/>
    <m/>
    <n v="0"/>
    <n v="0"/>
    <s v="Not Available"/>
    <m/>
    <n v="0"/>
    <n v="0"/>
    <n v="0.2"/>
    <s v="N/A"/>
    <n v="4"/>
    <n v="1.6"/>
    <s v="In-principal Approval/No Report"/>
    <n v="0"/>
    <n v="0"/>
    <n v="0.24"/>
    <n v="0"/>
    <n v="0"/>
    <n v="0"/>
    <n v="1"/>
    <n v="1"/>
    <n v="0"/>
    <n v="0"/>
    <n v="0"/>
    <n v="0.44"/>
    <n v="73"/>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Very High &amp; High"/>
    <n v="0"/>
    <n v="0"/>
    <s v="Very Low"/>
    <n v="4"/>
    <n v="0.4"/>
    <s v="Moderate &amp; Low"/>
    <n v="2"/>
    <n v="0.2"/>
    <s v="Very Low"/>
    <n v="4"/>
    <n v="0.4"/>
    <n v="9.6000000000000002E-2"/>
    <n v="9.6000000000000002E-2"/>
    <n v="70"/>
    <n v="0.53600000000000003"/>
    <n v="74"/>
    <s v="No"/>
    <n v="23"/>
  </r>
  <r>
    <x v="74"/>
    <x v="74"/>
    <x v="1"/>
    <x v="17"/>
    <x v="27"/>
    <x v="2"/>
    <s v="In-Principle Approval"/>
    <s v="Land not available"/>
    <s v="C Grade"/>
    <n v="0"/>
    <n v="0"/>
    <n v="492"/>
    <n v="2"/>
    <n v="0.3"/>
    <s v="Not Available"/>
    <m/>
    <n v="0"/>
    <n v="0"/>
    <s v="Not Available"/>
    <m/>
    <n v="0"/>
    <n v="0"/>
    <n v="0.06"/>
    <s v="N/A"/>
    <n v="4"/>
    <n v="1.6"/>
    <s v="In-principal Approval/No Report"/>
    <n v="0"/>
    <n v="0"/>
    <n v="0.24"/>
    <n v="5"/>
    <n v="2"/>
    <n v="1"/>
    <n v="6"/>
    <n v="1"/>
    <n v="0"/>
    <n v="0"/>
    <n v="0.15"/>
    <n v="0.44999999999999996"/>
    <n v="68"/>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High &amp; High"/>
    <n v="0"/>
    <n v="0"/>
    <s v="Very High &amp; High"/>
    <n v="0"/>
    <n v="0"/>
    <s v="Very Low"/>
    <n v="4"/>
    <n v="0.4"/>
    <s v="Moderate &amp; Low"/>
    <n v="2"/>
    <n v="0.2"/>
    <s v="Very Low"/>
    <n v="4"/>
    <n v="0.4"/>
    <n v="0.06"/>
    <n v="0.06"/>
    <n v="86"/>
    <n v="0.51"/>
    <n v="75"/>
    <s v="No"/>
    <n v="23"/>
  </r>
  <r>
    <x v="75"/>
    <x v="75"/>
    <x v="1"/>
    <x v="17"/>
    <x v="27"/>
    <x v="2"/>
    <s v="In-Principle Approval"/>
    <s v="Land not available"/>
    <s v="C Grade"/>
    <n v="0"/>
    <n v="0"/>
    <n v="170.49"/>
    <n v="2"/>
    <n v="0.3"/>
    <s v="Not Available"/>
    <m/>
    <n v="0"/>
    <n v="0"/>
    <s v="Not Available"/>
    <m/>
    <n v="0"/>
    <n v="0"/>
    <n v="0.06"/>
    <s v="N/A"/>
    <n v="4"/>
    <n v="1.6"/>
    <s v="In-principal Approval/No Report"/>
    <n v="0"/>
    <n v="0"/>
    <n v="0.24"/>
    <n v="5"/>
    <n v="2"/>
    <n v="1"/>
    <n v="6"/>
    <n v="1"/>
    <n v="0"/>
    <n v="0"/>
    <n v="0.15"/>
    <n v="0.44999999999999996"/>
    <n v="68"/>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High &amp; High"/>
    <n v="0"/>
    <n v="0"/>
    <s v="Very High &amp; High"/>
    <n v="0"/>
    <n v="0"/>
    <s v="Very Low"/>
    <n v="4"/>
    <n v="0.4"/>
    <s v="Moderate &amp; Low"/>
    <n v="2"/>
    <n v="0.2"/>
    <s v="Very Low"/>
    <n v="4"/>
    <n v="0.4"/>
    <n v="0.06"/>
    <n v="0.06"/>
    <n v="86"/>
    <n v="0.51"/>
    <n v="75"/>
    <s v="No"/>
    <n v="23"/>
  </r>
  <r>
    <x v="76"/>
    <x v="76"/>
    <x v="0"/>
    <x v="9"/>
    <x v="55"/>
    <x v="2"/>
    <s v="In-Principle Approval"/>
    <s v="Land not available"/>
    <s v="C Grade"/>
    <n v="0"/>
    <n v="0"/>
    <n v="100"/>
    <n v="2"/>
    <n v="0.3"/>
    <s v="Not Available"/>
    <m/>
    <n v="0"/>
    <n v="0"/>
    <s v="Not Available"/>
    <m/>
    <n v="0"/>
    <n v="0"/>
    <n v="0.06"/>
    <s v="N/A"/>
    <n v="4"/>
    <n v="1.6"/>
    <s v="In-principal Approval/No Report"/>
    <n v="0"/>
    <n v="0"/>
    <n v="0.24"/>
    <n v="3"/>
    <n v="0"/>
    <n v="0"/>
    <n v="5"/>
    <n v="2"/>
    <n v="2"/>
    <n v="1"/>
    <n v="0.15"/>
    <n v="0.44999999999999996"/>
    <n v="68"/>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High &amp; High"/>
    <n v="0"/>
    <n v="0"/>
    <s v="Very High &amp; High"/>
    <n v="0"/>
    <n v="0"/>
    <s v="Very Low"/>
    <n v="4"/>
    <n v="0.4"/>
    <s v="High &amp; Very High"/>
    <n v="0"/>
    <n v="0"/>
    <s v="Very Low"/>
    <n v="4"/>
    <n v="0.4"/>
    <n v="4.8000000000000001E-2"/>
    <n v="4.8000000000000001E-2"/>
    <n v="95"/>
    <n v="0.49799999999999994"/>
    <n v="77"/>
    <s v="No"/>
    <n v="23"/>
  </r>
  <r>
    <x v="77"/>
    <x v="77"/>
    <x v="4"/>
    <x v="14"/>
    <x v="56"/>
    <x v="0"/>
    <s v="In-Principle Approval"/>
    <s v="Land under litigation"/>
    <s v="C Grade"/>
    <n v="0"/>
    <n v="0"/>
    <n v="509.66"/>
    <n v="4"/>
    <n v="0.6"/>
    <s v="Not Available"/>
    <m/>
    <n v="0"/>
    <n v="0"/>
    <s v="Not Available"/>
    <m/>
    <n v="0"/>
    <n v="0"/>
    <n v="0.12"/>
    <s v="Priority 3"/>
    <n v="0"/>
    <n v="0"/>
    <s v="In-principal Approval/No Report"/>
    <n v="0"/>
    <n v="0"/>
    <n v="0"/>
    <n v="5"/>
    <n v="2"/>
    <n v="1"/>
    <n v="8"/>
    <n v="3"/>
    <n v="2"/>
    <n v="1"/>
    <n v="0.3"/>
    <n v="0.42"/>
    <n v="75"/>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Very High &amp; High"/>
    <n v="0"/>
    <n v="0"/>
    <m/>
    <n v="0"/>
    <n v="0"/>
    <s v="Moderate &amp; Low"/>
    <n v="2"/>
    <n v="0.2"/>
    <s v="Very Low"/>
    <n v="4"/>
    <n v="0.4"/>
    <n v="7.2000000000000008E-2"/>
    <n v="7.2000000000000008E-2"/>
    <n v="75"/>
    <n v="0.49199999999999999"/>
    <n v="78"/>
    <s v="No"/>
    <n v="24"/>
  </r>
  <r>
    <x v="78"/>
    <x v="78"/>
    <x v="0"/>
    <x v="0"/>
    <x v="57"/>
    <x v="0"/>
    <s v="In-Principle Approval"/>
    <s v="Hilly area. Land procurement difficult."/>
    <s v="C Grade"/>
    <n v="0"/>
    <n v="0"/>
    <n v="774.48"/>
    <n v="4"/>
    <n v="0.6"/>
    <s v="Not Available"/>
    <m/>
    <n v="0"/>
    <n v="0"/>
    <s v="Not Available"/>
    <m/>
    <n v="0"/>
    <n v="0"/>
    <n v="0.12"/>
    <s v="Priority 3"/>
    <n v="0"/>
    <n v="0"/>
    <s v="In-principal Approval/No Report"/>
    <n v="0"/>
    <n v="0"/>
    <n v="0"/>
    <n v="19"/>
    <n v="4"/>
    <n v="2"/>
    <n v="19"/>
    <n v="0"/>
    <n v="0"/>
    <n v="0"/>
    <n v="0.3"/>
    <n v="0.42"/>
    <n v="75"/>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Moderate &amp; Low"/>
    <n v="2"/>
    <n v="0.2"/>
    <s v="High &amp; Very High"/>
    <n v="0"/>
    <n v="0"/>
    <s v="Very High &amp; High"/>
    <n v="0"/>
    <n v="0"/>
    <n v="0.06"/>
    <n v="0.06"/>
    <n v="86"/>
    <n v="0.48"/>
    <n v="79"/>
    <s v="No"/>
    <n v="23"/>
  </r>
  <r>
    <x v="79"/>
    <x v="79"/>
    <x v="0"/>
    <x v="0"/>
    <x v="58"/>
    <x v="0"/>
    <s v="In-Principle Approval"/>
    <s v="Acquisition ongoing"/>
    <s v="C Grade"/>
    <n v="0"/>
    <n v="0"/>
    <n v="13000.4264"/>
    <n v="4"/>
    <n v="0.6"/>
    <s v="Not Available"/>
    <m/>
    <n v="0"/>
    <n v="0"/>
    <s v="Not Available"/>
    <m/>
    <n v="0"/>
    <n v="0"/>
    <n v="0.12"/>
    <s v="Priority 3"/>
    <n v="0"/>
    <n v="0"/>
    <s v="In-principal Approval/No Report"/>
    <n v="0"/>
    <n v="0"/>
    <n v="0"/>
    <n v="19"/>
    <n v="4"/>
    <n v="2"/>
    <n v="19"/>
    <n v="0"/>
    <n v="0"/>
    <n v="0"/>
    <n v="0.3"/>
    <n v="0.42"/>
    <n v="75"/>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Moderate &amp; Low"/>
    <n v="2"/>
    <n v="0.2"/>
    <s v="High &amp; Very High"/>
    <n v="0"/>
    <n v="0"/>
    <s v="Very High &amp; High"/>
    <n v="0"/>
    <n v="0"/>
    <n v="0.06"/>
    <n v="0.06"/>
    <n v="86"/>
    <n v="0.48"/>
    <n v="79"/>
    <s v="No"/>
    <n v="23"/>
  </r>
  <r>
    <x v="80"/>
    <x v="80"/>
    <x v="3"/>
    <x v="35"/>
    <x v="59"/>
    <x v="2"/>
    <s v="In-Principle Approval"/>
    <s v="Land not available"/>
    <s v="C Grade"/>
    <n v="0"/>
    <n v="0"/>
    <n v="138.63999999999999"/>
    <n v="2"/>
    <n v="0.3"/>
    <s v="Not Available"/>
    <m/>
    <n v="0"/>
    <n v="0"/>
    <s v="Not Available"/>
    <m/>
    <n v="0"/>
    <n v="0"/>
    <n v="0.06"/>
    <s v="N/A"/>
    <n v="4"/>
    <n v="1.6"/>
    <s v="In-principal Approval/No Report"/>
    <n v="0"/>
    <n v="0"/>
    <n v="0.24"/>
    <n v="4"/>
    <n v="0"/>
    <n v="0"/>
    <n v="5"/>
    <n v="1"/>
    <n v="0"/>
    <n v="0"/>
    <n v="0"/>
    <n v="0.3"/>
    <n v="80"/>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Low"/>
    <n v="4"/>
    <n v="1.2"/>
    <s v="Moderate &amp; Low"/>
    <n v="2"/>
    <n v="0.2"/>
    <s v="Very Low"/>
    <n v="4"/>
    <n v="0.4"/>
    <s v="Very Low"/>
    <n v="4"/>
    <n v="0.4"/>
    <s v="Very Low"/>
    <n v="4"/>
    <n v="0.4"/>
    <n v="0.15599999999999997"/>
    <n v="0.15599999999999997"/>
    <n v="49"/>
    <n v="0.45599999999999996"/>
    <n v="81"/>
    <s v="No"/>
    <n v="23"/>
  </r>
  <r>
    <x v="81"/>
    <x v="81"/>
    <x v="1"/>
    <x v="36"/>
    <x v="60"/>
    <x v="0"/>
    <s v="Pre-Planning Stage"/>
    <s v="Planning Stage."/>
    <s v="C Grade"/>
    <n v="0"/>
    <n v="0"/>
    <n v="1125"/>
    <n v="4"/>
    <n v="0.6"/>
    <s v="Not Available"/>
    <m/>
    <n v="0"/>
    <n v="0"/>
    <s v="Not Available"/>
    <m/>
    <n v="0"/>
    <n v="0"/>
    <n v="0.12"/>
    <s v="Priority 3"/>
    <n v="0"/>
    <n v="0"/>
    <s v="Site Visit/Assessment"/>
    <n v="2"/>
    <n v="1.2"/>
    <n v="0.18"/>
    <n v="0"/>
    <n v="0"/>
    <n v="0"/>
    <n v="1"/>
    <n v="1"/>
    <n v="0"/>
    <n v="0"/>
    <n v="0"/>
    <n v="0.3"/>
    <n v="80"/>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Moderate &amp; Low"/>
    <n v="2"/>
    <n v="0.2"/>
    <s v="High &amp; Very High"/>
    <n v="0"/>
    <n v="0"/>
    <s v="Very Low"/>
    <n v="4"/>
    <n v="0.4"/>
    <n v="8.3999999999999991E-2"/>
    <n v="8.3999999999999991E-2"/>
    <n v="74"/>
    <n v="0.38400000000000001"/>
    <n v="82"/>
    <s v="No"/>
    <n v="23"/>
  </r>
  <r>
    <x v="82"/>
    <x v="82"/>
    <x v="7"/>
    <x v="37"/>
    <x v="61"/>
    <x v="0"/>
    <s v="In-Principle Approval"/>
    <s v="Planning Stage. "/>
    <s v="B Grade"/>
    <n v="2"/>
    <n v="1"/>
    <n v="344.16500000000002"/>
    <n v="2"/>
    <n v="0.3"/>
    <s v="Not Available"/>
    <m/>
    <n v="0"/>
    <n v="0"/>
    <s v="Not Available"/>
    <m/>
    <n v="0"/>
    <n v="0"/>
    <n v="0.26"/>
    <s v="Priority 3"/>
    <n v="0"/>
    <n v="0"/>
    <s v="In-principal Approval/No Report"/>
    <n v="0"/>
    <n v="0"/>
    <n v="0"/>
    <n v="1"/>
    <n v="0"/>
    <n v="0"/>
    <n v="2"/>
    <n v="1"/>
    <n v="0"/>
    <n v="0"/>
    <n v="0"/>
    <n v="0.26"/>
    <n v="86"/>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Very Low"/>
    <n v="4"/>
    <n v="0.4"/>
    <s v="Very Low"/>
    <n v="4"/>
    <n v="0.4"/>
    <s v="Very Low"/>
    <n v="4"/>
    <n v="0.4"/>
    <n v="0.12"/>
    <n v="0.12"/>
    <n v="58"/>
    <n v="0.38"/>
    <n v="83"/>
    <s v="No"/>
    <n v="23"/>
  </r>
  <r>
    <x v="83"/>
    <x v="83"/>
    <x v="1"/>
    <x v="38"/>
    <x v="62"/>
    <x v="0"/>
    <s v="In-Principle Approval"/>
    <s v="Planning Stage."/>
    <s v="C Grade"/>
    <n v="0"/>
    <n v="0"/>
    <n v="888.28"/>
    <n v="4"/>
    <n v="0.6"/>
    <s v="Not Available"/>
    <m/>
    <n v="0"/>
    <n v="0"/>
    <s v="Not Available"/>
    <m/>
    <n v="0"/>
    <n v="0"/>
    <n v="0.12"/>
    <s v="Priority 3"/>
    <n v="0"/>
    <n v="0"/>
    <s v="In-principal Approval/No Report"/>
    <n v="0"/>
    <n v="0"/>
    <n v="0"/>
    <n v="0"/>
    <n v="0"/>
    <n v="0"/>
    <n v="2"/>
    <n v="2"/>
    <n v="2"/>
    <n v="1"/>
    <n v="0.15"/>
    <n v="0.27"/>
    <n v="82"/>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Very Low"/>
    <n v="4"/>
    <n v="0.4"/>
    <s v="Moderate &amp; Low"/>
    <n v="2"/>
    <n v="0.2"/>
    <s v="Very Low"/>
    <n v="4"/>
    <n v="0.4"/>
    <n v="0.10800000000000001"/>
    <n v="0.10800000000000001"/>
    <n v="61"/>
    <n v="0.378"/>
    <n v="84"/>
    <s v="No"/>
    <n v="23"/>
  </r>
  <r>
    <x v="84"/>
    <x v="84"/>
    <x v="2"/>
    <x v="8"/>
    <x v="63"/>
    <x v="2"/>
    <s v="In-Principle Approval"/>
    <s v="Land not available"/>
    <s v="C Grade"/>
    <n v="0"/>
    <n v="0"/>
    <n v="80.650000000000006"/>
    <n v="0"/>
    <n v="0"/>
    <s v="Not Available"/>
    <m/>
    <n v="0"/>
    <n v="0"/>
    <s v="Not Available"/>
    <m/>
    <n v="0"/>
    <n v="0"/>
    <n v="0"/>
    <s v="N/A"/>
    <n v="4"/>
    <n v="1.6"/>
    <s v="In-principal Approval/No Report"/>
    <n v="0"/>
    <n v="0"/>
    <n v="0.24"/>
    <n v="0"/>
    <n v="0"/>
    <n v="0"/>
    <n v="1"/>
    <n v="1"/>
    <n v="0"/>
    <n v="0"/>
    <n v="0"/>
    <n v="0.24"/>
    <n v="88"/>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Low"/>
    <n v="4"/>
    <n v="1.2"/>
    <s v="Very Low"/>
    <n v="4"/>
    <n v="0.4"/>
    <s v="Moderate &amp; Low"/>
    <n v="2"/>
    <n v="0.2"/>
    <s v="Moderate &amp; Low"/>
    <n v="2"/>
    <n v="0.2"/>
    <s v="Moderate &amp; Low"/>
    <n v="2"/>
    <n v="0.2"/>
    <n v="0.13200000000000001"/>
    <n v="0.13200000000000001"/>
    <n v="52"/>
    <n v="0.372"/>
    <n v="85"/>
    <s v="No"/>
    <n v="23"/>
  </r>
  <r>
    <x v="85"/>
    <x v="85"/>
    <x v="0"/>
    <x v="1"/>
    <x v="8"/>
    <x v="0"/>
    <s v="In-Principle Approval"/>
    <s v="No land available"/>
    <s v="C Grade"/>
    <n v="0"/>
    <n v="0"/>
    <n v="827.31"/>
    <n v="4"/>
    <n v="0.6"/>
    <s v="Not Available"/>
    <m/>
    <n v="0"/>
    <n v="0"/>
    <s v="Not Available"/>
    <m/>
    <n v="0"/>
    <n v="0"/>
    <n v="0.12"/>
    <s v="Priority 3"/>
    <n v="0"/>
    <n v="0"/>
    <s v="In-principal Approval/No Report"/>
    <n v="0"/>
    <n v="0"/>
    <n v="0"/>
    <n v="1"/>
    <n v="0"/>
    <n v="0"/>
    <n v="4"/>
    <n v="3"/>
    <n v="2"/>
    <n v="1"/>
    <n v="0.15"/>
    <n v="0.27"/>
    <n v="82"/>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Moderate &amp; Low"/>
    <n v="2"/>
    <n v="0.2"/>
    <s v="High &amp; Very High"/>
    <n v="0"/>
    <n v="0"/>
    <s v="Moderate &amp; Low"/>
    <n v="2"/>
    <n v="0.2"/>
    <n v="7.1999999999999995E-2"/>
    <n v="7.1999999999999995E-2"/>
    <n v="81"/>
    <n v="0.34200000000000003"/>
    <n v="86"/>
    <s v="No"/>
    <n v="23"/>
  </r>
  <r>
    <x v="86"/>
    <x v="86"/>
    <x v="0"/>
    <x v="1"/>
    <x v="64"/>
    <x v="0"/>
    <s v="In-Principle Approval"/>
    <s v="No land available"/>
    <s v="C Grade"/>
    <n v="0"/>
    <n v="0"/>
    <n v="2890.79"/>
    <n v="4"/>
    <n v="0.6"/>
    <s v="Not Available"/>
    <m/>
    <n v="0"/>
    <n v="0"/>
    <s v="Not Available"/>
    <m/>
    <n v="0"/>
    <n v="0"/>
    <n v="0.12"/>
    <s v="Priority 3"/>
    <n v="0"/>
    <n v="0"/>
    <s v="In-principal Approval/No Report"/>
    <n v="0"/>
    <n v="0"/>
    <n v="0"/>
    <n v="1"/>
    <n v="0"/>
    <n v="0"/>
    <n v="4"/>
    <n v="3"/>
    <n v="2"/>
    <n v="1"/>
    <n v="0.15"/>
    <n v="0.27"/>
    <n v="82"/>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Moderate &amp; Low"/>
    <n v="2"/>
    <n v="0.2"/>
    <s v="High &amp; Very High"/>
    <n v="0"/>
    <n v="0"/>
    <s v="Moderate &amp; Low"/>
    <n v="2"/>
    <n v="0.2"/>
    <n v="7.1999999999999995E-2"/>
    <n v="7.1999999999999995E-2"/>
    <n v="81"/>
    <n v="0.34200000000000003"/>
    <n v="86"/>
    <s v="No"/>
    <n v="23"/>
  </r>
  <r>
    <x v="87"/>
    <x v="87"/>
    <x v="1"/>
    <x v="4"/>
    <x v="65"/>
    <x v="0"/>
    <s v="Planning Stage"/>
    <s v="As per decision of HPM. This site has been omitted."/>
    <s v="C Grade"/>
    <n v="0"/>
    <n v="0"/>
    <n v="200"/>
    <n v="2"/>
    <n v="0.3"/>
    <s v="Not Available"/>
    <m/>
    <n v="0"/>
    <n v="0"/>
    <s v="Not Available"/>
    <m/>
    <n v="0"/>
    <n v="0"/>
    <n v="0.06"/>
    <s v="Priority 3"/>
    <n v="0"/>
    <n v="0"/>
    <s v="In-principal Approval/No Report"/>
    <n v="0"/>
    <n v="0"/>
    <n v="0"/>
    <n v="0"/>
    <n v="0"/>
    <n v="0"/>
    <n v="4"/>
    <n v="4"/>
    <n v="2"/>
    <n v="1"/>
    <n v="0.15"/>
    <n v="0.21"/>
    <n v="89"/>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Moderate &amp; Low"/>
    <n v="2"/>
    <n v="0.2"/>
    <s v="High &amp; Very High"/>
    <n v="0"/>
    <n v="0"/>
    <s v="Moderate &amp; Low"/>
    <n v="2"/>
    <n v="0.2"/>
    <n v="7.1999999999999995E-2"/>
    <n v="7.1999999999999995E-2"/>
    <n v="81"/>
    <n v="0.28199999999999997"/>
    <n v="88"/>
    <s v="No"/>
    <n v="23"/>
  </r>
  <r>
    <x v="88"/>
    <x v="88"/>
    <x v="0"/>
    <x v="39"/>
    <x v="66"/>
    <x v="0"/>
    <s v="In-Principle Approval"/>
    <s v="CHT area laws don't allow EZ development."/>
    <s v="C Grade"/>
    <n v="0"/>
    <n v="0"/>
    <n v="640"/>
    <n v="4"/>
    <n v="0.6"/>
    <s v="Not Available"/>
    <m/>
    <n v="0"/>
    <n v="0"/>
    <s v="Not Available"/>
    <m/>
    <n v="0"/>
    <n v="0"/>
    <n v="0.12"/>
    <s v="Priority 3"/>
    <n v="0"/>
    <n v="0"/>
    <s v="In-principal Approval/No Report"/>
    <n v="0"/>
    <n v="0"/>
    <n v="0"/>
    <n v="1"/>
    <n v="0"/>
    <n v="0"/>
    <n v="2"/>
    <n v="1"/>
    <n v="0"/>
    <n v="0"/>
    <n v="0"/>
    <n v="0.12"/>
    <n v="91"/>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Low"/>
    <n v="4"/>
    <n v="1.2"/>
    <s v="Very Low"/>
    <n v="4"/>
    <n v="0.4"/>
    <s v="Very Low"/>
    <n v="4"/>
    <n v="0.4"/>
    <s v="Moderate &amp; Low"/>
    <n v="2"/>
    <n v="0.2"/>
    <s v="Very Low"/>
    <n v="4"/>
    <n v="0.4"/>
    <n v="0.156"/>
    <n v="0.156"/>
    <n v="48"/>
    <n v="0.27600000000000002"/>
    <n v="89"/>
    <s v="No"/>
    <n v="23"/>
  </r>
  <r>
    <x v="89"/>
    <x v="89"/>
    <x v="3"/>
    <x v="35"/>
    <x v="67"/>
    <x v="0"/>
    <s v="In-Principle Approval"/>
    <s v="Land under litigation."/>
    <s v="C Grade"/>
    <n v="0"/>
    <n v="0"/>
    <n v="2925.2"/>
    <n v="4"/>
    <n v="0.6"/>
    <s v="Not Available"/>
    <m/>
    <n v="0"/>
    <n v="0"/>
    <s v="Not Available"/>
    <m/>
    <n v="0"/>
    <n v="0"/>
    <n v="0.12"/>
    <s v="Priority 3"/>
    <n v="0"/>
    <n v="0"/>
    <s v="In-principal Approval/No Report"/>
    <n v="0"/>
    <n v="0"/>
    <n v="0"/>
    <n v="4"/>
    <n v="0"/>
    <n v="0"/>
    <n v="5"/>
    <n v="1"/>
    <n v="0"/>
    <n v="0"/>
    <n v="0"/>
    <n v="0.12"/>
    <n v="91"/>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Low"/>
    <n v="4"/>
    <n v="1.2"/>
    <s v="Moderate &amp; Low"/>
    <n v="2"/>
    <n v="0.2"/>
    <s v="Very Low"/>
    <n v="4"/>
    <n v="0.4"/>
    <s v="Very Low"/>
    <n v="4"/>
    <n v="0.4"/>
    <s v="Very Low"/>
    <n v="4"/>
    <n v="0.4"/>
    <n v="0.15599999999999997"/>
    <n v="0.15599999999999997"/>
    <n v="49"/>
    <n v="0.27599999999999997"/>
    <n v="90"/>
    <s v="No"/>
    <n v="23"/>
  </r>
  <r>
    <x v="90"/>
    <x v="90"/>
    <x v="8"/>
    <x v="40"/>
    <x v="50"/>
    <x v="3"/>
    <m/>
    <m/>
    <s v="-"/>
    <n v="0"/>
    <n v="0"/>
    <n v="20315.810000000001"/>
    <n v="4"/>
    <n v="0.6"/>
    <s v="Not Available"/>
    <m/>
    <n v="0"/>
    <n v="0"/>
    <s v="Not Available"/>
    <m/>
    <n v="0"/>
    <n v="0"/>
    <n v="0.12"/>
    <s v="-"/>
    <n v="0"/>
    <n v="0"/>
    <s v="In-principal Approval/No Report"/>
    <n v="0"/>
    <n v="0"/>
    <n v="0"/>
    <n v="1"/>
    <n v="0"/>
    <n v="0"/>
    <n v="4"/>
    <n v="3"/>
    <n v="2"/>
    <n v="1"/>
    <n v="0.15"/>
    <n v="0.27"/>
    <n v="82"/>
    <m/>
    <n v="0"/>
    <n v="0"/>
    <m/>
    <n v="0"/>
    <n v="0"/>
    <m/>
    <n v="0"/>
    <n v="0"/>
    <m/>
    <n v="0"/>
    <n v="0"/>
    <m/>
    <n v="0"/>
    <n v="0"/>
    <m/>
    <n v="0"/>
    <n v="0"/>
    <n v="0"/>
    <m/>
    <n v="0"/>
    <n v="0"/>
    <m/>
    <n v="0"/>
    <n v="0"/>
    <m/>
    <n v="0"/>
    <n v="0"/>
    <n v="0"/>
    <m/>
    <n v="0"/>
    <n v="0"/>
    <m/>
    <n v="0"/>
    <n v="0"/>
    <m/>
    <n v="0"/>
    <n v="0"/>
    <m/>
    <n v="0"/>
    <n v="0"/>
    <n v="0"/>
    <m/>
    <n v="0"/>
    <n v="0"/>
    <m/>
    <n v="0"/>
    <n v="0"/>
    <n v="0"/>
    <m/>
    <n v="0"/>
    <n v="0"/>
    <m/>
    <n v="0"/>
    <n v="0"/>
    <m/>
    <n v="0"/>
    <n v="0"/>
    <m/>
    <n v="0"/>
    <n v="0"/>
    <m/>
    <n v="0"/>
    <n v="0"/>
    <n v="0"/>
    <m/>
    <n v="0"/>
    <n v="0"/>
    <m/>
    <n v="0"/>
    <n v="0"/>
    <m/>
    <n v="0"/>
    <n v="0"/>
    <m/>
    <n v="0"/>
    <n v="0"/>
    <m/>
    <n v="0"/>
    <n v="0"/>
    <m/>
    <n v="0"/>
    <n v="0"/>
    <n v="0"/>
    <n v="0"/>
    <n v="101"/>
    <n v="0.27"/>
    <n v="91"/>
    <s v="No"/>
    <n v="31"/>
  </r>
  <r>
    <x v="91"/>
    <x v="91"/>
    <x v="2"/>
    <x v="8"/>
    <x v="68"/>
    <x v="0"/>
    <s v="In-Principle Approval"/>
    <s v="Land not available"/>
    <s v="C Grade"/>
    <n v="0"/>
    <n v="0"/>
    <n v="1564.35"/>
    <n v="4"/>
    <n v="0.6"/>
    <s v="Not Available"/>
    <m/>
    <n v="0"/>
    <n v="0"/>
    <s v="Not Available"/>
    <m/>
    <n v="0"/>
    <n v="0"/>
    <n v="0.12"/>
    <s v="Priority 3"/>
    <n v="0"/>
    <n v="0"/>
    <s v="In-principal Approval/No Report"/>
    <n v="0"/>
    <n v="0"/>
    <n v="0"/>
    <n v="0"/>
    <n v="0"/>
    <n v="0"/>
    <n v="1"/>
    <n v="1"/>
    <n v="0"/>
    <n v="0"/>
    <n v="0"/>
    <n v="0.12"/>
    <n v="91"/>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Low"/>
    <n v="4"/>
    <n v="1.2"/>
    <s v="Very Low"/>
    <n v="4"/>
    <n v="0.4"/>
    <s v="Moderate &amp; Low"/>
    <n v="2"/>
    <n v="0.2"/>
    <s v="Moderate &amp; Low"/>
    <n v="2"/>
    <n v="0.2"/>
    <s v="Moderate &amp; Low"/>
    <n v="2"/>
    <n v="0.2"/>
    <n v="0.13200000000000001"/>
    <n v="0.13200000000000001"/>
    <n v="52"/>
    <n v="0.252"/>
    <n v="92"/>
    <s v="No"/>
    <n v="23"/>
  </r>
  <r>
    <x v="92"/>
    <x v="92"/>
    <x v="2"/>
    <x v="41"/>
    <x v="50"/>
    <x v="3"/>
    <m/>
    <s v="Feasibility Ongoing"/>
    <s v="C Grade"/>
    <n v="0"/>
    <n v="0"/>
    <m/>
    <n v="0"/>
    <n v="0"/>
    <s v="Not Available"/>
    <m/>
    <n v="0"/>
    <n v="0"/>
    <s v="Not Available"/>
    <m/>
    <n v="0"/>
    <n v="0"/>
    <n v="0"/>
    <s v="Priority 2"/>
    <n v="2"/>
    <n v="0.8"/>
    <s v="In-principal Approval/No Report"/>
    <n v="0"/>
    <n v="0"/>
    <n v="0.12"/>
    <n v="0"/>
    <n v="0"/>
    <n v="0"/>
    <n v="1"/>
    <n v="1"/>
    <n v="0"/>
    <n v="0"/>
    <n v="0"/>
    <n v="0.12"/>
    <n v="91"/>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Very Low"/>
    <n v="4"/>
    <n v="0.4"/>
    <s v="Moderate &amp; Low"/>
    <n v="2"/>
    <n v="0.2"/>
    <s v="Very Low"/>
    <n v="4"/>
    <n v="0.4"/>
    <n v="0.10800000000000001"/>
    <n v="0.10800000000000001"/>
    <n v="61"/>
    <n v="0.22800000000000001"/>
    <n v="93"/>
    <s v="No"/>
    <n v="26"/>
  </r>
  <r>
    <x v="93"/>
    <x v="93"/>
    <x v="1"/>
    <x v="31"/>
    <x v="69"/>
    <x v="0"/>
    <s v="In-Principle Approval"/>
    <s v="Land not available"/>
    <s v="C Grade"/>
    <n v="0"/>
    <n v="0"/>
    <n v="690.2"/>
    <n v="4"/>
    <n v="0.6"/>
    <s v="Not Available"/>
    <m/>
    <n v="0"/>
    <n v="0"/>
    <s v="Not Available"/>
    <m/>
    <n v="0"/>
    <n v="0"/>
    <n v="0.12"/>
    <s v="Priority 3"/>
    <n v="0"/>
    <n v="0"/>
    <s v="In-principal Approval/No Report"/>
    <n v="0"/>
    <n v="0"/>
    <n v="0"/>
    <n v="3"/>
    <n v="0"/>
    <n v="0"/>
    <n v="3"/>
    <n v="0"/>
    <n v="0"/>
    <n v="0"/>
    <n v="0"/>
    <n v="0.12"/>
    <n v="91"/>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Very High &amp; High"/>
    <n v="0"/>
    <n v="0"/>
    <s v="Very Low"/>
    <n v="4"/>
    <n v="0.4"/>
    <s v="Moderate &amp; Low"/>
    <n v="2"/>
    <n v="0.2"/>
    <s v="Very Low"/>
    <n v="4"/>
    <n v="0.4"/>
    <n v="9.6000000000000002E-2"/>
    <n v="9.6000000000000002E-2"/>
    <n v="70"/>
    <n v="0.216"/>
    <n v="94"/>
    <s v="No"/>
    <n v="23"/>
  </r>
  <r>
    <x v="94"/>
    <x v="94"/>
    <x v="1"/>
    <x v="17"/>
    <x v="27"/>
    <x v="0"/>
    <s v="In-Principle Approval"/>
    <s v="No activity at this stage"/>
    <s v="C Grade"/>
    <n v="0"/>
    <n v="0"/>
    <n v="97.98"/>
    <n v="0"/>
    <n v="0"/>
    <s v="Not Available"/>
    <m/>
    <n v="0"/>
    <n v="0"/>
    <s v="Not Available"/>
    <m/>
    <n v="0"/>
    <n v="0"/>
    <n v="0"/>
    <s v="Priority 3"/>
    <n v="0"/>
    <n v="0"/>
    <s v="In-principal Approval/No Report"/>
    <n v="0"/>
    <n v="0"/>
    <n v="0"/>
    <n v="5"/>
    <n v="2"/>
    <n v="1"/>
    <n v="6"/>
    <n v="1"/>
    <n v="0"/>
    <n v="0"/>
    <n v="0.15"/>
    <n v="0.15"/>
    <n v="90"/>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High &amp; High"/>
    <n v="0"/>
    <n v="0"/>
    <s v="Very High &amp; High"/>
    <n v="0"/>
    <n v="0"/>
    <s v="Very Low"/>
    <n v="4"/>
    <n v="0.4"/>
    <s v="Moderate &amp; Low"/>
    <n v="2"/>
    <n v="0.2"/>
    <s v="Very Low"/>
    <n v="4"/>
    <n v="0.4"/>
    <n v="0.06"/>
    <n v="0.06"/>
    <n v="86"/>
    <n v="0.21"/>
    <n v="95"/>
    <s v="No"/>
    <n v="23"/>
  </r>
  <r>
    <x v="95"/>
    <x v="95"/>
    <x v="5"/>
    <x v="42"/>
    <x v="70"/>
    <x v="0"/>
    <s v="In-Principle Approval"/>
    <s v="Feasibility Ongoing"/>
    <s v="C Grade"/>
    <n v="0"/>
    <n v="0"/>
    <n v="516.26"/>
    <n v="4"/>
    <n v="0.6"/>
    <s v="Not Available"/>
    <m/>
    <n v="0"/>
    <n v="0"/>
    <s v="Not Available"/>
    <m/>
    <n v="0"/>
    <n v="0"/>
    <n v="0.12"/>
    <s v="Priority 3"/>
    <n v="0"/>
    <n v="0"/>
    <s v="In-principal Approval/No Report"/>
    <n v="0"/>
    <n v="0"/>
    <n v="0"/>
    <n v="3"/>
    <n v="0"/>
    <n v="0"/>
    <n v="4"/>
    <n v="1"/>
    <n v="0"/>
    <n v="0"/>
    <n v="0"/>
    <n v="0.12"/>
    <n v="91"/>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High &amp; High"/>
    <n v="0"/>
    <n v="0"/>
    <s v="Moderate &amp; Low"/>
    <n v="2"/>
    <n v="0.2"/>
    <s v="Very Low"/>
    <n v="4"/>
    <n v="0.4"/>
    <s v="Moderate &amp; Low"/>
    <n v="2"/>
    <n v="0.2"/>
    <s v="Very Low"/>
    <n v="4"/>
    <n v="0.4"/>
    <n v="7.2000000000000008E-2"/>
    <n v="7.2000000000000008E-2"/>
    <n v="75"/>
    <n v="0.192"/>
    <n v="96"/>
    <s v="No"/>
    <n v="23"/>
  </r>
  <r>
    <x v="96"/>
    <x v="96"/>
    <x v="2"/>
    <x v="8"/>
    <x v="63"/>
    <x v="0"/>
    <s v="In-Principle Approval"/>
    <s v="Land not available"/>
    <s v="C Grade"/>
    <n v="0"/>
    <n v="0"/>
    <n v="300"/>
    <n v="2"/>
    <n v="0.3"/>
    <s v="Not Available"/>
    <m/>
    <n v="0"/>
    <n v="0"/>
    <s v="Not Available"/>
    <m/>
    <n v="0"/>
    <n v="0"/>
    <n v="0.06"/>
    <s v="Priority 3"/>
    <n v="0"/>
    <n v="0"/>
    <s v="In-principal Approval/No Report"/>
    <n v="0"/>
    <n v="0"/>
    <n v="0"/>
    <n v="0"/>
    <n v="0"/>
    <n v="0"/>
    <n v="1"/>
    <n v="1"/>
    <n v="0"/>
    <n v="0"/>
    <n v="0"/>
    <n v="0.06"/>
    <n v="98"/>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Low"/>
    <n v="4"/>
    <n v="1.2"/>
    <s v="Very Low"/>
    <n v="4"/>
    <n v="0.4"/>
    <s v="Moderate &amp; Low"/>
    <n v="2"/>
    <n v="0.2"/>
    <s v="Moderate &amp; Low"/>
    <n v="2"/>
    <n v="0.2"/>
    <s v="Moderate &amp; Low"/>
    <n v="2"/>
    <n v="0.2"/>
    <n v="0.13200000000000001"/>
    <n v="0.13200000000000001"/>
    <n v="52"/>
    <n v="0.192"/>
    <n v="96"/>
    <s v="No"/>
    <n v="23"/>
  </r>
  <r>
    <x v="97"/>
    <x v="97"/>
    <x v="5"/>
    <x v="43"/>
    <x v="71"/>
    <x v="0"/>
    <s v="In-Principle Approval"/>
    <s v="Indeginoues settlements and private land. Resettlement difficult"/>
    <s v="C Grade"/>
    <n v="0"/>
    <n v="0"/>
    <n v="254.15"/>
    <n v="2"/>
    <n v="0.3"/>
    <s v="Not Available"/>
    <m/>
    <n v="0"/>
    <n v="0"/>
    <s v="Not Available"/>
    <m/>
    <n v="0"/>
    <n v="0"/>
    <n v="0.06"/>
    <s v="Priority 3"/>
    <n v="0"/>
    <n v="0"/>
    <s v="In-principal Approval/No Report"/>
    <n v="0"/>
    <n v="0"/>
    <n v="0"/>
    <n v="0"/>
    <n v="0"/>
    <n v="0"/>
    <n v="0"/>
    <n v="0"/>
    <n v="0"/>
    <n v="0"/>
    <n v="0"/>
    <n v="0.06"/>
    <n v="98"/>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Very Low"/>
    <n v="4"/>
    <n v="0.4"/>
    <s v="Very Low"/>
    <n v="4"/>
    <n v="0.4"/>
    <s v="Very Low"/>
    <n v="4"/>
    <n v="0.4"/>
    <n v="0.12"/>
    <n v="0.12"/>
    <n v="58"/>
    <n v="0.18"/>
    <n v="98"/>
    <s v="No"/>
    <n v="23"/>
  </r>
  <r>
    <x v="98"/>
    <x v="98"/>
    <x v="0"/>
    <x v="44"/>
    <x v="72"/>
    <x v="0"/>
    <s v="In-Principle Approval"/>
    <s v="Electric poles and grid lines in area. Expensive to relocate."/>
    <s v="C Grade"/>
    <n v="0"/>
    <n v="0"/>
    <n v="328.61"/>
    <n v="2"/>
    <n v="0.3"/>
    <s v="Not Available"/>
    <m/>
    <n v="0"/>
    <n v="0"/>
    <s v="Not Available"/>
    <m/>
    <n v="0"/>
    <n v="0"/>
    <n v="0.06"/>
    <s v="Priority 3"/>
    <n v="0"/>
    <n v="0"/>
    <s v="In-principal Approval/No Report"/>
    <n v="0"/>
    <n v="0"/>
    <n v="0"/>
    <n v="0"/>
    <n v="0"/>
    <n v="0"/>
    <n v="0"/>
    <n v="0"/>
    <n v="0"/>
    <n v="0"/>
    <n v="0"/>
    <n v="0.06"/>
    <n v="98"/>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Very Low"/>
    <n v="4"/>
    <n v="0.4"/>
    <s v="Moderate &amp; Low"/>
    <n v="2"/>
    <n v="0.2"/>
    <s v="Very Low"/>
    <n v="4"/>
    <n v="0.4"/>
    <n v="0.10800000000000001"/>
    <n v="0.10800000000000001"/>
    <n v="61"/>
    <n v="0.16800000000000001"/>
    <n v="99"/>
    <s v="No"/>
    <n v="23"/>
  </r>
  <r>
    <x v="99"/>
    <x v="99"/>
    <x v="0"/>
    <x v="45"/>
    <x v="50"/>
    <x v="3"/>
    <m/>
    <m/>
    <s v="-"/>
    <n v="0"/>
    <n v="0"/>
    <m/>
    <n v="0"/>
    <n v="0"/>
    <s v="Not Available"/>
    <m/>
    <n v="0"/>
    <n v="0"/>
    <s v="Not Available"/>
    <m/>
    <n v="0"/>
    <n v="0"/>
    <n v="0"/>
    <s v="Priority 2"/>
    <n v="2"/>
    <n v="0.8"/>
    <s v="In-principal Approval/No Report"/>
    <n v="0"/>
    <n v="0"/>
    <n v="0.12"/>
    <n v="0"/>
    <n v="0"/>
    <n v="0"/>
    <n v="0"/>
    <n v="0"/>
    <n v="0"/>
    <n v="0"/>
    <n v="0"/>
    <n v="0.12"/>
    <n v="91"/>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Moderate &amp; Low"/>
    <n v="2"/>
    <n v="0.6"/>
    <s v="Moderate &amp; Low"/>
    <n v="2"/>
    <n v="0.2"/>
    <s v="High &amp; Very High"/>
    <n v="0"/>
    <n v="0"/>
    <s v="High &amp; Very High"/>
    <n v="0"/>
    <n v="0"/>
    <s v="Very High &amp; High"/>
    <n v="0"/>
    <n v="0"/>
    <n v="4.8000000000000001E-2"/>
    <n v="4.8000000000000001E-2"/>
    <n v="95"/>
    <n v="0.16799999999999998"/>
    <n v="100"/>
    <s v="No"/>
    <n v="27"/>
  </r>
  <r>
    <x v="100"/>
    <x v="100"/>
    <x v="5"/>
    <x v="46"/>
    <x v="73"/>
    <x v="0"/>
    <s v="In-Principle Approval"/>
    <s v="Land acquisition ongoing"/>
    <s v="C Grade"/>
    <n v="0"/>
    <n v="0"/>
    <n v="360"/>
    <n v="2"/>
    <n v="0.3"/>
    <s v="Not Available"/>
    <m/>
    <n v="0"/>
    <n v="0"/>
    <s v="Not Available"/>
    <m/>
    <n v="0"/>
    <n v="0"/>
    <n v="0.06"/>
    <s v="Priority 3"/>
    <n v="0"/>
    <n v="0"/>
    <s v="In-principal Approval/No Report"/>
    <n v="0"/>
    <n v="0"/>
    <n v="0"/>
    <n v="1"/>
    <n v="0"/>
    <n v="0"/>
    <n v="2"/>
    <n v="1"/>
    <n v="0"/>
    <n v="0"/>
    <n v="0"/>
    <n v="0.06"/>
    <n v="98"/>
    <m/>
    <n v="0"/>
    <n v="0"/>
    <m/>
    <n v="0"/>
    <n v="0"/>
    <m/>
    <n v="0"/>
    <n v="0"/>
    <m/>
    <n v="0"/>
    <n v="0"/>
    <m/>
    <n v="0"/>
    <n v="0"/>
    <m/>
    <n v="0"/>
    <n v="0"/>
    <n v="0"/>
    <m/>
    <n v="0"/>
    <n v="0"/>
    <m/>
    <n v="0"/>
    <n v="0"/>
    <m/>
    <n v="0"/>
    <n v="0"/>
    <n v="0"/>
    <m/>
    <n v="0"/>
    <n v="0"/>
    <m/>
    <n v="0"/>
    <n v="0"/>
    <m/>
    <n v="0"/>
    <n v="0"/>
    <m/>
    <n v="0"/>
    <n v="0"/>
    <n v="0"/>
    <m/>
    <n v="0"/>
    <n v="0"/>
    <m/>
    <n v="0"/>
    <n v="0"/>
    <n v="0"/>
    <m/>
    <n v="0"/>
    <n v="0"/>
    <m/>
    <n v="0"/>
    <n v="0"/>
    <m/>
    <n v="0"/>
    <n v="0"/>
    <m/>
    <n v="0"/>
    <n v="0"/>
    <m/>
    <n v="0"/>
    <n v="0"/>
    <n v="0"/>
    <m/>
    <n v="0"/>
    <n v="0"/>
    <s v="Very High &amp; High"/>
    <n v="0"/>
    <n v="0"/>
    <s v="Very High &amp; High"/>
    <n v="0"/>
    <n v="0"/>
    <s v="Very Low"/>
    <n v="4"/>
    <n v="0.4"/>
    <s v="Very Low"/>
    <n v="4"/>
    <n v="0.4"/>
    <s v="Very Low"/>
    <n v="4"/>
    <n v="0.4"/>
    <n v="7.2000000000000008E-2"/>
    <n v="7.2000000000000008E-2"/>
    <n v="75"/>
    <n v="0.13200000000000001"/>
    <n v="101"/>
    <s v="No"/>
    <n v="2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887574A-242F-423C-BC31-3890E3DC23DD}" name="PivotTable7" cacheId="3" applyNumberFormats="0" applyBorderFormats="0" applyFontFormats="0" applyPatternFormats="0" applyAlignmentFormats="0" applyWidthHeightFormats="1" dataCaption="Values" updatedVersion="8" minRefreshableVersion="3" useAutoFormatting="1" rowGrandTotals="0" itemPrintTitles="1" createdVersion="8" indent="0" compact="0" compactData="0" multipleFieldFilters="0">
  <location ref="B2:J103" firstHeaderRow="0" firstDataRow="1" firstDataCol="6"/>
  <pivotFields count="130">
    <pivotField axis="axisRow" compact="0" outline="0" showAll="0" sortType="descending" defaultSubtotal="0">
      <items count="101">
        <item x="36"/>
        <item x="88"/>
        <item x="23"/>
        <item x="53"/>
        <item x="98"/>
        <item x="45"/>
        <item x="32"/>
        <item x="12"/>
        <item x="49"/>
        <item x="62"/>
        <item x="57"/>
        <item x="26"/>
        <item x="7"/>
        <item x="82"/>
        <item x="83"/>
        <item x="27"/>
        <item x="94"/>
        <item x="5"/>
        <item x="87"/>
        <item x="55"/>
        <item x="24"/>
        <item x="54"/>
        <item x="72"/>
        <item x="67"/>
        <item x="81"/>
        <item x="40"/>
        <item x="0"/>
        <item x="39"/>
        <item x="85"/>
        <item x="8"/>
        <item x="86"/>
        <item x="58"/>
        <item x="11"/>
        <item x="18"/>
        <item x="65"/>
        <item x="77"/>
        <item x="9"/>
        <item x="10"/>
        <item x="63"/>
        <item x="43"/>
        <item x="70"/>
        <item x="3"/>
        <item x="41"/>
        <item x="42"/>
        <item x="56"/>
        <item x="93"/>
        <item x="95"/>
        <item x="38"/>
        <item x="78"/>
        <item x="100"/>
        <item x="96"/>
        <item x="1"/>
        <item x="79"/>
        <item x="97"/>
        <item x="48"/>
        <item x="44"/>
        <item x="46"/>
        <item x="17"/>
        <item x="68"/>
        <item x="28"/>
        <item x="89"/>
        <item x="91"/>
        <item x="33"/>
        <item x="22"/>
        <item x="4"/>
        <item x="2"/>
        <item x="6"/>
        <item x="47"/>
        <item x="74"/>
        <item x="66"/>
        <item x="35"/>
        <item x="75"/>
        <item x="61"/>
        <item x="76"/>
        <item x="14"/>
        <item x="59"/>
        <item x="50"/>
        <item x="51"/>
        <item x="25"/>
        <item x="80"/>
        <item x="19"/>
        <item x="31"/>
        <item x="21"/>
        <item x="71"/>
        <item x="15"/>
        <item x="84"/>
        <item x="29"/>
        <item x="37"/>
        <item x="13"/>
        <item x="30"/>
        <item x="73"/>
        <item x="20"/>
        <item x="16"/>
        <item x="52"/>
        <item x="34"/>
        <item x="60"/>
        <item x="64"/>
        <item x="99"/>
        <item x="92"/>
        <item x="69"/>
        <item x="90"/>
      </items>
      <autoSortScope>
        <pivotArea dataOnly="0" outline="0" fieldPosition="0">
          <references count="1">
            <reference field="4294967294" count="1" selected="0">
              <x v="1"/>
            </reference>
          </references>
        </pivotArea>
      </autoSortScope>
    </pivotField>
    <pivotField axis="axisRow" compact="0" outline="0" showAll="0" sortType="ascending" defaultSubtotal="0">
      <items count="101">
        <item x="74"/>
        <item x="66"/>
        <item x="35"/>
        <item x="75"/>
        <item x="36"/>
        <item x="61"/>
        <item x="76"/>
        <item x="88"/>
        <item x="14"/>
        <item x="59"/>
        <item x="23"/>
        <item x="4"/>
        <item x="2"/>
        <item x="53"/>
        <item x="50"/>
        <item x="98"/>
        <item x="51"/>
        <item x="25"/>
        <item x="45"/>
        <item x="32"/>
        <item x="12"/>
        <item x="49"/>
        <item x="80"/>
        <item x="62"/>
        <item x="19"/>
        <item x="31"/>
        <item x="57"/>
        <item x="21"/>
        <item x="26"/>
        <item x="7"/>
        <item x="82"/>
        <item x="71"/>
        <item x="15"/>
        <item x="84"/>
        <item x="83"/>
        <item x="27"/>
        <item x="94"/>
        <item x="5"/>
        <item x="87"/>
        <item x="55"/>
        <item x="29"/>
        <item x="37"/>
        <item x="24"/>
        <item x="13"/>
        <item x="30"/>
        <item x="54"/>
        <item x="72"/>
        <item x="73"/>
        <item x="67"/>
        <item x="6"/>
        <item x="99"/>
        <item x="81"/>
        <item x="92"/>
        <item x="40"/>
        <item x="20"/>
        <item x="16"/>
        <item x="0"/>
        <item x="39"/>
        <item x="85"/>
        <item x="8"/>
        <item x="86"/>
        <item x="90"/>
        <item x="58"/>
        <item x="18"/>
        <item x="47"/>
        <item x="65"/>
        <item x="77"/>
        <item x="9"/>
        <item x="10"/>
        <item x="63"/>
        <item x="93"/>
        <item x="43"/>
        <item x="70"/>
        <item x="3"/>
        <item x="41"/>
        <item x="42"/>
        <item x="56"/>
        <item x="95"/>
        <item x="38"/>
        <item x="78"/>
        <item x="100"/>
        <item x="96"/>
        <item x="1"/>
        <item x="79"/>
        <item x="97"/>
        <item x="69"/>
        <item x="48"/>
        <item x="44"/>
        <item x="46"/>
        <item x="17"/>
        <item x="68"/>
        <item x="52"/>
        <item x="28"/>
        <item x="11"/>
        <item x="34"/>
        <item x="60"/>
        <item x="89"/>
        <item x="91"/>
        <item x="33"/>
        <item x="22"/>
        <item x="64"/>
      </items>
    </pivotField>
    <pivotField axis="axisRow" compact="0" outline="0" showAll="0" defaultSubtotal="0">
      <items count="9">
        <item x="8"/>
        <item x="6"/>
        <item x="0"/>
        <item x="1"/>
        <item x="2"/>
        <item x="4"/>
        <item x="5"/>
        <item x="7"/>
        <item x="3"/>
      </items>
    </pivotField>
    <pivotField axis="axisRow" compact="0" outline="0" showAll="0" defaultSubtotal="0">
      <items count="47">
        <item x="40"/>
        <item x="8"/>
        <item x="18"/>
        <item x="25"/>
        <item x="15"/>
        <item x="44"/>
        <item x="6"/>
        <item x="0"/>
        <item x="1"/>
        <item x="9"/>
        <item x="3"/>
        <item x="37"/>
        <item x="38"/>
        <item x="13"/>
        <item x="12"/>
        <item x="4"/>
        <item x="29"/>
        <item x="11"/>
        <item x="39"/>
        <item x="28"/>
        <item x="34"/>
        <item x="32"/>
        <item x="5"/>
        <item x="45"/>
        <item x="36"/>
        <item x="41"/>
        <item x="20"/>
        <item x="7"/>
        <item x="17"/>
        <item x="14"/>
        <item x="43"/>
        <item x="2"/>
        <item x="31"/>
        <item x="23"/>
        <item x="21"/>
        <item x="22"/>
        <item x="30"/>
        <item x="42"/>
        <item x="19"/>
        <item x="46"/>
        <item x="33"/>
        <item x="24"/>
        <item x="26"/>
        <item x="27"/>
        <item x="35"/>
        <item x="16"/>
        <item x="10"/>
      </items>
    </pivotField>
    <pivotField axis="axisRow" compact="0" outline="0" showAll="0" defaultSubtotal="0">
      <items count="74">
        <item x="50"/>
        <item x="67"/>
        <item x="28"/>
        <item x="4"/>
        <item x="2"/>
        <item x="72"/>
        <item x="52"/>
        <item x="9"/>
        <item x="41"/>
        <item x="70"/>
        <item x="6"/>
        <item x="35"/>
        <item x="16"/>
        <item x="23"/>
        <item x="59"/>
        <item x="42"/>
        <item x="43"/>
        <item x="55"/>
        <item x="29"/>
        <item x="24"/>
        <item x="61"/>
        <item x="19"/>
        <item x="62"/>
        <item x="27"/>
        <item x="65"/>
        <item x="37"/>
        <item x="26"/>
        <item x="38"/>
        <item x="44"/>
        <item x="56"/>
        <item x="34"/>
        <item x="17"/>
        <item x="64"/>
        <item x="7"/>
        <item x="18"/>
        <item x="5"/>
        <item x="48"/>
        <item x="33"/>
        <item x="66"/>
        <item x="10"/>
        <item x="15"/>
        <item x="0"/>
        <item x="8"/>
        <item x="13"/>
        <item x="12"/>
        <item x="46"/>
        <item x="69"/>
        <item x="51"/>
        <item x="3"/>
        <item x="31"/>
        <item x="32"/>
        <item x="73"/>
        <item x="54"/>
        <item x="47"/>
        <item x="57"/>
        <item x="60"/>
        <item x="63"/>
        <item x="14"/>
        <item x="58"/>
        <item x="71"/>
        <item x="39"/>
        <item x="25"/>
        <item x="68"/>
        <item x="36"/>
        <item x="30"/>
        <item x="49"/>
        <item x="40"/>
        <item x="21"/>
        <item x="20"/>
        <item x="11"/>
        <item x="1"/>
        <item x="53"/>
        <item x="22"/>
        <item x="45"/>
      </items>
    </pivotField>
    <pivotField axis="axisRow" compact="0" outline="0" showAll="0" defaultSubtotal="0">
      <items count="4">
        <item x="1"/>
        <item x="0"/>
        <item x="2"/>
        <item x="3"/>
      </items>
    </pivotField>
    <pivotField compact="0" outline="0" showAll="0"/>
    <pivotField compact="0" outline="0" showAll="0"/>
    <pivotField compact="0" outline="0" showAll="0"/>
    <pivotField compact="0" outline="0" showAll="0"/>
    <pivotField compact="0" outline="0" showAll="0"/>
    <pivotField compact="0" outline="0" showAll="0"/>
    <pivotField compact="0" numFmtId="165" outline="0" showAll="0"/>
    <pivotField compact="0" numFmtId="165" outline="0" showAll="0"/>
    <pivotField compact="0" outline="0" showAll="0"/>
    <pivotField compact="0" outline="0" showAll="0"/>
    <pivotField compact="0" numFmtId="165" outline="0" showAll="0"/>
    <pivotField compact="0" numFmtId="165" outline="0" showAll="0"/>
    <pivotField compact="0" outline="0" showAll="0"/>
    <pivotField compact="0" outline="0" showAll="0"/>
    <pivotField compact="0" numFmtId="165" outline="0" showAll="0"/>
    <pivotField compact="0" numFmtId="165" outline="0" showAll="0"/>
    <pivotField compact="0" numFmtId="165"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2"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2" outline="0" showAll="0"/>
    <pivotField compact="0" outline="0" showAll="0"/>
    <pivotField dataField="1" compact="0" numFmtId="2" outline="0" showAll="0"/>
    <pivotField dataField="1" compact="0" outline="0" showAll="0"/>
    <pivotField compact="0" outline="0" showAll="0"/>
    <pivotField compact="0" outline="0" showAll="0"/>
  </pivotFields>
  <rowFields count="6">
    <field x="0"/>
    <field x="1"/>
    <field x="2"/>
    <field x="3"/>
    <field x="4"/>
    <field x="5"/>
  </rowFields>
  <rowItems count="101">
    <i>
      <x v="59"/>
      <x v="92"/>
      <x v="2"/>
      <x v="7"/>
      <x v="67"/>
      <x v="1"/>
    </i>
    <i>
      <x v="26"/>
      <x v="56"/>
      <x v="2"/>
      <x v="7"/>
      <x v="41"/>
      <x v="1"/>
    </i>
    <i>
      <x v="15"/>
      <x v="35"/>
      <x v="2"/>
      <x v="13"/>
      <x v="68"/>
      <x v="1"/>
    </i>
    <i>
      <x v="51"/>
      <x v="82"/>
      <x v="2"/>
      <x v="8"/>
      <x v="70"/>
      <x v="1"/>
    </i>
    <i>
      <x v="65"/>
      <x v="12"/>
      <x v="3"/>
      <x v="31"/>
      <x v="4"/>
      <x/>
    </i>
    <i>
      <x v="41"/>
      <x v="73"/>
      <x v="3"/>
      <x v="10"/>
      <x v="48"/>
      <x v="1"/>
    </i>
    <i>
      <x v="64"/>
      <x v="11"/>
      <x v="2"/>
      <x v="7"/>
      <x v="3"/>
      <x/>
    </i>
    <i>
      <x v="17"/>
      <x v="37"/>
      <x v="3"/>
      <x v="15"/>
      <x v="35"/>
      <x v="1"/>
    </i>
    <i>
      <x v="66"/>
      <x v="49"/>
      <x v="4"/>
      <x v="22"/>
      <x v="10"/>
      <x/>
    </i>
    <i>
      <x v="12"/>
      <x v="29"/>
      <x v="3"/>
      <x v="10"/>
      <x v="33"/>
      <x v="1"/>
    </i>
    <i>
      <x v="29"/>
      <x v="59"/>
      <x v="2"/>
      <x v="8"/>
      <x v="42"/>
      <x v="1"/>
    </i>
    <i>
      <x v="36"/>
      <x v="67"/>
      <x v="2"/>
      <x v="8"/>
      <x v="70"/>
      <x v="1"/>
    </i>
    <i>
      <x v="37"/>
      <x v="68"/>
      <x v="3"/>
      <x v="31"/>
      <x v="7"/>
      <x v="1"/>
    </i>
    <i>
      <x v="32"/>
      <x v="93"/>
      <x v="2"/>
      <x v="8"/>
      <x v="42"/>
      <x v="1"/>
    </i>
    <i>
      <x v="7"/>
      <x v="20"/>
      <x v="2"/>
      <x v="6"/>
      <x v="39"/>
      <x v="1"/>
    </i>
    <i>
      <x v="88"/>
      <x v="43"/>
      <x v="2"/>
      <x v="7"/>
      <x v="3"/>
      <x v="2"/>
    </i>
    <i>
      <x v="74"/>
      <x v="8"/>
      <x v="3"/>
      <x v="31"/>
      <x v="69"/>
      <x v="2"/>
    </i>
    <i>
      <x v="84"/>
      <x v="32"/>
      <x v="3"/>
      <x v="10"/>
      <x v="33"/>
      <x v="2"/>
    </i>
    <i>
      <x v="92"/>
      <x v="55"/>
      <x v="3"/>
      <x v="31"/>
      <x v="69"/>
      <x v="2"/>
    </i>
    <i>
      <x v="57"/>
      <x v="89"/>
      <x v="8"/>
      <x v="27"/>
      <x v="44"/>
      <x v="1"/>
    </i>
    <i>
      <x v="33"/>
      <x v="63"/>
      <x v="4"/>
      <x v="1"/>
      <x v="43"/>
      <x v="1"/>
    </i>
    <i>
      <x v="80"/>
      <x v="24"/>
      <x v="3"/>
      <x v="31"/>
      <x v="57"/>
      <x v="2"/>
    </i>
    <i>
      <x v="91"/>
      <x v="54"/>
      <x v="3"/>
      <x v="31"/>
      <x v="69"/>
      <x v="2"/>
    </i>
    <i>
      <x v="82"/>
      <x v="27"/>
      <x v="2"/>
      <x v="9"/>
      <x v="40"/>
      <x v="2"/>
    </i>
    <i>
      <x v="63"/>
      <x v="99"/>
      <x v="3"/>
      <x v="46"/>
      <x v="12"/>
      <x v="1"/>
    </i>
    <i>
      <x v="2"/>
      <x v="10"/>
      <x v="2"/>
      <x v="7"/>
      <x v="3"/>
      <x v="1"/>
    </i>
    <i>
      <x v="20"/>
      <x v="42"/>
      <x v="5"/>
      <x v="17"/>
      <x v="31"/>
      <x v="1"/>
    </i>
    <i>
      <x v="78"/>
      <x v="17"/>
      <x v="3"/>
      <x v="14"/>
      <x v="34"/>
      <x v="2"/>
    </i>
    <i>
      <x v="11"/>
      <x v="28"/>
      <x v="3"/>
      <x v="10"/>
      <x v="21"/>
      <x v="1"/>
    </i>
    <i>
      <x v="86"/>
      <x v="40"/>
      <x v="5"/>
      <x v="29"/>
      <x v="72"/>
      <x v="2"/>
    </i>
    <i>
      <x v="89"/>
      <x v="44"/>
      <x v="2"/>
      <x v="7"/>
      <x v="13"/>
      <x v="2"/>
    </i>
    <i>
      <x v="81"/>
      <x v="25"/>
      <x v="3"/>
      <x v="10"/>
      <x v="19"/>
      <x v="2"/>
    </i>
    <i>
      <x v="6"/>
      <x v="19"/>
      <x v="6"/>
      <x v="4"/>
      <x v="61"/>
      <x v="1"/>
    </i>
    <i>
      <x v="62"/>
      <x v="98"/>
      <x v="8"/>
      <x v="45"/>
      <x v="26"/>
      <x v="1"/>
    </i>
    <i>
      <x v="94"/>
      <x v="94"/>
      <x v="3"/>
      <x v="31"/>
      <x v="69"/>
      <x v="2"/>
    </i>
    <i>
      <x v="70"/>
      <x v="2"/>
      <x v="3"/>
      <x v="28"/>
      <x v="23"/>
      <x v="2"/>
    </i>
    <i>
      <x/>
      <x v="4"/>
      <x v="1"/>
      <x v="2"/>
      <x v="2"/>
      <x v="1"/>
    </i>
    <i>
      <x v="87"/>
      <x v="41"/>
      <x v="3"/>
      <x v="28"/>
      <x v="23"/>
      <x v="2"/>
    </i>
    <i>
      <x v="47"/>
      <x v="78"/>
      <x v="7"/>
      <x v="38"/>
      <x v="18"/>
      <x v="1"/>
    </i>
    <i>
      <x v="27"/>
      <x v="57"/>
      <x v="2"/>
      <x v="8"/>
      <x v="42"/>
      <x v="1"/>
    </i>
    <i>
      <x v="25"/>
      <x v="53"/>
      <x v="3"/>
      <x v="26"/>
      <x v="64"/>
      <x v="1"/>
    </i>
    <i>
      <x v="42"/>
      <x v="74"/>
      <x v="5"/>
      <x v="34"/>
      <x v="49"/>
      <x v="1"/>
    </i>
    <i>
      <x v="43"/>
      <x v="75"/>
      <x v="7"/>
      <x v="35"/>
      <x v="50"/>
      <x v="1"/>
    </i>
    <i>
      <x v="39"/>
      <x v="71"/>
      <x v="6"/>
      <x v="33"/>
      <x v="37"/>
      <x v="1"/>
    </i>
    <i>
      <x v="55"/>
      <x v="87"/>
      <x v="3"/>
      <x v="41"/>
      <x v="30"/>
      <x v="1"/>
    </i>
    <i>
      <x v="5"/>
      <x v="18"/>
      <x v="1"/>
      <x v="3"/>
      <x v="11"/>
      <x v="1"/>
    </i>
    <i>
      <x v="56"/>
      <x v="88"/>
      <x v="5"/>
      <x v="42"/>
      <x v="63"/>
      <x v="1"/>
    </i>
    <i>
      <x v="67"/>
      <x v="64"/>
      <x v="4"/>
      <x v="1"/>
      <x v="43"/>
      <x/>
    </i>
    <i>
      <x v="54"/>
      <x v="86"/>
      <x v="3"/>
      <x v="41"/>
      <x v="25"/>
      <x v="1"/>
    </i>
    <i>
      <x v="8"/>
      <x v="21"/>
      <x v="2"/>
      <x v="6"/>
      <x v="27"/>
      <x v="1"/>
    </i>
    <i>
      <x v="77"/>
      <x v="16"/>
      <x v="3"/>
      <x v="10"/>
      <x v="33"/>
      <x v="2"/>
    </i>
    <i>
      <x v="76"/>
      <x v="14"/>
      <x v="3"/>
      <x v="10"/>
      <x v="60"/>
      <x v="2"/>
    </i>
    <i>
      <x v="93"/>
      <x v="91"/>
      <x v="6"/>
      <x v="43"/>
      <x v="66"/>
      <x v="2"/>
    </i>
    <i>
      <x v="3"/>
      <x v="13"/>
      <x v="3"/>
      <x v="31"/>
      <x v="4"/>
      <x v="1"/>
    </i>
    <i>
      <x v="21"/>
      <x v="45"/>
      <x v="4"/>
      <x v="19"/>
      <x v="8"/>
      <x v="1"/>
    </i>
    <i>
      <x v="19"/>
      <x v="39"/>
      <x v="8"/>
      <x v="16"/>
      <x v="15"/>
      <x v="1"/>
    </i>
    <i>
      <x v="44"/>
      <x v="76"/>
      <x v="2"/>
      <x v="36"/>
      <x v="16"/>
      <x v="1"/>
    </i>
    <i>
      <x v="10"/>
      <x v="26"/>
      <x v="2"/>
      <x v="8"/>
      <x v="42"/>
      <x v="1"/>
    </i>
    <i>
      <x v="31"/>
      <x v="62"/>
      <x v="2"/>
      <x v="8"/>
      <x v="42"/>
      <x v="1"/>
    </i>
    <i>
      <x v="75"/>
      <x v="9"/>
      <x v="3"/>
      <x v="28"/>
      <x v="23"/>
      <x v="2"/>
    </i>
    <i>
      <x v="95"/>
      <x v="95"/>
      <x v="3"/>
      <x v="28"/>
      <x v="23"/>
      <x v="2"/>
    </i>
    <i>
      <x v="72"/>
      <x v="5"/>
      <x v="5"/>
      <x v="29"/>
      <x v="72"/>
      <x v="2"/>
    </i>
    <i>
      <x v="9"/>
      <x v="23"/>
      <x v="1"/>
      <x v="2"/>
      <x v="28"/>
      <x v="1"/>
    </i>
    <i>
      <x v="38"/>
      <x v="69"/>
      <x v="3"/>
      <x v="31"/>
      <x v="69"/>
      <x v="1"/>
    </i>
    <i>
      <x v="96"/>
      <x v="100"/>
      <x v="3"/>
      <x v="10"/>
      <x v="73"/>
      <x v="2"/>
    </i>
    <i>
      <x v="34"/>
      <x v="65"/>
      <x v="5"/>
      <x v="29"/>
      <x v="45"/>
      <x v="1"/>
    </i>
    <i>
      <x v="69"/>
      <x v="1"/>
      <x v="3"/>
      <x v="32"/>
      <x v="53"/>
      <x v="2"/>
    </i>
    <i>
      <x v="23"/>
      <x v="48"/>
      <x v="7"/>
      <x v="21"/>
      <x v="36"/>
      <x v="1"/>
    </i>
    <i>
      <x v="58"/>
      <x v="90"/>
      <x v="3"/>
      <x v="14"/>
      <x v="65"/>
      <x v="1"/>
    </i>
    <i>
      <x v="99"/>
      <x v="85"/>
      <x v="4"/>
      <x v="40"/>
      <x/>
      <x v="3"/>
    </i>
    <i>
      <x v="40"/>
      <x v="72"/>
      <x v="6"/>
      <x v="33"/>
      <x v="47"/>
      <x v="1"/>
    </i>
    <i>
      <x v="83"/>
      <x v="31"/>
      <x v="8"/>
      <x v="16"/>
      <x v="6"/>
      <x v="2"/>
    </i>
    <i>
      <x v="22"/>
      <x v="46"/>
      <x v="4"/>
      <x v="19"/>
      <x v="71"/>
      <x v="1"/>
    </i>
    <i>
      <x v="90"/>
      <x v="47"/>
      <x v="3"/>
      <x v="20"/>
      <x v="52"/>
      <x v="2"/>
    </i>
    <i>
      <x v="68"/>
      <x/>
      <x v="3"/>
      <x v="28"/>
      <x v="23"/>
      <x v="2"/>
    </i>
    <i>
      <x v="71"/>
      <x v="3"/>
      <x v="3"/>
      <x v="28"/>
      <x v="23"/>
      <x v="2"/>
    </i>
    <i>
      <x v="73"/>
      <x v="6"/>
      <x v="2"/>
      <x v="9"/>
      <x v="17"/>
      <x v="2"/>
    </i>
    <i>
      <x v="35"/>
      <x v="66"/>
      <x v="5"/>
      <x v="29"/>
      <x v="29"/>
      <x v="1"/>
    </i>
    <i>
      <x v="52"/>
      <x v="83"/>
      <x v="2"/>
      <x v="7"/>
      <x v="58"/>
      <x v="1"/>
    </i>
    <i>
      <x v="48"/>
      <x v="79"/>
      <x v="2"/>
      <x v="7"/>
      <x v="54"/>
      <x v="1"/>
    </i>
    <i>
      <x v="79"/>
      <x v="22"/>
      <x v="8"/>
      <x v="44"/>
      <x v="14"/>
      <x v="2"/>
    </i>
    <i>
      <x v="24"/>
      <x v="51"/>
      <x v="3"/>
      <x v="24"/>
      <x v="55"/>
      <x v="1"/>
    </i>
    <i>
      <x v="13"/>
      <x v="30"/>
      <x v="7"/>
      <x v="11"/>
      <x v="20"/>
      <x v="1"/>
    </i>
    <i>
      <x v="14"/>
      <x v="34"/>
      <x v="3"/>
      <x v="12"/>
      <x v="22"/>
      <x v="1"/>
    </i>
    <i>
      <x v="85"/>
      <x v="33"/>
      <x v="4"/>
      <x v="1"/>
      <x v="56"/>
      <x v="2"/>
    </i>
    <i>
      <x v="28"/>
      <x v="58"/>
      <x v="2"/>
      <x v="8"/>
      <x v="42"/>
      <x v="1"/>
    </i>
    <i>
      <x v="30"/>
      <x v="60"/>
      <x v="2"/>
      <x v="8"/>
      <x v="32"/>
      <x v="1"/>
    </i>
    <i>
      <x v="18"/>
      <x v="38"/>
      <x v="3"/>
      <x v="15"/>
      <x v="24"/>
      <x v="1"/>
    </i>
    <i>
      <x v="1"/>
      <x v="7"/>
      <x v="2"/>
      <x v="18"/>
      <x v="38"/>
      <x v="1"/>
    </i>
    <i>
      <x v="60"/>
      <x v="96"/>
      <x v="8"/>
      <x v="44"/>
      <x v="1"/>
      <x v="1"/>
    </i>
    <i>
      <x v="100"/>
      <x v="61"/>
      <x/>
      <x/>
      <x/>
      <x v="3"/>
    </i>
    <i>
      <x v="61"/>
      <x v="97"/>
      <x v="4"/>
      <x v="1"/>
      <x v="62"/>
      <x v="1"/>
    </i>
    <i>
      <x v="98"/>
      <x v="52"/>
      <x v="4"/>
      <x v="25"/>
      <x/>
      <x v="3"/>
    </i>
    <i>
      <x v="45"/>
      <x v="70"/>
      <x v="3"/>
      <x v="32"/>
      <x v="46"/>
      <x v="1"/>
    </i>
    <i>
      <x v="16"/>
      <x v="36"/>
      <x v="3"/>
      <x v="28"/>
      <x v="23"/>
      <x v="1"/>
    </i>
    <i>
      <x v="46"/>
      <x v="77"/>
      <x v="6"/>
      <x v="37"/>
      <x v="9"/>
      <x v="1"/>
    </i>
    <i>
      <x v="50"/>
      <x v="81"/>
      <x v="4"/>
      <x v="1"/>
      <x v="56"/>
      <x v="1"/>
    </i>
    <i>
      <x v="53"/>
      <x v="84"/>
      <x v="6"/>
      <x v="30"/>
      <x v="59"/>
      <x v="1"/>
    </i>
    <i>
      <x v="4"/>
      <x v="15"/>
      <x v="2"/>
      <x v="5"/>
      <x v="5"/>
      <x v="1"/>
    </i>
    <i>
      <x v="97"/>
      <x v="50"/>
      <x v="2"/>
      <x v="23"/>
      <x/>
      <x v="3"/>
    </i>
    <i>
      <x v="49"/>
      <x v="80"/>
      <x v="6"/>
      <x v="39"/>
      <x v="51"/>
      <x v="1"/>
    </i>
  </rowItems>
  <colFields count="1">
    <field x="-2"/>
  </colFields>
  <colItems count="3">
    <i>
      <x/>
    </i>
    <i i="1">
      <x v="1"/>
    </i>
    <i i="2">
      <x v="2"/>
    </i>
  </colItems>
  <dataFields count="3">
    <dataField name=" Level 1 Score" fld="38" baseField="0" baseItem="0" numFmtId="2"/>
    <dataField name="Total_x000a_Score" fld="126" baseField="0" baseItem="0" numFmtId="2"/>
    <dataField name=" Total Score Rank" fld="127" baseField="0" baseItem="0"/>
  </dataFields>
  <formats count="2004">
    <format dxfId="2784">
      <pivotArea type="all" dataOnly="0" outline="0" fieldPosition="0"/>
    </format>
    <format dxfId="2783">
      <pivotArea outline="0" collapsedLevelsAreSubtotals="1" fieldPosition="0"/>
    </format>
    <format dxfId="2782">
      <pivotArea field="1" type="button" dataOnly="0" labelOnly="1" outline="0" axis="axisRow" fieldPosition="1"/>
    </format>
    <format dxfId="2781">
      <pivotArea field="2" type="button" dataOnly="0" labelOnly="1" outline="0" axis="axisRow" fieldPosition="2"/>
    </format>
    <format dxfId="2780">
      <pivotArea dataOnly="0" labelOnly="1" outline="0"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779">
      <pivotArea dataOnly="0" labelOnly="1" outline="0" fieldPosition="0">
        <references count="1">
          <reference field="1" count="48">
            <x v="50"/>
            <x v="51"/>
            <x v="52"/>
            <x v="54"/>
            <x v="55"/>
            <x v="56"/>
            <x v="57"/>
            <x v="58"/>
            <x v="59"/>
            <x v="60"/>
            <x v="61"/>
            <x v="62"/>
            <x v="63"/>
            <x v="64"/>
            <x v="65"/>
            <x v="66"/>
            <x v="67"/>
            <x v="68"/>
            <x v="69"/>
            <x v="70"/>
            <x v="71"/>
            <x v="72"/>
            <x v="73"/>
            <x v="74"/>
            <x v="75"/>
            <x v="76"/>
            <x v="77"/>
            <x v="78"/>
            <x v="79"/>
            <x v="80"/>
            <x v="81"/>
            <x v="82"/>
            <x v="83"/>
            <x v="84"/>
            <x v="85"/>
            <x v="86"/>
            <x v="87"/>
            <x v="89"/>
            <x v="90"/>
            <x v="91"/>
            <x v="92"/>
            <x v="93"/>
            <x v="94"/>
            <x v="95"/>
            <x v="96"/>
            <x v="97"/>
            <x v="98"/>
            <x v="99"/>
          </reference>
        </references>
      </pivotArea>
    </format>
    <format dxfId="2778">
      <pivotArea dataOnly="0" labelOnly="1" outline="0" fieldPosition="0">
        <references count="1">
          <reference field="1" count="1">
            <x v="100"/>
          </reference>
        </references>
      </pivotArea>
    </format>
    <format dxfId="2777">
      <pivotArea dataOnly="0" labelOnly="1" outline="0" fieldPosition="0">
        <references count="2">
          <reference field="1" count="1" selected="0">
            <x v="0"/>
          </reference>
          <reference field="2" count="1">
            <x v="3"/>
          </reference>
        </references>
      </pivotArea>
    </format>
    <format dxfId="2776">
      <pivotArea dataOnly="0" labelOnly="1" outline="0" fieldPosition="0">
        <references count="2">
          <reference field="1" count="1" selected="0">
            <x v="1"/>
          </reference>
          <reference field="2" count="1">
            <x v="3"/>
          </reference>
        </references>
      </pivotArea>
    </format>
    <format dxfId="2775">
      <pivotArea dataOnly="0" labelOnly="1" outline="0" fieldPosition="0">
        <references count="2">
          <reference field="1" count="1" selected="0">
            <x v="2"/>
          </reference>
          <reference field="2" count="1">
            <x v="3"/>
          </reference>
        </references>
      </pivotArea>
    </format>
    <format dxfId="2774">
      <pivotArea dataOnly="0" labelOnly="1" outline="0" fieldPosition="0">
        <references count="2">
          <reference field="1" count="1" selected="0">
            <x v="3"/>
          </reference>
          <reference field="2" count="1">
            <x v="3"/>
          </reference>
        </references>
      </pivotArea>
    </format>
    <format dxfId="2773">
      <pivotArea dataOnly="0" labelOnly="1" outline="0" fieldPosition="0">
        <references count="2">
          <reference field="1" count="1" selected="0">
            <x v="4"/>
          </reference>
          <reference field="2" count="1">
            <x v="1"/>
          </reference>
        </references>
      </pivotArea>
    </format>
    <format dxfId="2772">
      <pivotArea dataOnly="0" labelOnly="1" outline="0" fieldPosition="0">
        <references count="2">
          <reference field="1" count="1" selected="0">
            <x v="5"/>
          </reference>
          <reference field="2" count="1">
            <x v="5"/>
          </reference>
        </references>
      </pivotArea>
    </format>
    <format dxfId="2771">
      <pivotArea dataOnly="0" labelOnly="1" outline="0" fieldPosition="0">
        <references count="2">
          <reference field="1" count="1" selected="0">
            <x v="6"/>
          </reference>
          <reference field="2" count="1">
            <x v="2"/>
          </reference>
        </references>
      </pivotArea>
    </format>
    <format dxfId="2770">
      <pivotArea dataOnly="0" labelOnly="1" outline="0" fieldPosition="0">
        <references count="2">
          <reference field="1" count="1" selected="0">
            <x v="7"/>
          </reference>
          <reference field="2" count="1">
            <x v="2"/>
          </reference>
        </references>
      </pivotArea>
    </format>
    <format dxfId="2769">
      <pivotArea dataOnly="0" labelOnly="1" outline="0" fieldPosition="0">
        <references count="2">
          <reference field="1" count="1" selected="0">
            <x v="8"/>
          </reference>
          <reference field="2" count="1">
            <x v="3"/>
          </reference>
        </references>
      </pivotArea>
    </format>
    <format dxfId="2768">
      <pivotArea dataOnly="0" labelOnly="1" outline="0" fieldPosition="0">
        <references count="2">
          <reference field="1" count="1" selected="0">
            <x v="9"/>
          </reference>
          <reference field="2" count="1">
            <x v="3"/>
          </reference>
        </references>
      </pivotArea>
    </format>
    <format dxfId="2767">
      <pivotArea dataOnly="0" labelOnly="1" outline="0" fieldPosition="0">
        <references count="2">
          <reference field="1" count="1" selected="0">
            <x v="10"/>
          </reference>
          <reference field="2" count="1">
            <x v="2"/>
          </reference>
        </references>
      </pivotArea>
    </format>
    <format dxfId="2766">
      <pivotArea dataOnly="0" labelOnly="1" outline="0" fieldPosition="0">
        <references count="2">
          <reference field="1" count="1" selected="0">
            <x v="11"/>
          </reference>
          <reference field="2" count="1">
            <x v="2"/>
          </reference>
        </references>
      </pivotArea>
    </format>
    <format dxfId="2765">
      <pivotArea dataOnly="0" labelOnly="1" outline="0" fieldPosition="0">
        <references count="2">
          <reference field="1" count="1" selected="0">
            <x v="12"/>
          </reference>
          <reference field="2" count="1">
            <x v="3"/>
          </reference>
        </references>
      </pivotArea>
    </format>
    <format dxfId="2764">
      <pivotArea dataOnly="0" labelOnly="1" outline="0" fieldPosition="0">
        <references count="2">
          <reference field="1" count="1" selected="0">
            <x v="13"/>
          </reference>
          <reference field="2" count="1">
            <x v="3"/>
          </reference>
        </references>
      </pivotArea>
    </format>
    <format dxfId="2763">
      <pivotArea dataOnly="0" labelOnly="1" outline="0" fieldPosition="0">
        <references count="2">
          <reference field="1" count="1" selected="0">
            <x v="14"/>
          </reference>
          <reference field="2" count="1">
            <x v="3"/>
          </reference>
        </references>
      </pivotArea>
    </format>
    <format dxfId="2762">
      <pivotArea dataOnly="0" labelOnly="1" outline="0" fieldPosition="0">
        <references count="2">
          <reference field="1" count="1" selected="0">
            <x v="15"/>
          </reference>
          <reference field="2" count="1">
            <x v="2"/>
          </reference>
        </references>
      </pivotArea>
    </format>
    <format dxfId="2761">
      <pivotArea dataOnly="0" labelOnly="1" outline="0" fieldPosition="0">
        <references count="2">
          <reference field="1" count="1" selected="0">
            <x v="16"/>
          </reference>
          <reference field="2" count="1">
            <x v="3"/>
          </reference>
        </references>
      </pivotArea>
    </format>
    <format dxfId="2760">
      <pivotArea dataOnly="0" labelOnly="1" outline="0" fieldPosition="0">
        <references count="2">
          <reference field="1" count="1" selected="0">
            <x v="17"/>
          </reference>
          <reference field="2" count="1">
            <x v="3"/>
          </reference>
        </references>
      </pivotArea>
    </format>
    <format dxfId="2759">
      <pivotArea dataOnly="0" labelOnly="1" outline="0" fieldPosition="0">
        <references count="2">
          <reference field="1" count="1" selected="0">
            <x v="18"/>
          </reference>
          <reference field="2" count="1">
            <x v="1"/>
          </reference>
        </references>
      </pivotArea>
    </format>
    <format dxfId="2758">
      <pivotArea dataOnly="0" labelOnly="1" outline="0" fieldPosition="0">
        <references count="2">
          <reference field="1" count="1" selected="0">
            <x v="19"/>
          </reference>
          <reference field="2" count="1">
            <x v="6"/>
          </reference>
        </references>
      </pivotArea>
    </format>
    <format dxfId="2757">
      <pivotArea dataOnly="0" labelOnly="1" outline="0" fieldPosition="0">
        <references count="2">
          <reference field="1" count="1" selected="0">
            <x v="20"/>
          </reference>
          <reference field="2" count="1">
            <x v="2"/>
          </reference>
        </references>
      </pivotArea>
    </format>
    <format dxfId="2756">
      <pivotArea dataOnly="0" labelOnly="1" outline="0" fieldPosition="0">
        <references count="2">
          <reference field="1" count="1" selected="0">
            <x v="21"/>
          </reference>
          <reference field="2" count="1">
            <x v="2"/>
          </reference>
        </references>
      </pivotArea>
    </format>
    <format dxfId="2755">
      <pivotArea dataOnly="0" labelOnly="1" outline="0" fieldPosition="0">
        <references count="2">
          <reference field="1" count="1" selected="0">
            <x v="22"/>
          </reference>
          <reference field="2" count="1">
            <x v="8"/>
          </reference>
        </references>
      </pivotArea>
    </format>
    <format dxfId="2754">
      <pivotArea dataOnly="0" labelOnly="1" outline="0" fieldPosition="0">
        <references count="2">
          <reference field="1" count="1" selected="0">
            <x v="23"/>
          </reference>
          <reference field="2" count="1">
            <x v="1"/>
          </reference>
        </references>
      </pivotArea>
    </format>
    <format dxfId="2753">
      <pivotArea dataOnly="0" labelOnly="1" outline="0" fieldPosition="0">
        <references count="2">
          <reference field="1" count="1" selected="0">
            <x v="24"/>
          </reference>
          <reference field="2" count="1">
            <x v="3"/>
          </reference>
        </references>
      </pivotArea>
    </format>
    <format dxfId="2752">
      <pivotArea dataOnly="0" labelOnly="1" outline="0" fieldPosition="0">
        <references count="2">
          <reference field="1" count="1" selected="0">
            <x v="25"/>
          </reference>
          <reference field="2" count="1">
            <x v="3"/>
          </reference>
        </references>
      </pivotArea>
    </format>
    <format dxfId="2751">
      <pivotArea dataOnly="0" labelOnly="1" outline="0" fieldPosition="0">
        <references count="2">
          <reference field="1" count="1" selected="0">
            <x v="26"/>
          </reference>
          <reference field="2" count="1">
            <x v="2"/>
          </reference>
        </references>
      </pivotArea>
    </format>
    <format dxfId="2750">
      <pivotArea dataOnly="0" labelOnly="1" outline="0" fieldPosition="0">
        <references count="2">
          <reference field="1" count="1" selected="0">
            <x v="27"/>
          </reference>
          <reference field="2" count="1">
            <x v="2"/>
          </reference>
        </references>
      </pivotArea>
    </format>
    <format dxfId="2749">
      <pivotArea dataOnly="0" labelOnly="1" outline="0" fieldPosition="0">
        <references count="2">
          <reference field="1" count="1" selected="0">
            <x v="28"/>
          </reference>
          <reference field="2" count="1">
            <x v="3"/>
          </reference>
        </references>
      </pivotArea>
    </format>
    <format dxfId="2748">
      <pivotArea dataOnly="0" labelOnly="1" outline="0" fieldPosition="0">
        <references count="2">
          <reference field="1" count="1" selected="0">
            <x v="29"/>
          </reference>
          <reference field="2" count="1">
            <x v="3"/>
          </reference>
        </references>
      </pivotArea>
    </format>
    <format dxfId="2747">
      <pivotArea dataOnly="0" labelOnly="1" outline="0" fieldPosition="0">
        <references count="2">
          <reference field="1" count="1" selected="0">
            <x v="30"/>
          </reference>
          <reference field="2" count="1">
            <x v="7"/>
          </reference>
        </references>
      </pivotArea>
    </format>
    <format dxfId="2746">
      <pivotArea dataOnly="0" labelOnly="1" outline="0" fieldPosition="0">
        <references count="2">
          <reference field="1" count="1" selected="0">
            <x v="31"/>
          </reference>
          <reference field="2" count="1">
            <x v="8"/>
          </reference>
        </references>
      </pivotArea>
    </format>
    <format dxfId="2745">
      <pivotArea dataOnly="0" labelOnly="1" outline="0" fieldPosition="0">
        <references count="2">
          <reference field="1" count="1" selected="0">
            <x v="32"/>
          </reference>
          <reference field="2" count="1">
            <x v="3"/>
          </reference>
        </references>
      </pivotArea>
    </format>
    <format dxfId="2744">
      <pivotArea dataOnly="0" labelOnly="1" outline="0" fieldPosition="0">
        <references count="2">
          <reference field="1" count="1" selected="0">
            <x v="33"/>
          </reference>
          <reference field="2" count="1">
            <x v="4"/>
          </reference>
        </references>
      </pivotArea>
    </format>
    <format dxfId="2743">
      <pivotArea dataOnly="0" labelOnly="1" outline="0" fieldPosition="0">
        <references count="2">
          <reference field="1" count="1" selected="0">
            <x v="34"/>
          </reference>
          <reference field="2" count="1">
            <x v="3"/>
          </reference>
        </references>
      </pivotArea>
    </format>
    <format dxfId="2742">
      <pivotArea dataOnly="0" labelOnly="1" outline="0" fieldPosition="0">
        <references count="2">
          <reference field="1" count="1" selected="0">
            <x v="35"/>
          </reference>
          <reference field="2" count="1">
            <x v="2"/>
          </reference>
        </references>
      </pivotArea>
    </format>
    <format dxfId="2741">
      <pivotArea dataOnly="0" labelOnly="1" outline="0" fieldPosition="0">
        <references count="2">
          <reference field="1" count="1" selected="0">
            <x v="36"/>
          </reference>
          <reference field="2" count="1">
            <x v="3"/>
          </reference>
        </references>
      </pivotArea>
    </format>
    <format dxfId="2740">
      <pivotArea dataOnly="0" labelOnly="1" outline="0" fieldPosition="0">
        <references count="2">
          <reference field="1" count="1" selected="0">
            <x v="37"/>
          </reference>
          <reference field="2" count="1">
            <x v="3"/>
          </reference>
        </references>
      </pivotArea>
    </format>
    <format dxfId="2739">
      <pivotArea dataOnly="0" labelOnly="1" outline="0" fieldPosition="0">
        <references count="2">
          <reference field="1" count="1" selected="0">
            <x v="38"/>
          </reference>
          <reference field="2" count="1">
            <x v="3"/>
          </reference>
        </references>
      </pivotArea>
    </format>
    <format dxfId="2738">
      <pivotArea dataOnly="0" labelOnly="1" outline="0" fieldPosition="0">
        <references count="2">
          <reference field="1" count="1" selected="0">
            <x v="39"/>
          </reference>
          <reference field="2" count="1">
            <x v="8"/>
          </reference>
        </references>
      </pivotArea>
    </format>
    <format dxfId="2737">
      <pivotArea dataOnly="0" labelOnly="1" outline="0" fieldPosition="0">
        <references count="2">
          <reference field="1" count="1" selected="0">
            <x v="40"/>
          </reference>
          <reference field="2" count="1">
            <x v="5"/>
          </reference>
        </references>
      </pivotArea>
    </format>
    <format dxfId="2736">
      <pivotArea dataOnly="0" labelOnly="1" outline="0" fieldPosition="0">
        <references count="2">
          <reference field="1" count="1" selected="0">
            <x v="41"/>
          </reference>
          <reference field="2" count="1">
            <x v="3"/>
          </reference>
        </references>
      </pivotArea>
    </format>
    <format dxfId="2735">
      <pivotArea dataOnly="0" labelOnly="1" outline="0" fieldPosition="0">
        <references count="2">
          <reference field="1" count="1" selected="0">
            <x v="42"/>
          </reference>
          <reference field="2" count="1">
            <x v="5"/>
          </reference>
        </references>
      </pivotArea>
    </format>
    <format dxfId="2734">
      <pivotArea dataOnly="0" labelOnly="1" outline="0" fieldPosition="0">
        <references count="2">
          <reference field="1" count="1" selected="0">
            <x v="43"/>
          </reference>
          <reference field="2" count="1">
            <x v="2"/>
          </reference>
        </references>
      </pivotArea>
    </format>
    <format dxfId="2733">
      <pivotArea dataOnly="0" labelOnly="1" outline="0" fieldPosition="0">
        <references count="2">
          <reference field="1" count="1" selected="0">
            <x v="44"/>
          </reference>
          <reference field="2" count="1">
            <x v="2"/>
          </reference>
        </references>
      </pivotArea>
    </format>
    <format dxfId="2732">
      <pivotArea dataOnly="0" labelOnly="1" outline="0" fieldPosition="0">
        <references count="2">
          <reference field="1" count="1" selected="0">
            <x v="45"/>
          </reference>
          <reference field="2" count="1">
            <x v="4"/>
          </reference>
        </references>
      </pivotArea>
    </format>
    <format dxfId="2731">
      <pivotArea dataOnly="0" labelOnly="1" outline="0" fieldPosition="0">
        <references count="2">
          <reference field="1" count="1" selected="0">
            <x v="46"/>
          </reference>
          <reference field="2" count="1">
            <x v="4"/>
          </reference>
        </references>
      </pivotArea>
    </format>
    <format dxfId="2730">
      <pivotArea dataOnly="0" labelOnly="1" outline="0" fieldPosition="0">
        <references count="2">
          <reference field="1" count="1" selected="0">
            <x v="47"/>
          </reference>
          <reference field="2" count="1">
            <x v="3"/>
          </reference>
        </references>
      </pivotArea>
    </format>
    <format dxfId="2729">
      <pivotArea dataOnly="0" labelOnly="1" outline="0" fieldPosition="0">
        <references count="2">
          <reference field="1" count="1" selected="0">
            <x v="48"/>
          </reference>
          <reference field="2" count="1">
            <x v="7"/>
          </reference>
        </references>
      </pivotArea>
    </format>
    <format dxfId="2728">
      <pivotArea dataOnly="0" labelOnly="1" outline="0" fieldPosition="0">
        <references count="2">
          <reference field="1" count="1" selected="0">
            <x v="49"/>
          </reference>
          <reference field="2" count="1">
            <x v="4"/>
          </reference>
        </references>
      </pivotArea>
    </format>
    <format dxfId="2727">
      <pivotArea dataOnly="0" labelOnly="1" outline="0" fieldPosition="0">
        <references count="2">
          <reference field="1" count="1" selected="0">
            <x v="50"/>
          </reference>
          <reference field="2" count="1">
            <x v="2"/>
          </reference>
        </references>
      </pivotArea>
    </format>
    <format dxfId="2726">
      <pivotArea dataOnly="0" labelOnly="1" outline="0" fieldPosition="0">
        <references count="2">
          <reference field="1" count="1" selected="0">
            <x v="51"/>
          </reference>
          <reference field="2" count="1">
            <x v="3"/>
          </reference>
        </references>
      </pivotArea>
    </format>
    <format dxfId="2725">
      <pivotArea dataOnly="0" labelOnly="1" outline="0" fieldPosition="0">
        <references count="2">
          <reference field="1" count="1" selected="0">
            <x v="52"/>
          </reference>
          <reference field="2" count="1">
            <x v="4"/>
          </reference>
        </references>
      </pivotArea>
    </format>
    <format dxfId="2724">
      <pivotArea dataOnly="0" labelOnly="1" outline="0" fieldPosition="0">
        <references count="2">
          <reference field="1" count="1" selected="0">
            <x v="54"/>
          </reference>
          <reference field="2" count="1">
            <x v="3"/>
          </reference>
        </references>
      </pivotArea>
    </format>
    <format dxfId="2723">
      <pivotArea dataOnly="0" labelOnly="1" outline="0" fieldPosition="0">
        <references count="2">
          <reference field="1" count="1" selected="0">
            <x v="55"/>
          </reference>
          <reference field="2" count="1">
            <x v="3"/>
          </reference>
        </references>
      </pivotArea>
    </format>
    <format dxfId="2722">
      <pivotArea dataOnly="0" labelOnly="1" outline="0" fieldPosition="0">
        <references count="2">
          <reference field="1" count="1" selected="0">
            <x v="56"/>
          </reference>
          <reference field="2" count="1">
            <x v="2"/>
          </reference>
        </references>
      </pivotArea>
    </format>
    <format dxfId="2721">
      <pivotArea dataOnly="0" labelOnly="1" outline="0" fieldPosition="0">
        <references count="2">
          <reference field="1" count="1" selected="0">
            <x v="57"/>
          </reference>
          <reference field="2" count="1">
            <x v="2"/>
          </reference>
        </references>
      </pivotArea>
    </format>
    <format dxfId="2720">
      <pivotArea dataOnly="0" labelOnly="1" outline="0" fieldPosition="0">
        <references count="2">
          <reference field="1" count="1" selected="0">
            <x v="58"/>
          </reference>
          <reference field="2" count="1">
            <x v="2"/>
          </reference>
        </references>
      </pivotArea>
    </format>
    <format dxfId="2719">
      <pivotArea dataOnly="0" labelOnly="1" outline="0" fieldPosition="0">
        <references count="2">
          <reference field="1" count="1" selected="0">
            <x v="59"/>
          </reference>
          <reference field="2" count="1">
            <x v="2"/>
          </reference>
        </references>
      </pivotArea>
    </format>
    <format dxfId="2718">
      <pivotArea dataOnly="0" labelOnly="1" outline="0" fieldPosition="0">
        <references count="2">
          <reference field="1" count="1" selected="0">
            <x v="60"/>
          </reference>
          <reference field="2" count="1">
            <x v="2"/>
          </reference>
        </references>
      </pivotArea>
    </format>
    <format dxfId="2717">
      <pivotArea dataOnly="0" labelOnly="1" outline="0" fieldPosition="0">
        <references count="2">
          <reference field="1" count="1" selected="0">
            <x v="61"/>
          </reference>
          <reference field="2" count="1">
            <x v="0"/>
          </reference>
        </references>
      </pivotArea>
    </format>
    <format dxfId="2716">
      <pivotArea dataOnly="0" labelOnly="1" outline="0" fieldPosition="0">
        <references count="2">
          <reference field="1" count="1" selected="0">
            <x v="62"/>
          </reference>
          <reference field="2" count="1">
            <x v="2"/>
          </reference>
        </references>
      </pivotArea>
    </format>
    <format dxfId="2715">
      <pivotArea dataOnly="0" labelOnly="1" outline="0" fieldPosition="0">
        <references count="2">
          <reference field="1" count="1" selected="0">
            <x v="63"/>
          </reference>
          <reference field="2" count="1">
            <x v="4"/>
          </reference>
        </references>
      </pivotArea>
    </format>
    <format dxfId="2714">
      <pivotArea dataOnly="0" labelOnly="1" outline="0" fieldPosition="0">
        <references count="2">
          <reference field="1" count="1" selected="0">
            <x v="64"/>
          </reference>
          <reference field="2" count="1">
            <x v="4"/>
          </reference>
        </references>
      </pivotArea>
    </format>
    <format dxfId="2713">
      <pivotArea dataOnly="0" labelOnly="1" outline="0" fieldPosition="0">
        <references count="2">
          <reference field="1" count="1" selected="0">
            <x v="65"/>
          </reference>
          <reference field="2" count="1">
            <x v="5"/>
          </reference>
        </references>
      </pivotArea>
    </format>
    <format dxfId="2712">
      <pivotArea dataOnly="0" labelOnly="1" outline="0" fieldPosition="0">
        <references count="2">
          <reference field="1" count="1" selected="0">
            <x v="66"/>
          </reference>
          <reference field="2" count="1">
            <x v="5"/>
          </reference>
        </references>
      </pivotArea>
    </format>
    <format dxfId="2711">
      <pivotArea dataOnly="0" labelOnly="1" outline="0" fieldPosition="0">
        <references count="2">
          <reference field="1" count="1" selected="0">
            <x v="67"/>
          </reference>
          <reference field="2" count="1">
            <x v="2"/>
          </reference>
        </references>
      </pivotArea>
    </format>
    <format dxfId="2710">
      <pivotArea dataOnly="0" labelOnly="1" outline="0" fieldPosition="0">
        <references count="2">
          <reference field="1" count="1" selected="0">
            <x v="68"/>
          </reference>
          <reference field="2" count="1">
            <x v="3"/>
          </reference>
        </references>
      </pivotArea>
    </format>
    <format dxfId="2709">
      <pivotArea dataOnly="0" labelOnly="1" outline="0" fieldPosition="0">
        <references count="2">
          <reference field="1" count="1" selected="0">
            <x v="69"/>
          </reference>
          <reference field="2" count="1">
            <x v="3"/>
          </reference>
        </references>
      </pivotArea>
    </format>
    <format dxfId="2708">
      <pivotArea dataOnly="0" labelOnly="1" outline="0" fieldPosition="0">
        <references count="2">
          <reference field="1" count="1" selected="0">
            <x v="70"/>
          </reference>
          <reference field="2" count="1">
            <x v="3"/>
          </reference>
        </references>
      </pivotArea>
    </format>
    <format dxfId="2707">
      <pivotArea dataOnly="0" labelOnly="1" outline="0" fieldPosition="0">
        <references count="2">
          <reference field="1" count="1" selected="0">
            <x v="71"/>
          </reference>
          <reference field="2" count="1">
            <x v="6"/>
          </reference>
        </references>
      </pivotArea>
    </format>
    <format dxfId="2706">
      <pivotArea dataOnly="0" labelOnly="1" outline="0" fieldPosition="0">
        <references count="2">
          <reference field="1" count="1" selected="0">
            <x v="72"/>
          </reference>
          <reference field="2" count="1">
            <x v="6"/>
          </reference>
        </references>
      </pivotArea>
    </format>
    <format dxfId="2705">
      <pivotArea dataOnly="0" labelOnly="1" outline="0" fieldPosition="0">
        <references count="2">
          <reference field="1" count="1" selected="0">
            <x v="73"/>
          </reference>
          <reference field="2" count="1">
            <x v="3"/>
          </reference>
        </references>
      </pivotArea>
    </format>
    <format dxfId="2704">
      <pivotArea dataOnly="0" labelOnly="1" outline="0" fieldPosition="0">
        <references count="2">
          <reference field="1" count="1" selected="0">
            <x v="74"/>
          </reference>
          <reference field="2" count="1">
            <x v="5"/>
          </reference>
        </references>
      </pivotArea>
    </format>
    <format dxfId="2703">
      <pivotArea dataOnly="0" labelOnly="1" outline="0" fieldPosition="0">
        <references count="2">
          <reference field="1" count="1" selected="0">
            <x v="75"/>
          </reference>
          <reference field="2" count="1">
            <x v="7"/>
          </reference>
        </references>
      </pivotArea>
    </format>
    <format dxfId="2702">
      <pivotArea dataOnly="0" labelOnly="1" outline="0" fieldPosition="0">
        <references count="2">
          <reference field="1" count="1" selected="0">
            <x v="76"/>
          </reference>
          <reference field="2" count="1">
            <x v="2"/>
          </reference>
        </references>
      </pivotArea>
    </format>
    <format dxfId="2701">
      <pivotArea dataOnly="0" labelOnly="1" outline="0" fieldPosition="0">
        <references count="2">
          <reference field="1" count="1" selected="0">
            <x v="77"/>
          </reference>
          <reference field="2" count="1">
            <x v="6"/>
          </reference>
        </references>
      </pivotArea>
    </format>
    <format dxfId="2700">
      <pivotArea dataOnly="0" labelOnly="1" outline="0" fieldPosition="0">
        <references count="2">
          <reference field="1" count="1" selected="0">
            <x v="78"/>
          </reference>
          <reference field="2" count="1">
            <x v="7"/>
          </reference>
        </references>
      </pivotArea>
    </format>
    <format dxfId="2699">
      <pivotArea dataOnly="0" labelOnly="1" outline="0" fieldPosition="0">
        <references count="2">
          <reference field="1" count="1" selected="0">
            <x v="79"/>
          </reference>
          <reference field="2" count="1">
            <x v="2"/>
          </reference>
        </references>
      </pivotArea>
    </format>
    <format dxfId="2698">
      <pivotArea dataOnly="0" labelOnly="1" outline="0" fieldPosition="0">
        <references count="2">
          <reference field="1" count="1" selected="0">
            <x v="80"/>
          </reference>
          <reference field="2" count="1">
            <x v="6"/>
          </reference>
        </references>
      </pivotArea>
    </format>
    <format dxfId="2697">
      <pivotArea dataOnly="0" labelOnly="1" outline="0" fieldPosition="0">
        <references count="2">
          <reference field="1" count="1" selected="0">
            <x v="81"/>
          </reference>
          <reference field="2" count="1">
            <x v="4"/>
          </reference>
        </references>
      </pivotArea>
    </format>
    <format dxfId="2696">
      <pivotArea dataOnly="0" labelOnly="1" outline="0" fieldPosition="0">
        <references count="2">
          <reference field="1" count="1" selected="0">
            <x v="82"/>
          </reference>
          <reference field="2" count="1">
            <x v="2"/>
          </reference>
        </references>
      </pivotArea>
    </format>
    <format dxfId="2695">
      <pivotArea dataOnly="0" labelOnly="1" outline="0" fieldPosition="0">
        <references count="2">
          <reference field="1" count="1" selected="0">
            <x v="83"/>
          </reference>
          <reference field="2" count="1">
            <x v="2"/>
          </reference>
        </references>
      </pivotArea>
    </format>
    <format dxfId="2694">
      <pivotArea dataOnly="0" labelOnly="1" outline="0" fieldPosition="0">
        <references count="2">
          <reference field="1" count="1" selected="0">
            <x v="84"/>
          </reference>
          <reference field="2" count="1">
            <x v="6"/>
          </reference>
        </references>
      </pivotArea>
    </format>
    <format dxfId="2693">
      <pivotArea dataOnly="0" labelOnly="1" outline="0" fieldPosition="0">
        <references count="2">
          <reference field="1" count="1" selected="0">
            <x v="85"/>
          </reference>
          <reference field="2" count="1">
            <x v="4"/>
          </reference>
        </references>
      </pivotArea>
    </format>
    <format dxfId="2692">
      <pivotArea dataOnly="0" labelOnly="1" outline="0" fieldPosition="0">
        <references count="2">
          <reference field="1" count="1" selected="0">
            <x v="86"/>
          </reference>
          <reference field="2" count="1">
            <x v="3"/>
          </reference>
        </references>
      </pivotArea>
    </format>
    <format dxfId="2691">
      <pivotArea dataOnly="0" labelOnly="1" outline="0" fieldPosition="0">
        <references count="2">
          <reference field="1" count="1" selected="0">
            <x v="87"/>
          </reference>
          <reference field="2" count="1">
            <x v="3"/>
          </reference>
        </references>
      </pivotArea>
    </format>
    <format dxfId="2690">
      <pivotArea dataOnly="0" labelOnly="1" outline="0" fieldPosition="0">
        <references count="2">
          <reference field="1" count="1" selected="0">
            <x v="89"/>
          </reference>
          <reference field="2" count="1">
            <x v="8"/>
          </reference>
        </references>
      </pivotArea>
    </format>
    <format dxfId="2689">
      <pivotArea dataOnly="0" labelOnly="1" outline="0" fieldPosition="0">
        <references count="2">
          <reference field="1" count="1" selected="0">
            <x v="90"/>
          </reference>
          <reference field="2" count="1">
            <x v="3"/>
          </reference>
        </references>
      </pivotArea>
    </format>
    <format dxfId="2688">
      <pivotArea dataOnly="0" labelOnly="1" outline="0" fieldPosition="0">
        <references count="2">
          <reference field="1" count="1" selected="0">
            <x v="91"/>
          </reference>
          <reference field="2" count="1">
            <x v="6"/>
          </reference>
        </references>
      </pivotArea>
    </format>
    <format dxfId="2687">
      <pivotArea dataOnly="0" labelOnly="1" outline="0" fieldPosition="0">
        <references count="2">
          <reference field="1" count="1" selected="0">
            <x v="92"/>
          </reference>
          <reference field="2" count="1">
            <x v="2"/>
          </reference>
        </references>
      </pivotArea>
    </format>
    <format dxfId="2686">
      <pivotArea dataOnly="0" labelOnly="1" outline="0" fieldPosition="0">
        <references count="2">
          <reference field="1" count="1" selected="0">
            <x v="93"/>
          </reference>
          <reference field="2" count="1">
            <x v="2"/>
          </reference>
        </references>
      </pivotArea>
    </format>
    <format dxfId="2685">
      <pivotArea dataOnly="0" labelOnly="1" outline="0" fieldPosition="0">
        <references count="2">
          <reference field="1" count="1" selected="0">
            <x v="94"/>
          </reference>
          <reference field="2" count="1">
            <x v="3"/>
          </reference>
        </references>
      </pivotArea>
    </format>
    <format dxfId="2684">
      <pivotArea dataOnly="0" labelOnly="1" outline="0" fieldPosition="0">
        <references count="2">
          <reference field="1" count="1" selected="0">
            <x v="95"/>
          </reference>
          <reference field="2" count="1">
            <x v="3"/>
          </reference>
        </references>
      </pivotArea>
    </format>
    <format dxfId="2683">
      <pivotArea dataOnly="0" labelOnly="1" outline="0" fieldPosition="0">
        <references count="2">
          <reference field="1" count="1" selected="0">
            <x v="96"/>
          </reference>
          <reference field="2" count="1">
            <x v="8"/>
          </reference>
        </references>
      </pivotArea>
    </format>
    <format dxfId="2682">
      <pivotArea dataOnly="0" labelOnly="1" outline="0" fieldPosition="0">
        <references count="2">
          <reference field="1" count="1" selected="0">
            <x v="97"/>
          </reference>
          <reference field="2" count="1">
            <x v="4"/>
          </reference>
        </references>
      </pivotArea>
    </format>
    <format dxfId="2681">
      <pivotArea dataOnly="0" labelOnly="1" outline="0" fieldPosition="0">
        <references count="2">
          <reference field="1" count="1" selected="0">
            <x v="98"/>
          </reference>
          <reference field="2" count="1">
            <x v="8"/>
          </reference>
        </references>
      </pivotArea>
    </format>
    <format dxfId="2680">
      <pivotArea dataOnly="0" labelOnly="1" outline="0" fieldPosition="0">
        <references count="2">
          <reference field="1" count="1" selected="0">
            <x v="99"/>
          </reference>
          <reference field="2" count="1">
            <x v="3"/>
          </reference>
        </references>
      </pivotArea>
    </format>
    <format dxfId="2679">
      <pivotArea dataOnly="0" labelOnly="1" outline="0" fieldPosition="0">
        <references count="2">
          <reference field="1" count="1" selected="0">
            <x v="100"/>
          </reference>
          <reference field="2" count="1">
            <x v="3"/>
          </reference>
        </references>
      </pivotArea>
    </format>
    <format dxfId="2678">
      <pivotArea field="1" type="button" dataOnly="0" labelOnly="1" outline="0" axis="axisRow" fieldPosition="1"/>
    </format>
    <format dxfId="2677">
      <pivotArea field="2" type="button" dataOnly="0" labelOnly="1" outline="0" axis="axisRow" fieldPosition="2"/>
    </format>
    <format dxfId="2676">
      <pivotArea field="0" type="button" dataOnly="0" labelOnly="1" outline="0" axis="axisRow" fieldPosition="0"/>
    </format>
    <format dxfId="2675">
      <pivotArea dataOnly="0" labelOnly="1" outline="0"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674">
      <pivotArea dataOnly="0" labelOnly="1" outline="0"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673">
      <pivotArea dataOnly="0" labelOnly="1" outline="0" fieldPosition="0">
        <references count="1">
          <reference field="0" count="1">
            <x v="100"/>
          </reference>
        </references>
      </pivotArea>
    </format>
    <format dxfId="2672">
      <pivotArea dataOnly="0" labelOnly="1" grandRow="1" outline="0" fieldPosition="0"/>
    </format>
    <format dxfId="2671">
      <pivotArea field="0" type="button" dataOnly="0" labelOnly="1" outline="0" axis="axisRow" fieldPosition="0"/>
    </format>
    <format dxfId="2670">
      <pivotArea dataOnly="0" labelOnly="1" outline="0"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669">
      <pivotArea dataOnly="0" labelOnly="1" outline="0"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668">
      <pivotArea dataOnly="0" labelOnly="1" outline="0" fieldPosition="0">
        <references count="1">
          <reference field="0" count="1">
            <x v="100"/>
          </reference>
        </references>
      </pivotArea>
    </format>
    <format dxfId="2667">
      <pivotArea dataOnly="0" labelOnly="1" grandRow="1" outline="0" fieldPosition="0"/>
    </format>
    <format dxfId="2666">
      <pivotArea type="all" dataOnly="0" outline="0" fieldPosition="0"/>
    </format>
    <format dxfId="2665">
      <pivotArea outline="0" collapsedLevelsAreSubtotals="1" fieldPosition="0"/>
    </format>
    <format dxfId="2664">
      <pivotArea field="0" type="button" dataOnly="0" labelOnly="1" outline="0" axis="axisRow" fieldPosition="0"/>
    </format>
    <format dxfId="2663">
      <pivotArea field="1" type="button" dataOnly="0" labelOnly="1" outline="0" axis="axisRow" fieldPosition="1"/>
    </format>
    <format dxfId="2662">
      <pivotArea field="2" type="button" dataOnly="0" labelOnly="1" outline="0" axis="axisRow" fieldPosition="2"/>
    </format>
    <format dxfId="2661">
      <pivotArea field="3" type="button" dataOnly="0" labelOnly="1" outline="0" axis="axisRow" fieldPosition="3"/>
    </format>
    <format dxfId="2660">
      <pivotArea field="4" type="button" dataOnly="0" labelOnly="1" outline="0" axis="axisRow" fieldPosition="4"/>
    </format>
    <format dxfId="2659">
      <pivotArea field="5" type="button" dataOnly="0" labelOnly="1" outline="0" axis="axisRow" fieldPosition="5"/>
    </format>
    <format dxfId="2658">
      <pivotArea dataOnly="0" labelOnly="1" outline="0"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657">
      <pivotArea dataOnly="0" labelOnly="1" outline="0"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656">
      <pivotArea dataOnly="0" labelOnly="1" outline="0" fieldPosition="0">
        <references count="1">
          <reference field="0" count="1">
            <x v="100"/>
          </reference>
        </references>
      </pivotArea>
    </format>
    <format dxfId="2655">
      <pivotArea dataOnly="0" labelOnly="1" grandRow="1" outline="0" fieldPosition="0"/>
    </format>
    <format dxfId="2654">
      <pivotArea dataOnly="0" labelOnly="1" outline="0" fieldPosition="0">
        <references count="2">
          <reference field="0" count="1" selected="0">
            <x v="0"/>
          </reference>
          <reference field="1" count="1">
            <x v="4"/>
          </reference>
        </references>
      </pivotArea>
    </format>
    <format dxfId="2653">
      <pivotArea dataOnly="0" labelOnly="1" outline="0" fieldPosition="0">
        <references count="2">
          <reference field="0" count="1" selected="0">
            <x v="1"/>
          </reference>
          <reference field="1" count="1">
            <x v="7"/>
          </reference>
        </references>
      </pivotArea>
    </format>
    <format dxfId="2652">
      <pivotArea dataOnly="0" labelOnly="1" outline="0" fieldPosition="0">
        <references count="2">
          <reference field="0" count="1" selected="0">
            <x v="2"/>
          </reference>
          <reference field="1" count="1">
            <x v="10"/>
          </reference>
        </references>
      </pivotArea>
    </format>
    <format dxfId="2651">
      <pivotArea dataOnly="0" labelOnly="1" outline="0" fieldPosition="0">
        <references count="2">
          <reference field="0" count="1" selected="0">
            <x v="3"/>
          </reference>
          <reference field="1" count="1">
            <x v="13"/>
          </reference>
        </references>
      </pivotArea>
    </format>
    <format dxfId="2650">
      <pivotArea dataOnly="0" labelOnly="1" outline="0" fieldPosition="0">
        <references count="2">
          <reference field="0" count="1" selected="0">
            <x v="4"/>
          </reference>
          <reference field="1" count="1">
            <x v="15"/>
          </reference>
        </references>
      </pivotArea>
    </format>
    <format dxfId="2649">
      <pivotArea dataOnly="0" labelOnly="1" outline="0" fieldPosition="0">
        <references count="2">
          <reference field="0" count="1" selected="0">
            <x v="5"/>
          </reference>
          <reference field="1" count="1">
            <x v="18"/>
          </reference>
        </references>
      </pivotArea>
    </format>
    <format dxfId="2648">
      <pivotArea dataOnly="0" labelOnly="1" outline="0" fieldPosition="0">
        <references count="2">
          <reference field="0" count="1" selected="0">
            <x v="6"/>
          </reference>
          <reference field="1" count="1">
            <x v="19"/>
          </reference>
        </references>
      </pivotArea>
    </format>
    <format dxfId="2647">
      <pivotArea dataOnly="0" labelOnly="1" outline="0" fieldPosition="0">
        <references count="2">
          <reference field="0" count="1" selected="0">
            <x v="7"/>
          </reference>
          <reference field="1" count="1">
            <x v="20"/>
          </reference>
        </references>
      </pivotArea>
    </format>
    <format dxfId="2646">
      <pivotArea dataOnly="0" labelOnly="1" outline="0" fieldPosition="0">
        <references count="2">
          <reference field="0" count="1" selected="0">
            <x v="8"/>
          </reference>
          <reference field="1" count="1">
            <x v="21"/>
          </reference>
        </references>
      </pivotArea>
    </format>
    <format dxfId="2645">
      <pivotArea dataOnly="0" labelOnly="1" outline="0" fieldPosition="0">
        <references count="2">
          <reference field="0" count="1" selected="0">
            <x v="9"/>
          </reference>
          <reference field="1" count="1">
            <x v="23"/>
          </reference>
        </references>
      </pivotArea>
    </format>
    <format dxfId="2644">
      <pivotArea dataOnly="0" labelOnly="1" outline="0" fieldPosition="0">
        <references count="2">
          <reference field="0" count="1" selected="0">
            <x v="10"/>
          </reference>
          <reference field="1" count="1">
            <x v="26"/>
          </reference>
        </references>
      </pivotArea>
    </format>
    <format dxfId="2643">
      <pivotArea dataOnly="0" labelOnly="1" outline="0" fieldPosition="0">
        <references count="2">
          <reference field="0" count="1" selected="0">
            <x v="11"/>
          </reference>
          <reference field="1" count="1">
            <x v="28"/>
          </reference>
        </references>
      </pivotArea>
    </format>
    <format dxfId="2642">
      <pivotArea dataOnly="0" labelOnly="1" outline="0" fieldPosition="0">
        <references count="2">
          <reference field="0" count="1" selected="0">
            <x v="12"/>
          </reference>
          <reference field="1" count="1">
            <x v="29"/>
          </reference>
        </references>
      </pivotArea>
    </format>
    <format dxfId="2641">
      <pivotArea dataOnly="0" labelOnly="1" outline="0" fieldPosition="0">
        <references count="2">
          <reference field="0" count="1" selected="0">
            <x v="13"/>
          </reference>
          <reference field="1" count="1">
            <x v="30"/>
          </reference>
        </references>
      </pivotArea>
    </format>
    <format dxfId="2640">
      <pivotArea dataOnly="0" labelOnly="1" outline="0" fieldPosition="0">
        <references count="2">
          <reference field="0" count="1" selected="0">
            <x v="14"/>
          </reference>
          <reference field="1" count="1">
            <x v="34"/>
          </reference>
        </references>
      </pivotArea>
    </format>
    <format dxfId="2639">
      <pivotArea dataOnly="0" labelOnly="1" outline="0" fieldPosition="0">
        <references count="2">
          <reference field="0" count="1" selected="0">
            <x v="15"/>
          </reference>
          <reference field="1" count="1">
            <x v="35"/>
          </reference>
        </references>
      </pivotArea>
    </format>
    <format dxfId="2638">
      <pivotArea dataOnly="0" labelOnly="1" outline="0" fieldPosition="0">
        <references count="2">
          <reference field="0" count="1" selected="0">
            <x v="16"/>
          </reference>
          <reference field="1" count="1">
            <x v="36"/>
          </reference>
        </references>
      </pivotArea>
    </format>
    <format dxfId="2637">
      <pivotArea dataOnly="0" labelOnly="1" outline="0" fieldPosition="0">
        <references count="2">
          <reference field="0" count="1" selected="0">
            <x v="17"/>
          </reference>
          <reference field="1" count="1">
            <x v="37"/>
          </reference>
        </references>
      </pivotArea>
    </format>
    <format dxfId="2636">
      <pivotArea dataOnly="0" labelOnly="1" outline="0" fieldPosition="0">
        <references count="2">
          <reference field="0" count="1" selected="0">
            <x v="18"/>
          </reference>
          <reference field="1" count="1">
            <x v="38"/>
          </reference>
        </references>
      </pivotArea>
    </format>
    <format dxfId="2635">
      <pivotArea dataOnly="0" labelOnly="1" outline="0" fieldPosition="0">
        <references count="2">
          <reference field="0" count="1" selected="0">
            <x v="19"/>
          </reference>
          <reference field="1" count="1">
            <x v="39"/>
          </reference>
        </references>
      </pivotArea>
    </format>
    <format dxfId="2634">
      <pivotArea dataOnly="0" labelOnly="1" outline="0" fieldPosition="0">
        <references count="2">
          <reference field="0" count="1" selected="0">
            <x v="20"/>
          </reference>
          <reference field="1" count="1">
            <x v="42"/>
          </reference>
        </references>
      </pivotArea>
    </format>
    <format dxfId="2633">
      <pivotArea dataOnly="0" labelOnly="1" outline="0" fieldPosition="0">
        <references count="2">
          <reference field="0" count="1" selected="0">
            <x v="21"/>
          </reference>
          <reference field="1" count="1">
            <x v="45"/>
          </reference>
        </references>
      </pivotArea>
    </format>
    <format dxfId="2632">
      <pivotArea dataOnly="0" labelOnly="1" outline="0" fieldPosition="0">
        <references count="2">
          <reference field="0" count="1" selected="0">
            <x v="22"/>
          </reference>
          <reference field="1" count="1">
            <x v="46"/>
          </reference>
        </references>
      </pivotArea>
    </format>
    <format dxfId="2631">
      <pivotArea dataOnly="0" labelOnly="1" outline="0" fieldPosition="0">
        <references count="2">
          <reference field="0" count="1" selected="0">
            <x v="23"/>
          </reference>
          <reference field="1" count="1">
            <x v="48"/>
          </reference>
        </references>
      </pivotArea>
    </format>
    <format dxfId="2630">
      <pivotArea dataOnly="0" labelOnly="1" outline="0" fieldPosition="0">
        <references count="2">
          <reference field="0" count="1" selected="0">
            <x v="24"/>
          </reference>
          <reference field="1" count="1">
            <x v="51"/>
          </reference>
        </references>
      </pivotArea>
    </format>
    <format dxfId="2629">
      <pivotArea dataOnly="0" labelOnly="1" outline="0" fieldPosition="0">
        <references count="2">
          <reference field="0" count="1" selected="0">
            <x v="25"/>
          </reference>
          <reference field="1" count="1">
            <x v="53"/>
          </reference>
        </references>
      </pivotArea>
    </format>
    <format dxfId="2628">
      <pivotArea dataOnly="0" labelOnly="1" outline="0" fieldPosition="0">
        <references count="2">
          <reference field="0" count="1" selected="0">
            <x v="26"/>
          </reference>
          <reference field="1" count="1">
            <x v="56"/>
          </reference>
        </references>
      </pivotArea>
    </format>
    <format dxfId="2627">
      <pivotArea dataOnly="0" labelOnly="1" outline="0" fieldPosition="0">
        <references count="2">
          <reference field="0" count="1" selected="0">
            <x v="27"/>
          </reference>
          <reference field="1" count="1">
            <x v="57"/>
          </reference>
        </references>
      </pivotArea>
    </format>
    <format dxfId="2626">
      <pivotArea dataOnly="0" labelOnly="1" outline="0" fieldPosition="0">
        <references count="2">
          <reference field="0" count="1" selected="0">
            <x v="28"/>
          </reference>
          <reference field="1" count="1">
            <x v="58"/>
          </reference>
        </references>
      </pivotArea>
    </format>
    <format dxfId="2625">
      <pivotArea dataOnly="0" labelOnly="1" outline="0" fieldPosition="0">
        <references count="2">
          <reference field="0" count="1" selected="0">
            <x v="29"/>
          </reference>
          <reference field="1" count="1">
            <x v="59"/>
          </reference>
        </references>
      </pivotArea>
    </format>
    <format dxfId="2624">
      <pivotArea dataOnly="0" labelOnly="1" outline="0" fieldPosition="0">
        <references count="2">
          <reference field="0" count="1" selected="0">
            <x v="30"/>
          </reference>
          <reference field="1" count="1">
            <x v="60"/>
          </reference>
        </references>
      </pivotArea>
    </format>
    <format dxfId="2623">
      <pivotArea dataOnly="0" labelOnly="1" outline="0" fieldPosition="0">
        <references count="2">
          <reference field="0" count="1" selected="0">
            <x v="31"/>
          </reference>
          <reference field="1" count="1">
            <x v="62"/>
          </reference>
        </references>
      </pivotArea>
    </format>
    <format dxfId="2622">
      <pivotArea dataOnly="0" labelOnly="1" outline="0" fieldPosition="0">
        <references count="2">
          <reference field="0" count="1" selected="0">
            <x v="32"/>
          </reference>
          <reference field="1" count="1">
            <x v="93"/>
          </reference>
        </references>
      </pivotArea>
    </format>
    <format dxfId="2621">
      <pivotArea dataOnly="0" labelOnly="1" outline="0" fieldPosition="0">
        <references count="2">
          <reference field="0" count="1" selected="0">
            <x v="33"/>
          </reference>
          <reference field="1" count="1">
            <x v="63"/>
          </reference>
        </references>
      </pivotArea>
    </format>
    <format dxfId="2620">
      <pivotArea dataOnly="0" labelOnly="1" outline="0" fieldPosition="0">
        <references count="2">
          <reference field="0" count="1" selected="0">
            <x v="34"/>
          </reference>
          <reference field="1" count="1">
            <x v="65"/>
          </reference>
        </references>
      </pivotArea>
    </format>
    <format dxfId="2619">
      <pivotArea dataOnly="0" labelOnly="1" outline="0" fieldPosition="0">
        <references count="2">
          <reference field="0" count="1" selected="0">
            <x v="35"/>
          </reference>
          <reference field="1" count="1">
            <x v="66"/>
          </reference>
        </references>
      </pivotArea>
    </format>
    <format dxfId="2618">
      <pivotArea dataOnly="0" labelOnly="1" outline="0" fieldPosition="0">
        <references count="2">
          <reference field="0" count="1" selected="0">
            <x v="36"/>
          </reference>
          <reference field="1" count="1">
            <x v="67"/>
          </reference>
        </references>
      </pivotArea>
    </format>
    <format dxfId="2617">
      <pivotArea dataOnly="0" labelOnly="1" outline="0" fieldPosition="0">
        <references count="2">
          <reference field="0" count="1" selected="0">
            <x v="37"/>
          </reference>
          <reference field="1" count="1">
            <x v="68"/>
          </reference>
        </references>
      </pivotArea>
    </format>
    <format dxfId="2616">
      <pivotArea dataOnly="0" labelOnly="1" outline="0" fieldPosition="0">
        <references count="2">
          <reference field="0" count="1" selected="0">
            <x v="38"/>
          </reference>
          <reference field="1" count="1">
            <x v="69"/>
          </reference>
        </references>
      </pivotArea>
    </format>
    <format dxfId="2615">
      <pivotArea dataOnly="0" labelOnly="1" outline="0" fieldPosition="0">
        <references count="2">
          <reference field="0" count="1" selected="0">
            <x v="39"/>
          </reference>
          <reference field="1" count="1">
            <x v="71"/>
          </reference>
        </references>
      </pivotArea>
    </format>
    <format dxfId="2614">
      <pivotArea dataOnly="0" labelOnly="1" outline="0" fieldPosition="0">
        <references count="2">
          <reference field="0" count="1" selected="0">
            <x v="40"/>
          </reference>
          <reference field="1" count="1">
            <x v="72"/>
          </reference>
        </references>
      </pivotArea>
    </format>
    <format dxfId="2613">
      <pivotArea dataOnly="0" labelOnly="1" outline="0" fieldPosition="0">
        <references count="2">
          <reference field="0" count="1" selected="0">
            <x v="41"/>
          </reference>
          <reference field="1" count="1">
            <x v="73"/>
          </reference>
        </references>
      </pivotArea>
    </format>
    <format dxfId="2612">
      <pivotArea dataOnly="0" labelOnly="1" outline="0" fieldPosition="0">
        <references count="2">
          <reference field="0" count="1" selected="0">
            <x v="42"/>
          </reference>
          <reference field="1" count="1">
            <x v="74"/>
          </reference>
        </references>
      </pivotArea>
    </format>
    <format dxfId="2611">
      <pivotArea dataOnly="0" labelOnly="1" outline="0" fieldPosition="0">
        <references count="2">
          <reference field="0" count="1" selected="0">
            <x v="43"/>
          </reference>
          <reference field="1" count="1">
            <x v="75"/>
          </reference>
        </references>
      </pivotArea>
    </format>
    <format dxfId="2610">
      <pivotArea dataOnly="0" labelOnly="1" outline="0" fieldPosition="0">
        <references count="2">
          <reference field="0" count="1" selected="0">
            <x v="44"/>
          </reference>
          <reference field="1" count="1">
            <x v="76"/>
          </reference>
        </references>
      </pivotArea>
    </format>
    <format dxfId="2609">
      <pivotArea dataOnly="0" labelOnly="1" outline="0" fieldPosition="0">
        <references count="2">
          <reference field="0" count="1" selected="0">
            <x v="45"/>
          </reference>
          <reference field="1" count="1">
            <x v="70"/>
          </reference>
        </references>
      </pivotArea>
    </format>
    <format dxfId="2608">
      <pivotArea dataOnly="0" labelOnly="1" outline="0" fieldPosition="0">
        <references count="2">
          <reference field="0" count="1" selected="0">
            <x v="46"/>
          </reference>
          <reference field="1" count="1">
            <x v="77"/>
          </reference>
        </references>
      </pivotArea>
    </format>
    <format dxfId="2607">
      <pivotArea dataOnly="0" labelOnly="1" outline="0" fieldPosition="0">
        <references count="2">
          <reference field="0" count="1" selected="0">
            <x v="47"/>
          </reference>
          <reference field="1" count="1">
            <x v="78"/>
          </reference>
        </references>
      </pivotArea>
    </format>
    <format dxfId="2606">
      <pivotArea dataOnly="0" labelOnly="1" outline="0" fieldPosition="0">
        <references count="2">
          <reference field="0" count="1" selected="0">
            <x v="48"/>
          </reference>
          <reference field="1" count="1">
            <x v="79"/>
          </reference>
        </references>
      </pivotArea>
    </format>
    <format dxfId="2605">
      <pivotArea dataOnly="0" labelOnly="1" outline="0" fieldPosition="0">
        <references count="2">
          <reference field="0" count="1" selected="0">
            <x v="49"/>
          </reference>
          <reference field="1" count="1">
            <x v="80"/>
          </reference>
        </references>
      </pivotArea>
    </format>
    <format dxfId="2604">
      <pivotArea dataOnly="0" labelOnly="1" outline="0" fieldPosition="0">
        <references count="2">
          <reference field="0" count="1" selected="0">
            <x v="50"/>
          </reference>
          <reference field="1" count="1">
            <x v="81"/>
          </reference>
        </references>
      </pivotArea>
    </format>
    <format dxfId="2603">
      <pivotArea dataOnly="0" labelOnly="1" outline="0" fieldPosition="0">
        <references count="2">
          <reference field="0" count="1" selected="0">
            <x v="51"/>
          </reference>
          <reference field="1" count="1">
            <x v="82"/>
          </reference>
        </references>
      </pivotArea>
    </format>
    <format dxfId="2602">
      <pivotArea dataOnly="0" labelOnly="1" outline="0" fieldPosition="0">
        <references count="2">
          <reference field="0" count="1" selected="0">
            <x v="52"/>
          </reference>
          <reference field="1" count="1">
            <x v="83"/>
          </reference>
        </references>
      </pivotArea>
    </format>
    <format dxfId="2601">
      <pivotArea dataOnly="0" labelOnly="1" outline="0" fieldPosition="0">
        <references count="2">
          <reference field="0" count="1" selected="0">
            <x v="53"/>
          </reference>
          <reference field="1" count="1">
            <x v="84"/>
          </reference>
        </references>
      </pivotArea>
    </format>
    <format dxfId="2600">
      <pivotArea dataOnly="0" labelOnly="1" outline="0" fieldPosition="0">
        <references count="2">
          <reference field="0" count="1" selected="0">
            <x v="54"/>
          </reference>
          <reference field="1" count="1">
            <x v="86"/>
          </reference>
        </references>
      </pivotArea>
    </format>
    <format dxfId="2599">
      <pivotArea dataOnly="0" labelOnly="1" outline="0" fieldPosition="0">
        <references count="2">
          <reference field="0" count="1" selected="0">
            <x v="55"/>
          </reference>
          <reference field="1" count="1">
            <x v="87"/>
          </reference>
        </references>
      </pivotArea>
    </format>
    <format dxfId="2598">
      <pivotArea dataOnly="0" labelOnly="1" outline="0" fieldPosition="0">
        <references count="2">
          <reference field="0" count="1" selected="0">
            <x v="57"/>
          </reference>
          <reference field="1" count="1">
            <x v="89"/>
          </reference>
        </references>
      </pivotArea>
    </format>
    <format dxfId="2597">
      <pivotArea dataOnly="0" labelOnly="1" outline="0" fieldPosition="0">
        <references count="2">
          <reference field="0" count="1" selected="0">
            <x v="58"/>
          </reference>
          <reference field="1" count="1">
            <x v="90"/>
          </reference>
        </references>
      </pivotArea>
    </format>
    <format dxfId="2596">
      <pivotArea dataOnly="0" labelOnly="1" outline="0" fieldPosition="0">
        <references count="2">
          <reference field="0" count="1" selected="0">
            <x v="59"/>
          </reference>
          <reference field="1" count="1">
            <x v="92"/>
          </reference>
        </references>
      </pivotArea>
    </format>
    <format dxfId="2595">
      <pivotArea dataOnly="0" labelOnly="1" outline="0" fieldPosition="0">
        <references count="2">
          <reference field="0" count="1" selected="0">
            <x v="60"/>
          </reference>
          <reference field="1" count="1">
            <x v="96"/>
          </reference>
        </references>
      </pivotArea>
    </format>
    <format dxfId="2594">
      <pivotArea dataOnly="0" labelOnly="1" outline="0" fieldPosition="0">
        <references count="2">
          <reference field="0" count="1" selected="0">
            <x v="61"/>
          </reference>
          <reference field="1" count="1">
            <x v="97"/>
          </reference>
        </references>
      </pivotArea>
    </format>
    <format dxfId="2593">
      <pivotArea dataOnly="0" labelOnly="1" outline="0" fieldPosition="0">
        <references count="2">
          <reference field="0" count="1" selected="0">
            <x v="62"/>
          </reference>
          <reference field="1" count="1">
            <x v="98"/>
          </reference>
        </references>
      </pivotArea>
    </format>
    <format dxfId="2592">
      <pivotArea dataOnly="0" labelOnly="1" outline="0" fieldPosition="0">
        <references count="2">
          <reference field="0" count="1" selected="0">
            <x v="63"/>
          </reference>
          <reference field="1" count="1">
            <x v="99"/>
          </reference>
        </references>
      </pivotArea>
    </format>
    <format dxfId="2591">
      <pivotArea dataOnly="0" labelOnly="1" outline="0" fieldPosition="0">
        <references count="2">
          <reference field="0" count="1" selected="0">
            <x v="64"/>
          </reference>
          <reference field="1" count="1">
            <x v="11"/>
          </reference>
        </references>
      </pivotArea>
    </format>
    <format dxfId="2590">
      <pivotArea dataOnly="0" labelOnly="1" outline="0" fieldPosition="0">
        <references count="2">
          <reference field="0" count="1" selected="0">
            <x v="65"/>
          </reference>
          <reference field="1" count="1">
            <x v="12"/>
          </reference>
        </references>
      </pivotArea>
    </format>
    <format dxfId="2589">
      <pivotArea dataOnly="0" labelOnly="1" outline="0" fieldPosition="0">
        <references count="2">
          <reference field="0" count="1" selected="0">
            <x v="66"/>
          </reference>
          <reference field="1" count="1">
            <x v="49"/>
          </reference>
        </references>
      </pivotArea>
    </format>
    <format dxfId="2588">
      <pivotArea dataOnly="0" labelOnly="1" outline="0" fieldPosition="0">
        <references count="2">
          <reference field="0" count="1" selected="0">
            <x v="67"/>
          </reference>
          <reference field="1" count="1">
            <x v="64"/>
          </reference>
        </references>
      </pivotArea>
    </format>
    <format dxfId="2587">
      <pivotArea dataOnly="0" labelOnly="1" outline="0" fieldPosition="0">
        <references count="2">
          <reference field="0" count="1" selected="0">
            <x v="68"/>
          </reference>
          <reference field="1" count="1">
            <x v="0"/>
          </reference>
        </references>
      </pivotArea>
    </format>
    <format dxfId="2586">
      <pivotArea dataOnly="0" labelOnly="1" outline="0" fieldPosition="0">
        <references count="2">
          <reference field="0" count="1" selected="0">
            <x v="69"/>
          </reference>
          <reference field="1" count="1">
            <x v="1"/>
          </reference>
        </references>
      </pivotArea>
    </format>
    <format dxfId="2585">
      <pivotArea dataOnly="0" labelOnly="1" outline="0" fieldPosition="0">
        <references count="2">
          <reference field="0" count="1" selected="0">
            <x v="70"/>
          </reference>
          <reference field="1" count="1">
            <x v="2"/>
          </reference>
        </references>
      </pivotArea>
    </format>
    <format dxfId="2584">
      <pivotArea dataOnly="0" labelOnly="1" outline="0" fieldPosition="0">
        <references count="2">
          <reference field="0" count="1" selected="0">
            <x v="71"/>
          </reference>
          <reference field="1" count="1">
            <x v="3"/>
          </reference>
        </references>
      </pivotArea>
    </format>
    <format dxfId="2583">
      <pivotArea dataOnly="0" labelOnly="1" outline="0" fieldPosition="0">
        <references count="2">
          <reference field="0" count="1" selected="0">
            <x v="72"/>
          </reference>
          <reference field="1" count="1">
            <x v="5"/>
          </reference>
        </references>
      </pivotArea>
    </format>
    <format dxfId="2582">
      <pivotArea dataOnly="0" labelOnly="1" outline="0" fieldPosition="0">
        <references count="2">
          <reference field="0" count="1" selected="0">
            <x v="73"/>
          </reference>
          <reference field="1" count="1">
            <x v="6"/>
          </reference>
        </references>
      </pivotArea>
    </format>
    <format dxfId="2581">
      <pivotArea dataOnly="0" labelOnly="1" outline="0" fieldPosition="0">
        <references count="2">
          <reference field="0" count="1" selected="0">
            <x v="74"/>
          </reference>
          <reference field="1" count="1">
            <x v="8"/>
          </reference>
        </references>
      </pivotArea>
    </format>
    <format dxfId="2580">
      <pivotArea dataOnly="0" labelOnly="1" outline="0" fieldPosition="0">
        <references count="2">
          <reference field="0" count="1" selected="0">
            <x v="75"/>
          </reference>
          <reference field="1" count="1">
            <x v="9"/>
          </reference>
        </references>
      </pivotArea>
    </format>
    <format dxfId="2579">
      <pivotArea dataOnly="0" labelOnly="1" outline="0" fieldPosition="0">
        <references count="2">
          <reference field="0" count="1" selected="0">
            <x v="76"/>
          </reference>
          <reference field="1" count="1">
            <x v="14"/>
          </reference>
        </references>
      </pivotArea>
    </format>
    <format dxfId="2578">
      <pivotArea dataOnly="0" labelOnly="1" outline="0" fieldPosition="0">
        <references count="2">
          <reference field="0" count="1" selected="0">
            <x v="77"/>
          </reference>
          <reference field="1" count="1">
            <x v="16"/>
          </reference>
        </references>
      </pivotArea>
    </format>
    <format dxfId="2577">
      <pivotArea dataOnly="0" labelOnly="1" outline="0" fieldPosition="0">
        <references count="2">
          <reference field="0" count="1" selected="0">
            <x v="78"/>
          </reference>
          <reference field="1" count="1">
            <x v="17"/>
          </reference>
        </references>
      </pivotArea>
    </format>
    <format dxfId="2576">
      <pivotArea dataOnly="0" labelOnly="1" outline="0" fieldPosition="0">
        <references count="2">
          <reference field="0" count="1" selected="0">
            <x v="79"/>
          </reference>
          <reference field="1" count="1">
            <x v="22"/>
          </reference>
        </references>
      </pivotArea>
    </format>
    <format dxfId="2575">
      <pivotArea dataOnly="0" labelOnly="1" outline="0" fieldPosition="0">
        <references count="2">
          <reference field="0" count="1" selected="0">
            <x v="80"/>
          </reference>
          <reference field="1" count="1">
            <x v="24"/>
          </reference>
        </references>
      </pivotArea>
    </format>
    <format dxfId="2574">
      <pivotArea dataOnly="0" labelOnly="1" outline="0" fieldPosition="0">
        <references count="2">
          <reference field="0" count="1" selected="0">
            <x v="81"/>
          </reference>
          <reference field="1" count="1">
            <x v="25"/>
          </reference>
        </references>
      </pivotArea>
    </format>
    <format dxfId="2573">
      <pivotArea dataOnly="0" labelOnly="1" outline="0" fieldPosition="0">
        <references count="2">
          <reference field="0" count="1" selected="0">
            <x v="82"/>
          </reference>
          <reference field="1" count="1">
            <x v="27"/>
          </reference>
        </references>
      </pivotArea>
    </format>
    <format dxfId="2572">
      <pivotArea dataOnly="0" labelOnly="1" outline="0" fieldPosition="0">
        <references count="2">
          <reference field="0" count="1" selected="0">
            <x v="83"/>
          </reference>
          <reference field="1" count="1">
            <x v="31"/>
          </reference>
        </references>
      </pivotArea>
    </format>
    <format dxfId="2571">
      <pivotArea dataOnly="0" labelOnly="1" outline="0" fieldPosition="0">
        <references count="2">
          <reference field="0" count="1" selected="0">
            <x v="84"/>
          </reference>
          <reference field="1" count="1">
            <x v="32"/>
          </reference>
        </references>
      </pivotArea>
    </format>
    <format dxfId="2570">
      <pivotArea dataOnly="0" labelOnly="1" outline="0" fieldPosition="0">
        <references count="2">
          <reference field="0" count="1" selected="0">
            <x v="85"/>
          </reference>
          <reference field="1" count="1">
            <x v="33"/>
          </reference>
        </references>
      </pivotArea>
    </format>
    <format dxfId="2569">
      <pivotArea dataOnly="0" labelOnly="1" outline="0" fieldPosition="0">
        <references count="2">
          <reference field="0" count="1" selected="0">
            <x v="86"/>
          </reference>
          <reference field="1" count="1">
            <x v="40"/>
          </reference>
        </references>
      </pivotArea>
    </format>
    <format dxfId="2568">
      <pivotArea dataOnly="0" labelOnly="1" outline="0" fieldPosition="0">
        <references count="2">
          <reference field="0" count="1" selected="0">
            <x v="87"/>
          </reference>
          <reference field="1" count="1">
            <x v="41"/>
          </reference>
        </references>
      </pivotArea>
    </format>
    <format dxfId="2567">
      <pivotArea dataOnly="0" labelOnly="1" outline="0" fieldPosition="0">
        <references count="2">
          <reference field="0" count="1" selected="0">
            <x v="88"/>
          </reference>
          <reference field="1" count="1">
            <x v="43"/>
          </reference>
        </references>
      </pivotArea>
    </format>
    <format dxfId="2566">
      <pivotArea dataOnly="0" labelOnly="1" outline="0" fieldPosition="0">
        <references count="2">
          <reference field="0" count="1" selected="0">
            <x v="89"/>
          </reference>
          <reference field="1" count="1">
            <x v="44"/>
          </reference>
        </references>
      </pivotArea>
    </format>
    <format dxfId="2565">
      <pivotArea dataOnly="0" labelOnly="1" outline="0" fieldPosition="0">
        <references count="2">
          <reference field="0" count="1" selected="0">
            <x v="90"/>
          </reference>
          <reference field="1" count="1">
            <x v="47"/>
          </reference>
        </references>
      </pivotArea>
    </format>
    <format dxfId="2564">
      <pivotArea dataOnly="0" labelOnly="1" outline="0" fieldPosition="0">
        <references count="2">
          <reference field="0" count="1" selected="0">
            <x v="91"/>
          </reference>
          <reference field="1" count="1">
            <x v="54"/>
          </reference>
        </references>
      </pivotArea>
    </format>
    <format dxfId="2563">
      <pivotArea dataOnly="0" labelOnly="1" outline="0" fieldPosition="0">
        <references count="2">
          <reference field="0" count="1" selected="0">
            <x v="92"/>
          </reference>
          <reference field="1" count="1">
            <x v="55"/>
          </reference>
        </references>
      </pivotArea>
    </format>
    <format dxfId="2562">
      <pivotArea dataOnly="0" labelOnly="1" outline="0" fieldPosition="0">
        <references count="2">
          <reference field="0" count="1" selected="0">
            <x v="93"/>
          </reference>
          <reference field="1" count="1">
            <x v="91"/>
          </reference>
        </references>
      </pivotArea>
    </format>
    <format dxfId="2561">
      <pivotArea dataOnly="0" labelOnly="1" outline="0" fieldPosition="0">
        <references count="2">
          <reference field="0" count="1" selected="0">
            <x v="94"/>
          </reference>
          <reference field="1" count="1">
            <x v="94"/>
          </reference>
        </references>
      </pivotArea>
    </format>
    <format dxfId="2560">
      <pivotArea dataOnly="0" labelOnly="1" outline="0" fieldPosition="0">
        <references count="2">
          <reference field="0" count="1" selected="0">
            <x v="95"/>
          </reference>
          <reference field="1" count="1">
            <x v="95"/>
          </reference>
        </references>
      </pivotArea>
    </format>
    <format dxfId="2559">
      <pivotArea dataOnly="0" labelOnly="1" outline="0" fieldPosition="0">
        <references count="2">
          <reference field="0" count="1" selected="0">
            <x v="96"/>
          </reference>
          <reference field="1" count="1">
            <x v="100"/>
          </reference>
        </references>
      </pivotArea>
    </format>
    <format dxfId="2558">
      <pivotArea dataOnly="0" labelOnly="1" outline="0" fieldPosition="0">
        <references count="2">
          <reference field="0" count="1" selected="0">
            <x v="97"/>
          </reference>
          <reference field="1" count="1">
            <x v="50"/>
          </reference>
        </references>
      </pivotArea>
    </format>
    <format dxfId="2557">
      <pivotArea dataOnly="0" labelOnly="1" outline="0" fieldPosition="0">
        <references count="2">
          <reference field="0" count="1" selected="0">
            <x v="98"/>
          </reference>
          <reference field="1" count="1">
            <x v="52"/>
          </reference>
        </references>
      </pivotArea>
    </format>
    <format dxfId="2556">
      <pivotArea dataOnly="0" labelOnly="1" outline="0" fieldPosition="0">
        <references count="2">
          <reference field="0" count="1" selected="0">
            <x v="99"/>
          </reference>
          <reference field="1" count="1">
            <x v="85"/>
          </reference>
        </references>
      </pivotArea>
    </format>
    <format dxfId="2555">
      <pivotArea dataOnly="0" labelOnly="1" outline="0" fieldPosition="0">
        <references count="2">
          <reference field="0" count="1" selected="0">
            <x v="100"/>
          </reference>
          <reference field="1" count="1">
            <x v="61"/>
          </reference>
        </references>
      </pivotArea>
    </format>
    <format dxfId="2554">
      <pivotArea dataOnly="0" labelOnly="1" outline="0" fieldPosition="0">
        <references count="3">
          <reference field="0" count="1" selected="0">
            <x v="0"/>
          </reference>
          <reference field="1" count="1" selected="0">
            <x v="4"/>
          </reference>
          <reference field="2" count="1">
            <x v="1"/>
          </reference>
        </references>
      </pivotArea>
    </format>
    <format dxfId="2553">
      <pivotArea dataOnly="0" labelOnly="1" outline="0" fieldPosition="0">
        <references count="3">
          <reference field="0" count="1" selected="0">
            <x v="1"/>
          </reference>
          <reference field="1" count="1" selected="0">
            <x v="7"/>
          </reference>
          <reference field="2" count="1">
            <x v="2"/>
          </reference>
        </references>
      </pivotArea>
    </format>
    <format dxfId="2552">
      <pivotArea dataOnly="0" labelOnly="1" outline="0" fieldPosition="0">
        <references count="3">
          <reference field="0" count="1" selected="0">
            <x v="3"/>
          </reference>
          <reference field="1" count="1" selected="0">
            <x v="13"/>
          </reference>
          <reference field="2" count="1">
            <x v="3"/>
          </reference>
        </references>
      </pivotArea>
    </format>
    <format dxfId="2551">
      <pivotArea dataOnly="0" labelOnly="1" outline="0" fieldPosition="0">
        <references count="3">
          <reference field="0" count="1" selected="0">
            <x v="4"/>
          </reference>
          <reference field="1" count="1" selected="0">
            <x v="15"/>
          </reference>
          <reference field="2" count="1">
            <x v="2"/>
          </reference>
        </references>
      </pivotArea>
    </format>
    <format dxfId="2550">
      <pivotArea dataOnly="0" labelOnly="1" outline="0" fieldPosition="0">
        <references count="3">
          <reference field="0" count="1" selected="0">
            <x v="5"/>
          </reference>
          <reference field="1" count="1" selected="0">
            <x v="18"/>
          </reference>
          <reference field="2" count="1">
            <x v="1"/>
          </reference>
        </references>
      </pivotArea>
    </format>
    <format dxfId="2549">
      <pivotArea dataOnly="0" labelOnly="1" outline="0" fieldPosition="0">
        <references count="3">
          <reference field="0" count="1" selected="0">
            <x v="6"/>
          </reference>
          <reference field="1" count="1" selected="0">
            <x v="19"/>
          </reference>
          <reference field="2" count="1">
            <x v="6"/>
          </reference>
        </references>
      </pivotArea>
    </format>
    <format dxfId="2548">
      <pivotArea dataOnly="0" labelOnly="1" outline="0" fieldPosition="0">
        <references count="3">
          <reference field="0" count="1" selected="0">
            <x v="7"/>
          </reference>
          <reference field="1" count="1" selected="0">
            <x v="20"/>
          </reference>
          <reference field="2" count="1">
            <x v="2"/>
          </reference>
        </references>
      </pivotArea>
    </format>
    <format dxfId="2547">
      <pivotArea dataOnly="0" labelOnly="1" outline="0" fieldPosition="0">
        <references count="3">
          <reference field="0" count="1" selected="0">
            <x v="9"/>
          </reference>
          <reference field="1" count="1" selected="0">
            <x v="23"/>
          </reference>
          <reference field="2" count="1">
            <x v="1"/>
          </reference>
        </references>
      </pivotArea>
    </format>
    <format dxfId="2546">
      <pivotArea dataOnly="0" labelOnly="1" outline="0" fieldPosition="0">
        <references count="3">
          <reference field="0" count="1" selected="0">
            <x v="10"/>
          </reference>
          <reference field="1" count="1" selected="0">
            <x v="26"/>
          </reference>
          <reference field="2" count="1">
            <x v="2"/>
          </reference>
        </references>
      </pivotArea>
    </format>
    <format dxfId="2545">
      <pivotArea dataOnly="0" labelOnly="1" outline="0" fieldPosition="0">
        <references count="3">
          <reference field="0" count="1" selected="0">
            <x v="11"/>
          </reference>
          <reference field="1" count="1" selected="0">
            <x v="28"/>
          </reference>
          <reference field="2" count="1">
            <x v="3"/>
          </reference>
        </references>
      </pivotArea>
    </format>
    <format dxfId="2544">
      <pivotArea dataOnly="0" labelOnly="1" outline="0" fieldPosition="0">
        <references count="3">
          <reference field="0" count="1" selected="0">
            <x v="13"/>
          </reference>
          <reference field="1" count="1" selected="0">
            <x v="30"/>
          </reference>
          <reference field="2" count="1">
            <x v="7"/>
          </reference>
        </references>
      </pivotArea>
    </format>
    <format dxfId="2543">
      <pivotArea dataOnly="0" labelOnly="1" outline="0" fieldPosition="0">
        <references count="3">
          <reference field="0" count="1" selected="0">
            <x v="14"/>
          </reference>
          <reference field="1" count="1" selected="0">
            <x v="34"/>
          </reference>
          <reference field="2" count="1">
            <x v="3"/>
          </reference>
        </references>
      </pivotArea>
    </format>
    <format dxfId="2542">
      <pivotArea dataOnly="0" labelOnly="1" outline="0" fieldPosition="0">
        <references count="3">
          <reference field="0" count="1" selected="0">
            <x v="15"/>
          </reference>
          <reference field="1" count="1" selected="0">
            <x v="35"/>
          </reference>
          <reference field="2" count="1">
            <x v="2"/>
          </reference>
        </references>
      </pivotArea>
    </format>
    <format dxfId="2541">
      <pivotArea dataOnly="0" labelOnly="1" outline="0" fieldPosition="0">
        <references count="3">
          <reference field="0" count="1" selected="0">
            <x v="16"/>
          </reference>
          <reference field="1" count="1" selected="0">
            <x v="36"/>
          </reference>
          <reference field="2" count="1">
            <x v="3"/>
          </reference>
        </references>
      </pivotArea>
    </format>
    <format dxfId="2540">
      <pivotArea dataOnly="0" labelOnly="1" outline="0" fieldPosition="0">
        <references count="3">
          <reference field="0" count="1" selected="0">
            <x v="19"/>
          </reference>
          <reference field="1" count="1" selected="0">
            <x v="39"/>
          </reference>
          <reference field="2" count="1">
            <x v="8"/>
          </reference>
        </references>
      </pivotArea>
    </format>
    <format dxfId="2539">
      <pivotArea dataOnly="0" labelOnly="1" outline="0" fieldPosition="0">
        <references count="3">
          <reference field="0" count="1" selected="0">
            <x v="20"/>
          </reference>
          <reference field="1" count="1" selected="0">
            <x v="42"/>
          </reference>
          <reference field="2" count="1">
            <x v="5"/>
          </reference>
        </references>
      </pivotArea>
    </format>
    <format dxfId="2538">
      <pivotArea dataOnly="0" labelOnly="1" outline="0" fieldPosition="0">
        <references count="3">
          <reference field="0" count="1" selected="0">
            <x v="21"/>
          </reference>
          <reference field="1" count="1" selected="0">
            <x v="45"/>
          </reference>
          <reference field="2" count="1">
            <x v="4"/>
          </reference>
        </references>
      </pivotArea>
    </format>
    <format dxfId="2537">
      <pivotArea dataOnly="0" labelOnly="1" outline="0" fieldPosition="0">
        <references count="3">
          <reference field="0" count="1" selected="0">
            <x v="23"/>
          </reference>
          <reference field="1" count="1" selected="0">
            <x v="48"/>
          </reference>
          <reference field="2" count="1">
            <x v="7"/>
          </reference>
        </references>
      </pivotArea>
    </format>
    <format dxfId="2536">
      <pivotArea dataOnly="0" labelOnly="1" outline="0" fieldPosition="0">
        <references count="3">
          <reference field="0" count="1" selected="0">
            <x v="24"/>
          </reference>
          <reference field="1" count="1" selected="0">
            <x v="51"/>
          </reference>
          <reference field="2" count="1">
            <x v="3"/>
          </reference>
        </references>
      </pivotArea>
    </format>
    <format dxfId="2535">
      <pivotArea dataOnly="0" labelOnly="1" outline="0" fieldPosition="0">
        <references count="3">
          <reference field="0" count="1" selected="0">
            <x v="26"/>
          </reference>
          <reference field="1" count="1" selected="0">
            <x v="56"/>
          </reference>
          <reference field="2" count="1">
            <x v="2"/>
          </reference>
        </references>
      </pivotArea>
    </format>
    <format dxfId="2534">
      <pivotArea dataOnly="0" labelOnly="1" outline="0" fieldPosition="0">
        <references count="3">
          <reference field="0" count="1" selected="0">
            <x v="33"/>
          </reference>
          <reference field="1" count="1" selected="0">
            <x v="63"/>
          </reference>
          <reference field="2" count="1">
            <x v="4"/>
          </reference>
        </references>
      </pivotArea>
    </format>
    <format dxfId="2533">
      <pivotArea dataOnly="0" labelOnly="1" outline="0" fieldPosition="0">
        <references count="3">
          <reference field="0" count="1" selected="0">
            <x v="34"/>
          </reference>
          <reference field="1" count="1" selected="0">
            <x v="65"/>
          </reference>
          <reference field="2" count="1">
            <x v="5"/>
          </reference>
        </references>
      </pivotArea>
    </format>
    <format dxfId="2532">
      <pivotArea dataOnly="0" labelOnly="1" outline="0" fieldPosition="0">
        <references count="3">
          <reference field="0" count="1" selected="0">
            <x v="36"/>
          </reference>
          <reference field="1" count="1" selected="0">
            <x v="67"/>
          </reference>
          <reference field="2" count="1">
            <x v="2"/>
          </reference>
        </references>
      </pivotArea>
    </format>
    <format dxfId="2531">
      <pivotArea dataOnly="0" labelOnly="1" outline="0" fieldPosition="0">
        <references count="3">
          <reference field="0" count="1" selected="0">
            <x v="37"/>
          </reference>
          <reference field="1" count="1" selected="0">
            <x v="68"/>
          </reference>
          <reference field="2" count="1">
            <x v="3"/>
          </reference>
        </references>
      </pivotArea>
    </format>
    <format dxfId="2530">
      <pivotArea dataOnly="0" labelOnly="1" outline="0" fieldPosition="0">
        <references count="3">
          <reference field="0" count="1" selected="0">
            <x v="39"/>
          </reference>
          <reference field="1" count="1" selected="0">
            <x v="71"/>
          </reference>
          <reference field="2" count="1">
            <x v="6"/>
          </reference>
        </references>
      </pivotArea>
    </format>
    <format dxfId="2529">
      <pivotArea dataOnly="0" labelOnly="1" outline="0" fieldPosition="0">
        <references count="3">
          <reference field="0" count="1" selected="0">
            <x v="41"/>
          </reference>
          <reference field="1" count="1" selected="0">
            <x v="73"/>
          </reference>
          <reference field="2" count="1">
            <x v="3"/>
          </reference>
        </references>
      </pivotArea>
    </format>
    <format dxfId="2528">
      <pivotArea dataOnly="0" labelOnly="1" outline="0" fieldPosition="0">
        <references count="3">
          <reference field="0" count="1" selected="0">
            <x v="42"/>
          </reference>
          <reference field="1" count="1" selected="0">
            <x v="74"/>
          </reference>
          <reference field="2" count="1">
            <x v="5"/>
          </reference>
        </references>
      </pivotArea>
    </format>
    <format dxfId="2527">
      <pivotArea dataOnly="0" labelOnly="1" outline="0" fieldPosition="0">
        <references count="3">
          <reference field="0" count="1" selected="0">
            <x v="43"/>
          </reference>
          <reference field="1" count="1" selected="0">
            <x v="75"/>
          </reference>
          <reference field="2" count="1">
            <x v="7"/>
          </reference>
        </references>
      </pivotArea>
    </format>
    <format dxfId="2526">
      <pivotArea dataOnly="0" labelOnly="1" outline="0" fieldPosition="0">
        <references count="3">
          <reference field="0" count="1" selected="0">
            <x v="44"/>
          </reference>
          <reference field="1" count="1" selected="0">
            <x v="76"/>
          </reference>
          <reference field="2" count="1">
            <x v="2"/>
          </reference>
        </references>
      </pivotArea>
    </format>
    <format dxfId="2525">
      <pivotArea dataOnly="0" labelOnly="1" outline="0" fieldPosition="0">
        <references count="3">
          <reference field="0" count="1" selected="0">
            <x v="45"/>
          </reference>
          <reference field="1" count="1" selected="0">
            <x v="70"/>
          </reference>
          <reference field="2" count="1">
            <x v="3"/>
          </reference>
        </references>
      </pivotArea>
    </format>
    <format dxfId="2524">
      <pivotArea dataOnly="0" labelOnly="1" outline="0" fieldPosition="0">
        <references count="3">
          <reference field="0" count="1" selected="0">
            <x v="46"/>
          </reference>
          <reference field="1" count="1" selected="0">
            <x v="77"/>
          </reference>
          <reference field="2" count="1">
            <x v="6"/>
          </reference>
        </references>
      </pivotArea>
    </format>
    <format dxfId="2523">
      <pivotArea dataOnly="0" labelOnly="1" outline="0" fieldPosition="0">
        <references count="3">
          <reference field="0" count="1" selected="0">
            <x v="47"/>
          </reference>
          <reference field="1" count="1" selected="0">
            <x v="78"/>
          </reference>
          <reference field="2" count="1">
            <x v="7"/>
          </reference>
        </references>
      </pivotArea>
    </format>
    <format dxfId="2522">
      <pivotArea dataOnly="0" labelOnly="1" outline="0" fieldPosition="0">
        <references count="3">
          <reference field="0" count="1" selected="0">
            <x v="48"/>
          </reference>
          <reference field="1" count="1" selected="0">
            <x v="79"/>
          </reference>
          <reference field="2" count="1">
            <x v="2"/>
          </reference>
        </references>
      </pivotArea>
    </format>
    <format dxfId="2521">
      <pivotArea dataOnly="0" labelOnly="1" outline="0" fieldPosition="0">
        <references count="3">
          <reference field="0" count="1" selected="0">
            <x v="49"/>
          </reference>
          <reference field="1" count="1" selected="0">
            <x v="80"/>
          </reference>
          <reference field="2" count="1">
            <x v="6"/>
          </reference>
        </references>
      </pivotArea>
    </format>
    <format dxfId="2520">
      <pivotArea dataOnly="0" labelOnly="1" outline="0" fieldPosition="0">
        <references count="3">
          <reference field="0" count="1" selected="0">
            <x v="50"/>
          </reference>
          <reference field="1" count="1" selected="0">
            <x v="81"/>
          </reference>
          <reference field="2" count="1">
            <x v="4"/>
          </reference>
        </references>
      </pivotArea>
    </format>
    <format dxfId="2519">
      <pivotArea dataOnly="0" labelOnly="1" outline="0" fieldPosition="0">
        <references count="3">
          <reference field="0" count="1" selected="0">
            <x v="51"/>
          </reference>
          <reference field="1" count="1" selected="0">
            <x v="82"/>
          </reference>
          <reference field="2" count="1">
            <x v="2"/>
          </reference>
        </references>
      </pivotArea>
    </format>
    <format dxfId="2518">
      <pivotArea dataOnly="0" labelOnly="1" outline="0" fieldPosition="0">
        <references count="3">
          <reference field="0" count="1" selected="0">
            <x v="53"/>
          </reference>
          <reference field="1" count="1" selected="0">
            <x v="84"/>
          </reference>
          <reference field="2" count="1">
            <x v="6"/>
          </reference>
        </references>
      </pivotArea>
    </format>
    <format dxfId="2517">
      <pivotArea dataOnly="0" labelOnly="1" outline="0" fieldPosition="0">
        <references count="3">
          <reference field="0" count="1" selected="0">
            <x v="54"/>
          </reference>
          <reference field="1" count="1" selected="0">
            <x v="86"/>
          </reference>
          <reference field="2" count="1">
            <x v="3"/>
          </reference>
        </references>
      </pivotArea>
    </format>
    <format dxfId="2516">
      <pivotArea dataOnly="0" labelOnly="1" outline="0" fieldPosition="0">
        <references count="3">
          <reference field="0" count="1" selected="0">
            <x v="57"/>
          </reference>
          <reference field="1" count="1" selected="0">
            <x v="89"/>
          </reference>
          <reference field="2" count="1">
            <x v="8"/>
          </reference>
        </references>
      </pivotArea>
    </format>
    <format dxfId="2515">
      <pivotArea dataOnly="0" labelOnly="1" outline="0" fieldPosition="0">
        <references count="3">
          <reference field="0" count="1" selected="0">
            <x v="58"/>
          </reference>
          <reference field="1" count="1" selected="0">
            <x v="90"/>
          </reference>
          <reference field="2" count="1">
            <x v="3"/>
          </reference>
        </references>
      </pivotArea>
    </format>
    <format dxfId="2514">
      <pivotArea dataOnly="0" labelOnly="1" outline="0" fieldPosition="0">
        <references count="3">
          <reference field="0" count="1" selected="0">
            <x v="59"/>
          </reference>
          <reference field="1" count="1" selected="0">
            <x v="92"/>
          </reference>
          <reference field="2" count="1">
            <x v="2"/>
          </reference>
        </references>
      </pivotArea>
    </format>
    <format dxfId="2513">
      <pivotArea dataOnly="0" labelOnly="1" outline="0" fieldPosition="0">
        <references count="3">
          <reference field="0" count="1" selected="0">
            <x v="60"/>
          </reference>
          <reference field="1" count="1" selected="0">
            <x v="96"/>
          </reference>
          <reference field="2" count="1">
            <x v="8"/>
          </reference>
        </references>
      </pivotArea>
    </format>
    <format dxfId="2512">
      <pivotArea dataOnly="0" labelOnly="1" outline="0" fieldPosition="0">
        <references count="3">
          <reference field="0" count="1" selected="0">
            <x v="61"/>
          </reference>
          <reference field="1" count="1" selected="0">
            <x v="97"/>
          </reference>
          <reference field="2" count="1">
            <x v="4"/>
          </reference>
        </references>
      </pivotArea>
    </format>
    <format dxfId="2511">
      <pivotArea dataOnly="0" labelOnly="1" outline="0" fieldPosition="0">
        <references count="3">
          <reference field="0" count="1" selected="0">
            <x v="62"/>
          </reference>
          <reference field="1" count="1" selected="0">
            <x v="98"/>
          </reference>
          <reference field="2" count="1">
            <x v="8"/>
          </reference>
        </references>
      </pivotArea>
    </format>
    <format dxfId="2510">
      <pivotArea dataOnly="0" labelOnly="1" outline="0" fieldPosition="0">
        <references count="3">
          <reference field="0" count="1" selected="0">
            <x v="63"/>
          </reference>
          <reference field="1" count="1" selected="0">
            <x v="99"/>
          </reference>
          <reference field="2" count="1">
            <x v="3"/>
          </reference>
        </references>
      </pivotArea>
    </format>
    <format dxfId="2509">
      <pivotArea dataOnly="0" labelOnly="1" outline="0" fieldPosition="0">
        <references count="3">
          <reference field="0" count="1" selected="0">
            <x v="64"/>
          </reference>
          <reference field="1" count="1" selected="0">
            <x v="11"/>
          </reference>
          <reference field="2" count="1">
            <x v="2"/>
          </reference>
        </references>
      </pivotArea>
    </format>
    <format dxfId="2508">
      <pivotArea dataOnly="0" labelOnly="1" outline="0" fieldPosition="0">
        <references count="3">
          <reference field="0" count="1" selected="0">
            <x v="65"/>
          </reference>
          <reference field="1" count="1" selected="0">
            <x v="12"/>
          </reference>
          <reference field="2" count="1">
            <x v="3"/>
          </reference>
        </references>
      </pivotArea>
    </format>
    <format dxfId="2507">
      <pivotArea dataOnly="0" labelOnly="1" outline="0" fieldPosition="0">
        <references count="3">
          <reference field="0" count="1" selected="0">
            <x v="66"/>
          </reference>
          <reference field="1" count="1" selected="0">
            <x v="49"/>
          </reference>
          <reference field="2" count="1">
            <x v="4"/>
          </reference>
        </references>
      </pivotArea>
    </format>
    <format dxfId="2506">
      <pivotArea dataOnly="0" labelOnly="1" outline="0" fieldPosition="0">
        <references count="3">
          <reference field="0" count="1" selected="0">
            <x v="68"/>
          </reference>
          <reference field="1" count="1" selected="0">
            <x v="0"/>
          </reference>
          <reference field="2" count="1">
            <x v="3"/>
          </reference>
        </references>
      </pivotArea>
    </format>
    <format dxfId="2505">
      <pivotArea dataOnly="0" labelOnly="1" outline="0" fieldPosition="0">
        <references count="3">
          <reference field="0" count="1" selected="0">
            <x v="72"/>
          </reference>
          <reference field="1" count="1" selected="0">
            <x v="5"/>
          </reference>
          <reference field="2" count="1">
            <x v="5"/>
          </reference>
        </references>
      </pivotArea>
    </format>
    <format dxfId="2504">
      <pivotArea dataOnly="0" labelOnly="1" outline="0" fieldPosition="0">
        <references count="3">
          <reference field="0" count="1" selected="0">
            <x v="73"/>
          </reference>
          <reference field="1" count="1" selected="0">
            <x v="6"/>
          </reference>
          <reference field="2" count="1">
            <x v="2"/>
          </reference>
        </references>
      </pivotArea>
    </format>
    <format dxfId="2503">
      <pivotArea dataOnly="0" labelOnly="1" outline="0" fieldPosition="0">
        <references count="3">
          <reference field="0" count="1" selected="0">
            <x v="74"/>
          </reference>
          <reference field="1" count="1" selected="0">
            <x v="8"/>
          </reference>
          <reference field="2" count="1">
            <x v="3"/>
          </reference>
        </references>
      </pivotArea>
    </format>
    <format dxfId="2502">
      <pivotArea dataOnly="0" labelOnly="1" outline="0" fieldPosition="0">
        <references count="3">
          <reference field="0" count="1" selected="0">
            <x v="79"/>
          </reference>
          <reference field="1" count="1" selected="0">
            <x v="22"/>
          </reference>
          <reference field="2" count="1">
            <x v="8"/>
          </reference>
        </references>
      </pivotArea>
    </format>
    <format dxfId="2501">
      <pivotArea dataOnly="0" labelOnly="1" outline="0" fieldPosition="0">
        <references count="3">
          <reference field="0" count="1" selected="0">
            <x v="80"/>
          </reference>
          <reference field="1" count="1" selected="0">
            <x v="24"/>
          </reference>
          <reference field="2" count="1">
            <x v="3"/>
          </reference>
        </references>
      </pivotArea>
    </format>
    <format dxfId="2500">
      <pivotArea dataOnly="0" labelOnly="1" outline="0" fieldPosition="0">
        <references count="3">
          <reference field="0" count="1" selected="0">
            <x v="82"/>
          </reference>
          <reference field="1" count="1" selected="0">
            <x v="27"/>
          </reference>
          <reference field="2" count="1">
            <x v="2"/>
          </reference>
        </references>
      </pivotArea>
    </format>
    <format dxfId="2499">
      <pivotArea dataOnly="0" labelOnly="1" outline="0" fieldPosition="0">
        <references count="3">
          <reference field="0" count="1" selected="0">
            <x v="83"/>
          </reference>
          <reference field="1" count="1" selected="0">
            <x v="31"/>
          </reference>
          <reference field="2" count="1">
            <x v="8"/>
          </reference>
        </references>
      </pivotArea>
    </format>
    <format dxfId="2498">
      <pivotArea dataOnly="0" labelOnly="1" outline="0" fieldPosition="0">
        <references count="3">
          <reference field="0" count="1" selected="0">
            <x v="84"/>
          </reference>
          <reference field="1" count="1" selected="0">
            <x v="32"/>
          </reference>
          <reference field="2" count="1">
            <x v="3"/>
          </reference>
        </references>
      </pivotArea>
    </format>
    <format dxfId="2497">
      <pivotArea dataOnly="0" labelOnly="1" outline="0" fieldPosition="0">
        <references count="3">
          <reference field="0" count="1" selected="0">
            <x v="85"/>
          </reference>
          <reference field="1" count="1" selected="0">
            <x v="33"/>
          </reference>
          <reference field="2" count="1">
            <x v="4"/>
          </reference>
        </references>
      </pivotArea>
    </format>
    <format dxfId="2496">
      <pivotArea dataOnly="0" labelOnly="1" outline="0" fieldPosition="0">
        <references count="3">
          <reference field="0" count="1" selected="0">
            <x v="86"/>
          </reference>
          <reference field="1" count="1" selected="0">
            <x v="40"/>
          </reference>
          <reference field="2" count="1">
            <x v="5"/>
          </reference>
        </references>
      </pivotArea>
    </format>
    <format dxfId="2495">
      <pivotArea dataOnly="0" labelOnly="1" outline="0" fieldPosition="0">
        <references count="3">
          <reference field="0" count="1" selected="0">
            <x v="87"/>
          </reference>
          <reference field="1" count="1" selected="0">
            <x v="41"/>
          </reference>
          <reference field="2" count="1">
            <x v="3"/>
          </reference>
        </references>
      </pivotArea>
    </format>
    <format dxfId="2494">
      <pivotArea dataOnly="0" labelOnly="1" outline="0" fieldPosition="0">
        <references count="3">
          <reference field="0" count="1" selected="0">
            <x v="88"/>
          </reference>
          <reference field="1" count="1" selected="0">
            <x v="43"/>
          </reference>
          <reference field="2" count="1">
            <x v="2"/>
          </reference>
        </references>
      </pivotArea>
    </format>
    <format dxfId="2493">
      <pivotArea dataOnly="0" labelOnly="1" outline="0" fieldPosition="0">
        <references count="3">
          <reference field="0" count="1" selected="0">
            <x v="90"/>
          </reference>
          <reference field="1" count="1" selected="0">
            <x v="47"/>
          </reference>
          <reference field="2" count="1">
            <x v="3"/>
          </reference>
        </references>
      </pivotArea>
    </format>
    <format dxfId="2492">
      <pivotArea dataOnly="0" labelOnly="1" outline="0" fieldPosition="0">
        <references count="3">
          <reference field="0" count="1" selected="0">
            <x v="93"/>
          </reference>
          <reference field="1" count="1" selected="0">
            <x v="91"/>
          </reference>
          <reference field="2" count="1">
            <x v="6"/>
          </reference>
        </references>
      </pivotArea>
    </format>
    <format dxfId="2491">
      <pivotArea dataOnly="0" labelOnly="1" outline="0" fieldPosition="0">
        <references count="3">
          <reference field="0" count="1" selected="0">
            <x v="94"/>
          </reference>
          <reference field="1" count="1" selected="0">
            <x v="94"/>
          </reference>
          <reference field="2" count="1">
            <x v="3"/>
          </reference>
        </references>
      </pivotArea>
    </format>
    <format dxfId="2490">
      <pivotArea dataOnly="0" labelOnly="1" outline="0" fieldPosition="0">
        <references count="3">
          <reference field="0" count="1" selected="0">
            <x v="97"/>
          </reference>
          <reference field="1" count="1" selected="0">
            <x v="50"/>
          </reference>
          <reference field="2" count="1">
            <x v="2"/>
          </reference>
        </references>
      </pivotArea>
    </format>
    <format dxfId="2489">
      <pivotArea dataOnly="0" labelOnly="1" outline="0" fieldPosition="0">
        <references count="3">
          <reference field="0" count="1" selected="0">
            <x v="98"/>
          </reference>
          <reference field="1" count="1" selected="0">
            <x v="52"/>
          </reference>
          <reference field="2" count="1">
            <x v="4"/>
          </reference>
        </references>
      </pivotArea>
    </format>
    <format dxfId="2488">
      <pivotArea dataOnly="0" labelOnly="1" outline="0" fieldPosition="0">
        <references count="3">
          <reference field="0" count="1" selected="0">
            <x v="100"/>
          </reference>
          <reference field="1" count="1" selected="0">
            <x v="61"/>
          </reference>
          <reference field="2" count="1">
            <x v="0"/>
          </reference>
        </references>
      </pivotArea>
    </format>
    <format dxfId="2487">
      <pivotArea dataOnly="0" labelOnly="1" outline="0" fieldPosition="0">
        <references count="4">
          <reference field="0" count="1" selected="0">
            <x v="0"/>
          </reference>
          <reference field="1" count="1" selected="0">
            <x v="4"/>
          </reference>
          <reference field="2" count="1" selected="0">
            <x v="1"/>
          </reference>
          <reference field="3" count="1">
            <x v="2"/>
          </reference>
        </references>
      </pivotArea>
    </format>
    <format dxfId="2486">
      <pivotArea dataOnly="0" labelOnly="1" outline="0" fieldPosition="0">
        <references count="4">
          <reference field="0" count="1" selected="0">
            <x v="1"/>
          </reference>
          <reference field="1" count="1" selected="0">
            <x v="7"/>
          </reference>
          <reference field="2" count="1" selected="0">
            <x v="2"/>
          </reference>
          <reference field="3" count="1">
            <x v="18"/>
          </reference>
        </references>
      </pivotArea>
    </format>
    <format dxfId="2485">
      <pivotArea dataOnly="0" labelOnly="1" outline="0" fieldPosition="0">
        <references count="4">
          <reference field="0" count="1" selected="0">
            <x v="2"/>
          </reference>
          <reference field="1" count="1" selected="0">
            <x v="10"/>
          </reference>
          <reference field="2" count="1" selected="0">
            <x v="2"/>
          </reference>
          <reference field="3" count="1">
            <x v="7"/>
          </reference>
        </references>
      </pivotArea>
    </format>
    <format dxfId="2484">
      <pivotArea dataOnly="0" labelOnly="1" outline="0" fieldPosition="0">
        <references count="4">
          <reference field="0" count="1" selected="0">
            <x v="3"/>
          </reference>
          <reference field="1" count="1" selected="0">
            <x v="13"/>
          </reference>
          <reference field="2" count="1" selected="0">
            <x v="3"/>
          </reference>
          <reference field="3" count="1">
            <x v="31"/>
          </reference>
        </references>
      </pivotArea>
    </format>
    <format dxfId="2483">
      <pivotArea dataOnly="0" labelOnly="1" outline="0" fieldPosition="0">
        <references count="4">
          <reference field="0" count="1" selected="0">
            <x v="4"/>
          </reference>
          <reference field="1" count="1" selected="0">
            <x v="15"/>
          </reference>
          <reference field="2" count="1" selected="0">
            <x v="2"/>
          </reference>
          <reference field="3" count="1">
            <x v="5"/>
          </reference>
        </references>
      </pivotArea>
    </format>
    <format dxfId="2482">
      <pivotArea dataOnly="0" labelOnly="1" outline="0" fieldPosition="0">
        <references count="4">
          <reference field="0" count="1" selected="0">
            <x v="5"/>
          </reference>
          <reference field="1" count="1" selected="0">
            <x v="18"/>
          </reference>
          <reference field="2" count="1" selected="0">
            <x v="1"/>
          </reference>
          <reference field="3" count="1">
            <x v="3"/>
          </reference>
        </references>
      </pivotArea>
    </format>
    <format dxfId="2481">
      <pivotArea dataOnly="0" labelOnly="1" outline="0" fieldPosition="0">
        <references count="4">
          <reference field="0" count="1" selected="0">
            <x v="6"/>
          </reference>
          <reference field="1" count="1" selected="0">
            <x v="19"/>
          </reference>
          <reference field="2" count="1" selected="0">
            <x v="6"/>
          </reference>
          <reference field="3" count="1">
            <x v="4"/>
          </reference>
        </references>
      </pivotArea>
    </format>
    <format dxfId="2480">
      <pivotArea dataOnly="0" labelOnly="1" outline="0" fieldPosition="0">
        <references count="4">
          <reference field="0" count="1" selected="0">
            <x v="7"/>
          </reference>
          <reference field="1" count="1" selected="0">
            <x v="20"/>
          </reference>
          <reference field="2" count="1" selected="0">
            <x v="2"/>
          </reference>
          <reference field="3" count="1">
            <x v="6"/>
          </reference>
        </references>
      </pivotArea>
    </format>
    <format dxfId="2479">
      <pivotArea dataOnly="0" labelOnly="1" outline="0" fieldPosition="0">
        <references count="4">
          <reference field="0" count="1" selected="0">
            <x v="9"/>
          </reference>
          <reference field="1" count="1" selected="0">
            <x v="23"/>
          </reference>
          <reference field="2" count="1" selected="0">
            <x v="1"/>
          </reference>
          <reference field="3" count="1">
            <x v="2"/>
          </reference>
        </references>
      </pivotArea>
    </format>
    <format dxfId="2478">
      <pivotArea dataOnly="0" labelOnly="1" outline="0" fieldPosition="0">
        <references count="4">
          <reference field="0" count="1" selected="0">
            <x v="10"/>
          </reference>
          <reference field="1" count="1" selected="0">
            <x v="26"/>
          </reference>
          <reference field="2" count="1" selected="0">
            <x v="2"/>
          </reference>
          <reference field="3" count="1">
            <x v="8"/>
          </reference>
        </references>
      </pivotArea>
    </format>
    <format dxfId="2477">
      <pivotArea dataOnly="0" labelOnly="1" outline="0" fieldPosition="0">
        <references count="4">
          <reference field="0" count="1" selected="0">
            <x v="11"/>
          </reference>
          <reference field="1" count="1" selected="0">
            <x v="28"/>
          </reference>
          <reference field="2" count="1" selected="0">
            <x v="3"/>
          </reference>
          <reference field="3" count="1">
            <x v="10"/>
          </reference>
        </references>
      </pivotArea>
    </format>
    <format dxfId="2476">
      <pivotArea dataOnly="0" labelOnly="1" outline="0" fieldPosition="0">
        <references count="4">
          <reference field="0" count="1" selected="0">
            <x v="13"/>
          </reference>
          <reference field="1" count="1" selected="0">
            <x v="30"/>
          </reference>
          <reference field="2" count="1" selected="0">
            <x v="7"/>
          </reference>
          <reference field="3" count="1">
            <x v="11"/>
          </reference>
        </references>
      </pivotArea>
    </format>
    <format dxfId="2475">
      <pivotArea dataOnly="0" labelOnly="1" outline="0" fieldPosition="0">
        <references count="4">
          <reference field="0" count="1" selected="0">
            <x v="14"/>
          </reference>
          <reference field="1" count="1" selected="0">
            <x v="34"/>
          </reference>
          <reference field="2" count="1" selected="0">
            <x v="3"/>
          </reference>
          <reference field="3" count="1">
            <x v="12"/>
          </reference>
        </references>
      </pivotArea>
    </format>
    <format dxfId="2474">
      <pivotArea dataOnly="0" labelOnly="1" outline="0" fieldPosition="0">
        <references count="4">
          <reference field="0" count="1" selected="0">
            <x v="15"/>
          </reference>
          <reference field="1" count="1" selected="0">
            <x v="35"/>
          </reference>
          <reference field="2" count="1" selected="0">
            <x v="2"/>
          </reference>
          <reference field="3" count="1">
            <x v="13"/>
          </reference>
        </references>
      </pivotArea>
    </format>
    <format dxfId="2473">
      <pivotArea dataOnly="0" labelOnly="1" outline="0" fieldPosition="0">
        <references count="4">
          <reference field="0" count="1" selected="0">
            <x v="16"/>
          </reference>
          <reference field="1" count="1" selected="0">
            <x v="36"/>
          </reference>
          <reference field="2" count="1" selected="0">
            <x v="3"/>
          </reference>
          <reference field="3" count="1">
            <x v="28"/>
          </reference>
        </references>
      </pivotArea>
    </format>
    <format dxfId="2472">
      <pivotArea dataOnly="0" labelOnly="1" outline="0" fieldPosition="0">
        <references count="4">
          <reference field="0" count="1" selected="0">
            <x v="17"/>
          </reference>
          <reference field="1" count="1" selected="0">
            <x v="37"/>
          </reference>
          <reference field="2" count="1" selected="0">
            <x v="3"/>
          </reference>
          <reference field="3" count="1">
            <x v="15"/>
          </reference>
        </references>
      </pivotArea>
    </format>
    <format dxfId="2471">
      <pivotArea dataOnly="0" labelOnly="1" outline="0" fieldPosition="0">
        <references count="4">
          <reference field="0" count="1" selected="0">
            <x v="19"/>
          </reference>
          <reference field="1" count="1" selected="0">
            <x v="39"/>
          </reference>
          <reference field="2" count="1" selected="0">
            <x v="8"/>
          </reference>
          <reference field="3" count="1">
            <x v="16"/>
          </reference>
        </references>
      </pivotArea>
    </format>
    <format dxfId="2470">
      <pivotArea dataOnly="0" labelOnly="1" outline="0" fieldPosition="0">
        <references count="4">
          <reference field="0" count="1" selected="0">
            <x v="20"/>
          </reference>
          <reference field="1" count="1" selected="0">
            <x v="42"/>
          </reference>
          <reference field="2" count="1" selected="0">
            <x v="5"/>
          </reference>
          <reference field="3" count="1">
            <x v="17"/>
          </reference>
        </references>
      </pivotArea>
    </format>
    <format dxfId="2469">
      <pivotArea dataOnly="0" labelOnly="1" outline="0" fieldPosition="0">
        <references count="4">
          <reference field="0" count="1" selected="0">
            <x v="21"/>
          </reference>
          <reference field="1" count="1" selected="0">
            <x v="45"/>
          </reference>
          <reference field="2" count="1" selected="0">
            <x v="4"/>
          </reference>
          <reference field="3" count="1">
            <x v="19"/>
          </reference>
        </references>
      </pivotArea>
    </format>
    <format dxfId="2468">
      <pivotArea dataOnly="0" labelOnly="1" outline="0" fieldPosition="0">
        <references count="4">
          <reference field="0" count="1" selected="0">
            <x v="23"/>
          </reference>
          <reference field="1" count="1" selected="0">
            <x v="48"/>
          </reference>
          <reference field="2" count="1" selected="0">
            <x v="7"/>
          </reference>
          <reference field="3" count="1">
            <x v="21"/>
          </reference>
        </references>
      </pivotArea>
    </format>
    <format dxfId="2467">
      <pivotArea dataOnly="0" labelOnly="1" outline="0" fieldPosition="0">
        <references count="4">
          <reference field="0" count="1" selected="0">
            <x v="24"/>
          </reference>
          <reference field="1" count="1" selected="0">
            <x v="51"/>
          </reference>
          <reference field="2" count="1" selected="0">
            <x v="3"/>
          </reference>
          <reference field="3" count="1">
            <x v="24"/>
          </reference>
        </references>
      </pivotArea>
    </format>
    <format dxfId="2466">
      <pivotArea dataOnly="0" labelOnly="1" outline="0" fieldPosition="0">
        <references count="4">
          <reference field="0" count="1" selected="0">
            <x v="25"/>
          </reference>
          <reference field="1" count="1" selected="0">
            <x v="53"/>
          </reference>
          <reference field="2" count="1" selected="0">
            <x v="3"/>
          </reference>
          <reference field="3" count="1">
            <x v="26"/>
          </reference>
        </references>
      </pivotArea>
    </format>
    <format dxfId="2465">
      <pivotArea dataOnly="0" labelOnly="1" outline="0" fieldPosition="0">
        <references count="4">
          <reference field="0" count="1" selected="0">
            <x v="26"/>
          </reference>
          <reference field="1" count="1" selected="0">
            <x v="56"/>
          </reference>
          <reference field="2" count="1" selected="0">
            <x v="2"/>
          </reference>
          <reference field="3" count="1">
            <x v="7"/>
          </reference>
        </references>
      </pivotArea>
    </format>
    <format dxfId="2464">
      <pivotArea dataOnly="0" labelOnly="1" outline="0" fieldPosition="0">
        <references count="4">
          <reference field="0" count="1" selected="0">
            <x v="27"/>
          </reference>
          <reference field="1" count="1" selected="0">
            <x v="57"/>
          </reference>
          <reference field="2" count="1" selected="0">
            <x v="2"/>
          </reference>
          <reference field="3" count="1">
            <x v="8"/>
          </reference>
        </references>
      </pivotArea>
    </format>
    <format dxfId="2463">
      <pivotArea dataOnly="0" labelOnly="1" outline="0" fieldPosition="0">
        <references count="4">
          <reference field="0" count="1" selected="0">
            <x v="33"/>
          </reference>
          <reference field="1" count="1" selected="0">
            <x v="63"/>
          </reference>
          <reference field="2" count="1" selected="0">
            <x v="4"/>
          </reference>
          <reference field="3" count="1">
            <x v="1"/>
          </reference>
        </references>
      </pivotArea>
    </format>
    <format dxfId="2462">
      <pivotArea dataOnly="0" labelOnly="1" outline="0" fieldPosition="0">
        <references count="4">
          <reference field="0" count="1" selected="0">
            <x v="34"/>
          </reference>
          <reference field="1" count="1" selected="0">
            <x v="65"/>
          </reference>
          <reference field="2" count="1" selected="0">
            <x v="5"/>
          </reference>
          <reference field="3" count="1">
            <x v="29"/>
          </reference>
        </references>
      </pivotArea>
    </format>
    <format dxfId="2461">
      <pivotArea dataOnly="0" labelOnly="1" outline="0" fieldPosition="0">
        <references count="4">
          <reference field="0" count="1" selected="0">
            <x v="36"/>
          </reference>
          <reference field="1" count="1" selected="0">
            <x v="67"/>
          </reference>
          <reference field="2" count="1" selected="0">
            <x v="2"/>
          </reference>
          <reference field="3" count="1">
            <x v="8"/>
          </reference>
        </references>
      </pivotArea>
    </format>
    <format dxfId="2460">
      <pivotArea dataOnly="0" labelOnly="1" outline="0" fieldPosition="0">
        <references count="4">
          <reference field="0" count="1" selected="0">
            <x v="37"/>
          </reference>
          <reference field="1" count="1" selected="0">
            <x v="68"/>
          </reference>
          <reference field="2" count="1" selected="0">
            <x v="3"/>
          </reference>
          <reference field="3" count="1">
            <x v="31"/>
          </reference>
        </references>
      </pivotArea>
    </format>
    <format dxfId="2459">
      <pivotArea dataOnly="0" labelOnly="1" outline="0" fieldPosition="0">
        <references count="4">
          <reference field="0" count="1" selected="0">
            <x v="39"/>
          </reference>
          <reference field="1" count="1" selected="0">
            <x v="71"/>
          </reference>
          <reference field="2" count="1" selected="0">
            <x v="6"/>
          </reference>
          <reference field="3" count="1">
            <x v="33"/>
          </reference>
        </references>
      </pivotArea>
    </format>
    <format dxfId="2458">
      <pivotArea dataOnly="0" labelOnly="1" outline="0" fieldPosition="0">
        <references count="4">
          <reference field="0" count="1" selected="0">
            <x v="41"/>
          </reference>
          <reference field="1" count="1" selected="0">
            <x v="73"/>
          </reference>
          <reference field="2" count="1" selected="0">
            <x v="3"/>
          </reference>
          <reference field="3" count="1">
            <x v="10"/>
          </reference>
        </references>
      </pivotArea>
    </format>
    <format dxfId="2457">
      <pivotArea dataOnly="0" labelOnly="1" outline="0" fieldPosition="0">
        <references count="4">
          <reference field="0" count="1" selected="0">
            <x v="42"/>
          </reference>
          <reference field="1" count="1" selected="0">
            <x v="74"/>
          </reference>
          <reference field="2" count="1" selected="0">
            <x v="5"/>
          </reference>
          <reference field="3" count="1">
            <x v="34"/>
          </reference>
        </references>
      </pivotArea>
    </format>
    <format dxfId="2456">
      <pivotArea dataOnly="0" labelOnly="1" outline="0" fieldPosition="0">
        <references count="4">
          <reference field="0" count="1" selected="0">
            <x v="43"/>
          </reference>
          <reference field="1" count="1" selected="0">
            <x v="75"/>
          </reference>
          <reference field="2" count="1" selected="0">
            <x v="7"/>
          </reference>
          <reference field="3" count="1">
            <x v="35"/>
          </reference>
        </references>
      </pivotArea>
    </format>
    <format dxfId="2455">
      <pivotArea dataOnly="0" labelOnly="1" outline="0" fieldPosition="0">
        <references count="4">
          <reference field="0" count="1" selected="0">
            <x v="44"/>
          </reference>
          <reference field="1" count="1" selected="0">
            <x v="76"/>
          </reference>
          <reference field="2" count="1" selected="0">
            <x v="2"/>
          </reference>
          <reference field="3" count="1">
            <x v="36"/>
          </reference>
        </references>
      </pivotArea>
    </format>
    <format dxfId="2454">
      <pivotArea dataOnly="0" labelOnly="1" outline="0" fieldPosition="0">
        <references count="4">
          <reference field="0" count="1" selected="0">
            <x v="45"/>
          </reference>
          <reference field="1" count="1" selected="0">
            <x v="70"/>
          </reference>
          <reference field="2" count="1" selected="0">
            <x v="3"/>
          </reference>
          <reference field="3" count="1">
            <x v="32"/>
          </reference>
        </references>
      </pivotArea>
    </format>
    <format dxfId="2453">
      <pivotArea dataOnly="0" labelOnly="1" outline="0" fieldPosition="0">
        <references count="4">
          <reference field="0" count="1" selected="0">
            <x v="46"/>
          </reference>
          <reference field="1" count="1" selected="0">
            <x v="77"/>
          </reference>
          <reference field="2" count="1" selected="0">
            <x v="6"/>
          </reference>
          <reference field="3" count="1">
            <x v="37"/>
          </reference>
        </references>
      </pivotArea>
    </format>
    <format dxfId="2452">
      <pivotArea dataOnly="0" labelOnly="1" outline="0" fieldPosition="0">
        <references count="4">
          <reference field="0" count="1" selected="0">
            <x v="47"/>
          </reference>
          <reference field="1" count="1" selected="0">
            <x v="78"/>
          </reference>
          <reference field="2" count="1" selected="0">
            <x v="7"/>
          </reference>
          <reference field="3" count="1">
            <x v="38"/>
          </reference>
        </references>
      </pivotArea>
    </format>
    <format dxfId="2451">
      <pivotArea dataOnly="0" labelOnly="1" outline="0" fieldPosition="0">
        <references count="4">
          <reference field="0" count="1" selected="0">
            <x v="48"/>
          </reference>
          <reference field="1" count="1" selected="0">
            <x v="79"/>
          </reference>
          <reference field="2" count="1" selected="0">
            <x v="2"/>
          </reference>
          <reference field="3" count="1">
            <x v="7"/>
          </reference>
        </references>
      </pivotArea>
    </format>
    <format dxfId="2450">
      <pivotArea dataOnly="0" labelOnly="1" outline="0" fieldPosition="0">
        <references count="4">
          <reference field="0" count="1" selected="0">
            <x v="49"/>
          </reference>
          <reference field="1" count="1" selected="0">
            <x v="80"/>
          </reference>
          <reference field="2" count="1" selected="0">
            <x v="6"/>
          </reference>
          <reference field="3" count="1">
            <x v="39"/>
          </reference>
        </references>
      </pivotArea>
    </format>
    <format dxfId="2449">
      <pivotArea dataOnly="0" labelOnly="1" outline="0" fieldPosition="0">
        <references count="4">
          <reference field="0" count="1" selected="0">
            <x v="50"/>
          </reference>
          <reference field="1" count="1" selected="0">
            <x v="81"/>
          </reference>
          <reference field="2" count="1" selected="0">
            <x v="4"/>
          </reference>
          <reference field="3" count="1">
            <x v="1"/>
          </reference>
        </references>
      </pivotArea>
    </format>
    <format dxfId="2448">
      <pivotArea dataOnly="0" labelOnly="1" outline="0" fieldPosition="0">
        <references count="4">
          <reference field="0" count="1" selected="0">
            <x v="51"/>
          </reference>
          <reference field="1" count="1" selected="0">
            <x v="82"/>
          </reference>
          <reference field="2" count="1" selected="0">
            <x v="2"/>
          </reference>
          <reference field="3" count="1">
            <x v="8"/>
          </reference>
        </references>
      </pivotArea>
    </format>
    <format dxfId="2447">
      <pivotArea dataOnly="0" labelOnly="1" outline="0" fieldPosition="0">
        <references count="4">
          <reference field="0" count="1" selected="0">
            <x v="52"/>
          </reference>
          <reference field="1" count="1" selected="0">
            <x v="83"/>
          </reference>
          <reference field="2" count="1" selected="0">
            <x v="2"/>
          </reference>
          <reference field="3" count="1">
            <x v="7"/>
          </reference>
        </references>
      </pivotArea>
    </format>
    <format dxfId="2446">
      <pivotArea dataOnly="0" labelOnly="1" outline="0" fieldPosition="0">
        <references count="4">
          <reference field="0" count="1" selected="0">
            <x v="53"/>
          </reference>
          <reference field="1" count="1" selected="0">
            <x v="84"/>
          </reference>
          <reference field="2" count="1" selected="0">
            <x v="6"/>
          </reference>
          <reference field="3" count="1">
            <x v="30"/>
          </reference>
        </references>
      </pivotArea>
    </format>
    <format dxfId="2445">
      <pivotArea dataOnly="0" labelOnly="1" outline="0" fieldPosition="0">
        <references count="4">
          <reference field="0" count="1" selected="0">
            <x v="54"/>
          </reference>
          <reference field="1" count="1" selected="0">
            <x v="86"/>
          </reference>
          <reference field="2" count="1" selected="0">
            <x v="3"/>
          </reference>
          <reference field="3" count="1">
            <x v="41"/>
          </reference>
        </references>
      </pivotArea>
    </format>
    <format dxfId="2444">
      <pivotArea dataOnly="0" labelOnly="1" outline="0" fieldPosition="0">
        <references count="4">
          <reference field="0" count="1" selected="0">
            <x v="57"/>
          </reference>
          <reference field="1" count="1" selected="0">
            <x v="89"/>
          </reference>
          <reference field="2" count="1" selected="0">
            <x v="8"/>
          </reference>
          <reference field="3" count="1">
            <x v="27"/>
          </reference>
        </references>
      </pivotArea>
    </format>
    <format dxfId="2443">
      <pivotArea dataOnly="0" labelOnly="1" outline="0" fieldPosition="0">
        <references count="4">
          <reference field="0" count="1" selected="0">
            <x v="58"/>
          </reference>
          <reference field="1" count="1" selected="0">
            <x v="90"/>
          </reference>
          <reference field="2" count="1" selected="0">
            <x v="3"/>
          </reference>
          <reference field="3" count="1">
            <x v="14"/>
          </reference>
        </references>
      </pivotArea>
    </format>
    <format dxfId="2442">
      <pivotArea dataOnly="0" labelOnly="1" outline="0" fieldPosition="0">
        <references count="4">
          <reference field="0" count="1" selected="0">
            <x v="59"/>
          </reference>
          <reference field="1" count="1" selected="0">
            <x v="92"/>
          </reference>
          <reference field="2" count="1" selected="0">
            <x v="2"/>
          </reference>
          <reference field="3" count="1">
            <x v="7"/>
          </reference>
        </references>
      </pivotArea>
    </format>
    <format dxfId="2441">
      <pivotArea dataOnly="0" labelOnly="1" outline="0" fieldPosition="0">
        <references count="4">
          <reference field="0" count="1" selected="0">
            <x v="60"/>
          </reference>
          <reference field="1" count="1" selected="0">
            <x v="96"/>
          </reference>
          <reference field="2" count="1" selected="0">
            <x v="8"/>
          </reference>
          <reference field="3" count="1">
            <x v="44"/>
          </reference>
        </references>
      </pivotArea>
    </format>
    <format dxfId="2440">
      <pivotArea dataOnly="0" labelOnly="1" outline="0" fieldPosition="0">
        <references count="4">
          <reference field="0" count="1" selected="0">
            <x v="61"/>
          </reference>
          <reference field="1" count="1" selected="0">
            <x v="97"/>
          </reference>
          <reference field="2" count="1" selected="0">
            <x v="4"/>
          </reference>
          <reference field="3" count="1">
            <x v="1"/>
          </reference>
        </references>
      </pivotArea>
    </format>
    <format dxfId="2439">
      <pivotArea dataOnly="0" labelOnly="1" outline="0" fieldPosition="0">
        <references count="4">
          <reference field="0" count="1" selected="0">
            <x v="62"/>
          </reference>
          <reference field="1" count="1" selected="0">
            <x v="98"/>
          </reference>
          <reference field="2" count="1" selected="0">
            <x v="8"/>
          </reference>
          <reference field="3" count="1">
            <x v="45"/>
          </reference>
        </references>
      </pivotArea>
    </format>
    <format dxfId="2438">
      <pivotArea dataOnly="0" labelOnly="1" outline="0" fieldPosition="0">
        <references count="4">
          <reference field="0" count="1" selected="0">
            <x v="63"/>
          </reference>
          <reference field="1" count="1" selected="0">
            <x v="99"/>
          </reference>
          <reference field="2" count="1" selected="0">
            <x v="3"/>
          </reference>
          <reference field="3" count="1">
            <x v="46"/>
          </reference>
        </references>
      </pivotArea>
    </format>
    <format dxfId="2437">
      <pivotArea dataOnly="0" labelOnly="1" outline="0" fieldPosition="0">
        <references count="4">
          <reference field="0" count="1" selected="0">
            <x v="64"/>
          </reference>
          <reference field="1" count="1" selected="0">
            <x v="11"/>
          </reference>
          <reference field="2" count="1" selected="0">
            <x v="2"/>
          </reference>
          <reference field="3" count="1">
            <x v="7"/>
          </reference>
        </references>
      </pivotArea>
    </format>
    <format dxfId="2436">
      <pivotArea dataOnly="0" labelOnly="1" outline="0" fieldPosition="0">
        <references count="4">
          <reference field="0" count="1" selected="0">
            <x v="65"/>
          </reference>
          <reference field="1" count="1" selected="0">
            <x v="12"/>
          </reference>
          <reference field="2" count="1" selected="0">
            <x v="3"/>
          </reference>
          <reference field="3" count="1">
            <x v="31"/>
          </reference>
        </references>
      </pivotArea>
    </format>
    <format dxfId="2435">
      <pivotArea dataOnly="0" labelOnly="1" outline="0" fieldPosition="0">
        <references count="4">
          <reference field="0" count="1" selected="0">
            <x v="66"/>
          </reference>
          <reference field="1" count="1" selected="0">
            <x v="49"/>
          </reference>
          <reference field="2" count="1" selected="0">
            <x v="4"/>
          </reference>
          <reference field="3" count="1">
            <x v="22"/>
          </reference>
        </references>
      </pivotArea>
    </format>
    <format dxfId="2434">
      <pivotArea dataOnly="0" labelOnly="1" outline="0" fieldPosition="0">
        <references count="4">
          <reference field="0" count="1" selected="0">
            <x v="67"/>
          </reference>
          <reference field="1" count="1" selected="0">
            <x v="64"/>
          </reference>
          <reference field="2" count="1" selected="0">
            <x v="4"/>
          </reference>
          <reference field="3" count="1">
            <x v="1"/>
          </reference>
        </references>
      </pivotArea>
    </format>
    <format dxfId="2433">
      <pivotArea dataOnly="0" labelOnly="1" outline="0" fieldPosition="0">
        <references count="4">
          <reference field="0" count="1" selected="0">
            <x v="68"/>
          </reference>
          <reference field="1" count="1" selected="0">
            <x v="0"/>
          </reference>
          <reference field="2" count="1" selected="0">
            <x v="3"/>
          </reference>
          <reference field="3" count="1">
            <x v="28"/>
          </reference>
        </references>
      </pivotArea>
    </format>
    <format dxfId="2432">
      <pivotArea dataOnly="0" labelOnly="1" outline="0" fieldPosition="0">
        <references count="4">
          <reference field="0" count="1" selected="0">
            <x v="69"/>
          </reference>
          <reference field="1" count="1" selected="0">
            <x v="1"/>
          </reference>
          <reference field="2" count="1" selected="0">
            <x v="3"/>
          </reference>
          <reference field="3" count="1">
            <x v="32"/>
          </reference>
        </references>
      </pivotArea>
    </format>
    <format dxfId="2431">
      <pivotArea dataOnly="0" labelOnly="1" outline="0" fieldPosition="0">
        <references count="4">
          <reference field="0" count="1" selected="0">
            <x v="70"/>
          </reference>
          <reference field="1" count="1" selected="0">
            <x v="2"/>
          </reference>
          <reference field="2" count="1" selected="0">
            <x v="3"/>
          </reference>
          <reference field="3" count="1">
            <x v="28"/>
          </reference>
        </references>
      </pivotArea>
    </format>
    <format dxfId="2430">
      <pivotArea dataOnly="0" labelOnly="1" outline="0" fieldPosition="0">
        <references count="4">
          <reference field="0" count="1" selected="0">
            <x v="72"/>
          </reference>
          <reference field="1" count="1" selected="0">
            <x v="5"/>
          </reference>
          <reference field="2" count="1" selected="0">
            <x v="5"/>
          </reference>
          <reference field="3" count="1">
            <x v="29"/>
          </reference>
        </references>
      </pivotArea>
    </format>
    <format dxfId="2429">
      <pivotArea dataOnly="0" labelOnly="1" outline="0" fieldPosition="0">
        <references count="4">
          <reference field="0" count="1" selected="0">
            <x v="73"/>
          </reference>
          <reference field="1" count="1" selected="0">
            <x v="6"/>
          </reference>
          <reference field="2" count="1" selected="0">
            <x v="2"/>
          </reference>
          <reference field="3" count="1">
            <x v="9"/>
          </reference>
        </references>
      </pivotArea>
    </format>
    <format dxfId="2428">
      <pivotArea dataOnly="0" labelOnly="1" outline="0" fieldPosition="0">
        <references count="4">
          <reference field="0" count="1" selected="0">
            <x v="74"/>
          </reference>
          <reference field="1" count="1" selected="0">
            <x v="8"/>
          </reference>
          <reference field="2" count="1" selected="0">
            <x v="3"/>
          </reference>
          <reference field="3" count="1">
            <x v="31"/>
          </reference>
        </references>
      </pivotArea>
    </format>
    <format dxfId="2427">
      <pivotArea dataOnly="0" labelOnly="1" outline="0" fieldPosition="0">
        <references count="4">
          <reference field="0" count="1" selected="0">
            <x v="75"/>
          </reference>
          <reference field="1" count="1" selected="0">
            <x v="9"/>
          </reference>
          <reference field="2" count="1" selected="0">
            <x v="3"/>
          </reference>
          <reference field="3" count="1">
            <x v="28"/>
          </reference>
        </references>
      </pivotArea>
    </format>
    <format dxfId="2426">
      <pivotArea dataOnly="0" labelOnly="1" outline="0" fieldPosition="0">
        <references count="4">
          <reference field="0" count="1" selected="0">
            <x v="76"/>
          </reference>
          <reference field="1" count="1" selected="0">
            <x v="14"/>
          </reference>
          <reference field="2" count="1" selected="0">
            <x v="3"/>
          </reference>
          <reference field="3" count="1">
            <x v="10"/>
          </reference>
        </references>
      </pivotArea>
    </format>
    <format dxfId="2425">
      <pivotArea dataOnly="0" labelOnly="1" outline="0" fieldPosition="0">
        <references count="4">
          <reference field="0" count="1" selected="0">
            <x v="78"/>
          </reference>
          <reference field="1" count="1" selected="0">
            <x v="17"/>
          </reference>
          <reference field="2" count="1" selected="0">
            <x v="3"/>
          </reference>
          <reference field="3" count="1">
            <x v="14"/>
          </reference>
        </references>
      </pivotArea>
    </format>
    <format dxfId="2424">
      <pivotArea dataOnly="0" labelOnly="1" outline="0" fieldPosition="0">
        <references count="4">
          <reference field="0" count="1" selected="0">
            <x v="79"/>
          </reference>
          <reference field="1" count="1" selected="0">
            <x v="22"/>
          </reference>
          <reference field="2" count="1" selected="0">
            <x v="8"/>
          </reference>
          <reference field="3" count="1">
            <x v="44"/>
          </reference>
        </references>
      </pivotArea>
    </format>
    <format dxfId="2423">
      <pivotArea dataOnly="0" labelOnly="1" outline="0" fieldPosition="0">
        <references count="4">
          <reference field="0" count="1" selected="0">
            <x v="80"/>
          </reference>
          <reference field="1" count="1" selected="0">
            <x v="24"/>
          </reference>
          <reference field="2" count="1" selected="0">
            <x v="3"/>
          </reference>
          <reference field="3" count="1">
            <x v="31"/>
          </reference>
        </references>
      </pivotArea>
    </format>
    <format dxfId="2422">
      <pivotArea dataOnly="0" labelOnly="1" outline="0" fieldPosition="0">
        <references count="4">
          <reference field="0" count="1" selected="0">
            <x v="81"/>
          </reference>
          <reference field="1" count="1" selected="0">
            <x v="25"/>
          </reference>
          <reference field="2" count="1" selected="0">
            <x v="3"/>
          </reference>
          <reference field="3" count="1">
            <x v="10"/>
          </reference>
        </references>
      </pivotArea>
    </format>
    <format dxfId="2421">
      <pivotArea dataOnly="0" labelOnly="1" outline="0" fieldPosition="0">
        <references count="4">
          <reference field="0" count="1" selected="0">
            <x v="82"/>
          </reference>
          <reference field="1" count="1" selected="0">
            <x v="27"/>
          </reference>
          <reference field="2" count="1" selected="0">
            <x v="2"/>
          </reference>
          <reference field="3" count="1">
            <x v="9"/>
          </reference>
        </references>
      </pivotArea>
    </format>
    <format dxfId="2420">
      <pivotArea dataOnly="0" labelOnly="1" outline="0" fieldPosition="0">
        <references count="4">
          <reference field="0" count="1" selected="0">
            <x v="83"/>
          </reference>
          <reference field="1" count="1" selected="0">
            <x v="31"/>
          </reference>
          <reference field="2" count="1" selected="0">
            <x v="8"/>
          </reference>
          <reference field="3" count="1">
            <x v="16"/>
          </reference>
        </references>
      </pivotArea>
    </format>
    <format dxfId="2419">
      <pivotArea dataOnly="0" labelOnly="1" outline="0" fieldPosition="0">
        <references count="4">
          <reference field="0" count="1" selected="0">
            <x v="84"/>
          </reference>
          <reference field="1" count="1" selected="0">
            <x v="32"/>
          </reference>
          <reference field="2" count="1" selected="0">
            <x v="3"/>
          </reference>
          <reference field="3" count="1">
            <x v="10"/>
          </reference>
        </references>
      </pivotArea>
    </format>
    <format dxfId="2418">
      <pivotArea dataOnly="0" labelOnly="1" outline="0" fieldPosition="0">
        <references count="4">
          <reference field="0" count="1" selected="0">
            <x v="85"/>
          </reference>
          <reference field="1" count="1" selected="0">
            <x v="33"/>
          </reference>
          <reference field="2" count="1" selected="0">
            <x v="4"/>
          </reference>
          <reference field="3" count="1">
            <x v="1"/>
          </reference>
        </references>
      </pivotArea>
    </format>
    <format dxfId="2417">
      <pivotArea dataOnly="0" labelOnly="1" outline="0" fieldPosition="0">
        <references count="4">
          <reference field="0" count="1" selected="0">
            <x v="86"/>
          </reference>
          <reference field="1" count="1" selected="0">
            <x v="40"/>
          </reference>
          <reference field="2" count="1" selected="0">
            <x v="5"/>
          </reference>
          <reference field="3" count="1">
            <x v="29"/>
          </reference>
        </references>
      </pivotArea>
    </format>
    <format dxfId="2416">
      <pivotArea dataOnly="0" labelOnly="1" outline="0" fieldPosition="0">
        <references count="4">
          <reference field="0" count="1" selected="0">
            <x v="87"/>
          </reference>
          <reference field="1" count="1" selected="0">
            <x v="41"/>
          </reference>
          <reference field="2" count="1" selected="0">
            <x v="3"/>
          </reference>
          <reference field="3" count="1">
            <x v="28"/>
          </reference>
        </references>
      </pivotArea>
    </format>
    <format dxfId="2415">
      <pivotArea dataOnly="0" labelOnly="1" outline="0" fieldPosition="0">
        <references count="4">
          <reference field="0" count="1" selected="0">
            <x v="88"/>
          </reference>
          <reference field="1" count="1" selected="0">
            <x v="43"/>
          </reference>
          <reference field="2" count="1" selected="0">
            <x v="2"/>
          </reference>
          <reference field="3" count="1">
            <x v="7"/>
          </reference>
        </references>
      </pivotArea>
    </format>
    <format dxfId="2414">
      <pivotArea dataOnly="0" labelOnly="1" outline="0" fieldPosition="0">
        <references count="4">
          <reference field="0" count="1" selected="0">
            <x v="90"/>
          </reference>
          <reference field="1" count="1" selected="0">
            <x v="47"/>
          </reference>
          <reference field="2" count="1" selected="0">
            <x v="3"/>
          </reference>
          <reference field="3" count="1">
            <x v="20"/>
          </reference>
        </references>
      </pivotArea>
    </format>
    <format dxfId="2413">
      <pivotArea dataOnly="0" labelOnly="1" outline="0" fieldPosition="0">
        <references count="4">
          <reference field="0" count="1" selected="0">
            <x v="91"/>
          </reference>
          <reference field="1" count="1" selected="0">
            <x v="54"/>
          </reference>
          <reference field="2" count="1" selected="0">
            <x v="3"/>
          </reference>
          <reference field="3" count="1">
            <x v="31"/>
          </reference>
        </references>
      </pivotArea>
    </format>
    <format dxfId="2412">
      <pivotArea dataOnly="0" labelOnly="1" outline="0" fieldPosition="0">
        <references count="4">
          <reference field="0" count="1" selected="0">
            <x v="93"/>
          </reference>
          <reference field="1" count="1" selected="0">
            <x v="91"/>
          </reference>
          <reference field="2" count="1" selected="0">
            <x v="6"/>
          </reference>
          <reference field="3" count="1">
            <x v="43"/>
          </reference>
        </references>
      </pivotArea>
    </format>
    <format dxfId="2411">
      <pivotArea dataOnly="0" labelOnly="1" outline="0" fieldPosition="0">
        <references count="4">
          <reference field="0" count="1" selected="0">
            <x v="94"/>
          </reference>
          <reference field="1" count="1" selected="0">
            <x v="94"/>
          </reference>
          <reference field="2" count="1" selected="0">
            <x v="3"/>
          </reference>
          <reference field="3" count="1">
            <x v="31"/>
          </reference>
        </references>
      </pivotArea>
    </format>
    <format dxfId="2410">
      <pivotArea dataOnly="0" labelOnly="1" outline="0" fieldPosition="0">
        <references count="4">
          <reference field="0" count="1" selected="0">
            <x v="95"/>
          </reference>
          <reference field="1" count="1" selected="0">
            <x v="95"/>
          </reference>
          <reference field="2" count="1" selected="0">
            <x v="3"/>
          </reference>
          <reference field="3" count="1">
            <x v="28"/>
          </reference>
        </references>
      </pivotArea>
    </format>
    <format dxfId="2409">
      <pivotArea dataOnly="0" labelOnly="1" outline="0" fieldPosition="0">
        <references count="4">
          <reference field="0" count="1" selected="0">
            <x v="96"/>
          </reference>
          <reference field="1" count="1" selected="0">
            <x v="100"/>
          </reference>
          <reference field="2" count="1" selected="0">
            <x v="3"/>
          </reference>
          <reference field="3" count="1">
            <x v="10"/>
          </reference>
        </references>
      </pivotArea>
    </format>
    <format dxfId="2408">
      <pivotArea dataOnly="0" labelOnly="1" outline="0" fieldPosition="0">
        <references count="4">
          <reference field="0" count="1" selected="0">
            <x v="97"/>
          </reference>
          <reference field="1" count="1" selected="0">
            <x v="50"/>
          </reference>
          <reference field="2" count="1" selected="0">
            <x v="2"/>
          </reference>
          <reference field="3" count="1">
            <x v="23"/>
          </reference>
        </references>
      </pivotArea>
    </format>
    <format dxfId="2407">
      <pivotArea dataOnly="0" labelOnly="1" outline="0" fieldPosition="0">
        <references count="4">
          <reference field="0" count="1" selected="0">
            <x v="98"/>
          </reference>
          <reference field="1" count="1" selected="0">
            <x v="52"/>
          </reference>
          <reference field="2" count="1" selected="0">
            <x v="4"/>
          </reference>
          <reference field="3" count="1">
            <x v="25"/>
          </reference>
        </references>
      </pivotArea>
    </format>
    <format dxfId="2406">
      <pivotArea dataOnly="0" labelOnly="1" outline="0" fieldPosition="0">
        <references count="4">
          <reference field="0" count="1" selected="0">
            <x v="99"/>
          </reference>
          <reference field="1" count="1" selected="0">
            <x v="85"/>
          </reference>
          <reference field="2" count="1" selected="0">
            <x v="4"/>
          </reference>
          <reference field="3" count="1">
            <x v="40"/>
          </reference>
        </references>
      </pivotArea>
    </format>
    <format dxfId="2405">
      <pivotArea dataOnly="0" labelOnly="1" outline="0" fieldPosition="0">
        <references count="4">
          <reference field="0" count="1" selected="0">
            <x v="100"/>
          </reference>
          <reference field="1" count="1" selected="0">
            <x v="61"/>
          </reference>
          <reference field="2" count="1" selected="0">
            <x v="0"/>
          </reference>
          <reference field="3" count="1">
            <x v="0"/>
          </reference>
        </references>
      </pivotArea>
    </format>
    <format dxfId="2404">
      <pivotArea dataOnly="0" labelOnly="1" outline="0" fieldPosition="0">
        <references count="5">
          <reference field="0" count="1" selected="0">
            <x v="0"/>
          </reference>
          <reference field="1" count="1" selected="0">
            <x v="4"/>
          </reference>
          <reference field="2" count="1" selected="0">
            <x v="1"/>
          </reference>
          <reference field="3" count="1" selected="0">
            <x v="2"/>
          </reference>
          <reference field="4" count="1">
            <x v="2"/>
          </reference>
        </references>
      </pivotArea>
    </format>
    <format dxfId="2403">
      <pivotArea dataOnly="0" labelOnly="1" outline="0" fieldPosition="0">
        <references count="5">
          <reference field="0" count="1" selected="0">
            <x v="1"/>
          </reference>
          <reference field="1" count="1" selected="0">
            <x v="7"/>
          </reference>
          <reference field="2" count="1" selected="0">
            <x v="2"/>
          </reference>
          <reference field="3" count="1" selected="0">
            <x v="18"/>
          </reference>
          <reference field="4" count="1">
            <x v="38"/>
          </reference>
        </references>
      </pivotArea>
    </format>
    <format dxfId="2402">
      <pivotArea dataOnly="0" labelOnly="1" outline="0" fieldPosition="0">
        <references count="5">
          <reference field="0" count="1" selected="0">
            <x v="2"/>
          </reference>
          <reference field="1" count="1" selected="0">
            <x v="10"/>
          </reference>
          <reference field="2" count="1" selected="0">
            <x v="2"/>
          </reference>
          <reference field="3" count="1" selected="0">
            <x v="7"/>
          </reference>
          <reference field="4" count="1">
            <x v="3"/>
          </reference>
        </references>
      </pivotArea>
    </format>
    <format dxfId="2401">
      <pivotArea dataOnly="0" labelOnly="1" outline="0" fieldPosition="0">
        <references count="5">
          <reference field="0" count="1" selected="0">
            <x v="3"/>
          </reference>
          <reference field="1" count="1" selected="0">
            <x v="13"/>
          </reference>
          <reference field="2" count="1" selected="0">
            <x v="3"/>
          </reference>
          <reference field="3" count="1" selected="0">
            <x v="31"/>
          </reference>
          <reference field="4" count="1">
            <x v="4"/>
          </reference>
        </references>
      </pivotArea>
    </format>
    <format dxfId="2400">
      <pivotArea dataOnly="0" labelOnly="1" outline="0" fieldPosition="0">
        <references count="5">
          <reference field="0" count="1" selected="0">
            <x v="4"/>
          </reference>
          <reference field="1" count="1" selected="0">
            <x v="15"/>
          </reference>
          <reference field="2" count="1" selected="0">
            <x v="2"/>
          </reference>
          <reference field="3" count="1" selected="0">
            <x v="5"/>
          </reference>
          <reference field="4" count="1">
            <x v="5"/>
          </reference>
        </references>
      </pivotArea>
    </format>
    <format dxfId="2399">
      <pivotArea dataOnly="0" labelOnly="1" outline="0" fieldPosition="0">
        <references count="5">
          <reference field="0" count="1" selected="0">
            <x v="5"/>
          </reference>
          <reference field="1" count="1" selected="0">
            <x v="18"/>
          </reference>
          <reference field="2" count="1" selected="0">
            <x v="1"/>
          </reference>
          <reference field="3" count="1" selected="0">
            <x v="3"/>
          </reference>
          <reference field="4" count="1">
            <x v="11"/>
          </reference>
        </references>
      </pivotArea>
    </format>
    <format dxfId="2398">
      <pivotArea dataOnly="0" labelOnly="1" outline="0" fieldPosition="0">
        <references count="5">
          <reference field="0" count="1" selected="0">
            <x v="6"/>
          </reference>
          <reference field="1" count="1" selected="0">
            <x v="19"/>
          </reference>
          <reference field="2" count="1" selected="0">
            <x v="6"/>
          </reference>
          <reference field="3" count="1" selected="0">
            <x v="4"/>
          </reference>
          <reference field="4" count="1">
            <x v="61"/>
          </reference>
        </references>
      </pivotArea>
    </format>
    <format dxfId="2397">
      <pivotArea dataOnly="0" labelOnly="1" outline="0" fieldPosition="0">
        <references count="5">
          <reference field="0" count="1" selected="0">
            <x v="7"/>
          </reference>
          <reference field="1" count="1" selected="0">
            <x v="20"/>
          </reference>
          <reference field="2" count="1" selected="0">
            <x v="2"/>
          </reference>
          <reference field="3" count="1" selected="0">
            <x v="6"/>
          </reference>
          <reference field="4" count="1">
            <x v="39"/>
          </reference>
        </references>
      </pivotArea>
    </format>
    <format dxfId="2396">
      <pivotArea dataOnly="0" labelOnly="1" outline="0" fieldPosition="0">
        <references count="5">
          <reference field="0" count="1" selected="0">
            <x v="8"/>
          </reference>
          <reference field="1" count="1" selected="0">
            <x v="21"/>
          </reference>
          <reference field="2" count="1" selected="0">
            <x v="2"/>
          </reference>
          <reference field="3" count="1" selected="0">
            <x v="6"/>
          </reference>
          <reference field="4" count="1">
            <x v="27"/>
          </reference>
        </references>
      </pivotArea>
    </format>
    <format dxfId="2395">
      <pivotArea dataOnly="0" labelOnly="1" outline="0" fieldPosition="0">
        <references count="5">
          <reference field="0" count="1" selected="0">
            <x v="9"/>
          </reference>
          <reference field="1" count="1" selected="0">
            <x v="23"/>
          </reference>
          <reference field="2" count="1" selected="0">
            <x v="1"/>
          </reference>
          <reference field="3" count="1" selected="0">
            <x v="2"/>
          </reference>
          <reference field="4" count="1">
            <x v="28"/>
          </reference>
        </references>
      </pivotArea>
    </format>
    <format dxfId="2394">
      <pivotArea dataOnly="0" labelOnly="1" outline="0" fieldPosition="0">
        <references count="5">
          <reference field="0" count="1" selected="0">
            <x v="10"/>
          </reference>
          <reference field="1" count="1" selected="0">
            <x v="26"/>
          </reference>
          <reference field="2" count="1" selected="0">
            <x v="2"/>
          </reference>
          <reference field="3" count="1" selected="0">
            <x v="8"/>
          </reference>
          <reference field="4" count="1">
            <x v="42"/>
          </reference>
        </references>
      </pivotArea>
    </format>
    <format dxfId="2393">
      <pivotArea dataOnly="0" labelOnly="1" outline="0" fieldPosition="0">
        <references count="5">
          <reference field="0" count="1" selected="0">
            <x v="11"/>
          </reference>
          <reference field="1" count="1" selected="0">
            <x v="28"/>
          </reference>
          <reference field="2" count="1" selected="0">
            <x v="3"/>
          </reference>
          <reference field="3" count="1" selected="0">
            <x v="10"/>
          </reference>
          <reference field="4" count="1">
            <x v="21"/>
          </reference>
        </references>
      </pivotArea>
    </format>
    <format dxfId="2392">
      <pivotArea dataOnly="0" labelOnly="1" outline="0" fieldPosition="0">
        <references count="5">
          <reference field="0" count="1" selected="0">
            <x v="12"/>
          </reference>
          <reference field="1" count="1" selected="0">
            <x v="29"/>
          </reference>
          <reference field="2" count="1" selected="0">
            <x v="3"/>
          </reference>
          <reference field="3" count="1" selected="0">
            <x v="10"/>
          </reference>
          <reference field="4" count="1">
            <x v="33"/>
          </reference>
        </references>
      </pivotArea>
    </format>
    <format dxfId="2391">
      <pivotArea dataOnly="0" labelOnly="1" outline="0" fieldPosition="0">
        <references count="5">
          <reference field="0" count="1" selected="0">
            <x v="13"/>
          </reference>
          <reference field="1" count="1" selected="0">
            <x v="30"/>
          </reference>
          <reference field="2" count="1" selected="0">
            <x v="7"/>
          </reference>
          <reference field="3" count="1" selected="0">
            <x v="11"/>
          </reference>
          <reference field="4" count="1">
            <x v="20"/>
          </reference>
        </references>
      </pivotArea>
    </format>
    <format dxfId="2390">
      <pivotArea dataOnly="0" labelOnly="1" outline="0" fieldPosition="0">
        <references count="5">
          <reference field="0" count="1" selected="0">
            <x v="14"/>
          </reference>
          <reference field="1" count="1" selected="0">
            <x v="34"/>
          </reference>
          <reference field="2" count="1" selected="0">
            <x v="3"/>
          </reference>
          <reference field="3" count="1" selected="0">
            <x v="12"/>
          </reference>
          <reference field="4" count="1">
            <x v="22"/>
          </reference>
        </references>
      </pivotArea>
    </format>
    <format dxfId="2389">
      <pivotArea dataOnly="0" labelOnly="1" outline="0" fieldPosition="0">
        <references count="5">
          <reference field="0" count="1" selected="0">
            <x v="15"/>
          </reference>
          <reference field="1" count="1" selected="0">
            <x v="35"/>
          </reference>
          <reference field="2" count="1" selected="0">
            <x v="2"/>
          </reference>
          <reference field="3" count="1" selected="0">
            <x v="13"/>
          </reference>
          <reference field="4" count="1">
            <x v="68"/>
          </reference>
        </references>
      </pivotArea>
    </format>
    <format dxfId="2388">
      <pivotArea dataOnly="0" labelOnly="1" outline="0" fieldPosition="0">
        <references count="5">
          <reference field="0" count="1" selected="0">
            <x v="16"/>
          </reference>
          <reference field="1" count="1" selected="0">
            <x v="36"/>
          </reference>
          <reference field="2" count="1" selected="0">
            <x v="3"/>
          </reference>
          <reference field="3" count="1" selected="0">
            <x v="28"/>
          </reference>
          <reference field="4" count="1">
            <x v="23"/>
          </reference>
        </references>
      </pivotArea>
    </format>
    <format dxfId="2387">
      <pivotArea dataOnly="0" labelOnly="1" outline="0" fieldPosition="0">
        <references count="5">
          <reference field="0" count="1" selected="0">
            <x v="17"/>
          </reference>
          <reference field="1" count="1" selected="0">
            <x v="37"/>
          </reference>
          <reference field="2" count="1" selected="0">
            <x v="3"/>
          </reference>
          <reference field="3" count="1" selected="0">
            <x v="15"/>
          </reference>
          <reference field="4" count="1">
            <x v="35"/>
          </reference>
        </references>
      </pivotArea>
    </format>
    <format dxfId="2386">
      <pivotArea dataOnly="0" labelOnly="1" outline="0" fieldPosition="0">
        <references count="5">
          <reference field="0" count="1" selected="0">
            <x v="18"/>
          </reference>
          <reference field="1" count="1" selected="0">
            <x v="38"/>
          </reference>
          <reference field="2" count="1" selected="0">
            <x v="3"/>
          </reference>
          <reference field="3" count="1" selected="0">
            <x v="15"/>
          </reference>
          <reference field="4" count="1">
            <x v="24"/>
          </reference>
        </references>
      </pivotArea>
    </format>
    <format dxfId="2385">
      <pivotArea dataOnly="0" labelOnly="1" outline="0" fieldPosition="0">
        <references count="5">
          <reference field="0" count="1" selected="0">
            <x v="19"/>
          </reference>
          <reference field="1" count="1" selected="0">
            <x v="39"/>
          </reference>
          <reference field="2" count="1" selected="0">
            <x v="8"/>
          </reference>
          <reference field="3" count="1" selected="0">
            <x v="16"/>
          </reference>
          <reference field="4" count="1">
            <x v="15"/>
          </reference>
        </references>
      </pivotArea>
    </format>
    <format dxfId="2384">
      <pivotArea dataOnly="0" labelOnly="1" outline="0" fieldPosition="0">
        <references count="5">
          <reference field="0" count="1" selected="0">
            <x v="20"/>
          </reference>
          <reference field="1" count="1" selected="0">
            <x v="42"/>
          </reference>
          <reference field="2" count="1" selected="0">
            <x v="5"/>
          </reference>
          <reference field="3" count="1" selected="0">
            <x v="17"/>
          </reference>
          <reference field="4" count="1">
            <x v="31"/>
          </reference>
        </references>
      </pivotArea>
    </format>
    <format dxfId="2383">
      <pivotArea dataOnly="0" labelOnly="1" outline="0" fieldPosition="0">
        <references count="5">
          <reference field="0" count="1" selected="0">
            <x v="21"/>
          </reference>
          <reference field="1" count="1" selected="0">
            <x v="45"/>
          </reference>
          <reference field="2" count="1" selected="0">
            <x v="4"/>
          </reference>
          <reference field="3" count="1" selected="0">
            <x v="19"/>
          </reference>
          <reference field="4" count="1">
            <x v="8"/>
          </reference>
        </references>
      </pivotArea>
    </format>
    <format dxfId="2382">
      <pivotArea dataOnly="0" labelOnly="1" outline="0" fieldPosition="0">
        <references count="5">
          <reference field="0" count="1" selected="0">
            <x v="22"/>
          </reference>
          <reference field="1" count="1" selected="0">
            <x v="46"/>
          </reference>
          <reference field="2" count="1" selected="0">
            <x v="4"/>
          </reference>
          <reference field="3" count="1" selected="0">
            <x v="19"/>
          </reference>
          <reference field="4" count="1">
            <x v="71"/>
          </reference>
        </references>
      </pivotArea>
    </format>
    <format dxfId="2381">
      <pivotArea dataOnly="0" labelOnly="1" outline="0" fieldPosition="0">
        <references count="5">
          <reference field="0" count="1" selected="0">
            <x v="23"/>
          </reference>
          <reference field="1" count="1" selected="0">
            <x v="48"/>
          </reference>
          <reference field="2" count="1" selected="0">
            <x v="7"/>
          </reference>
          <reference field="3" count="1" selected="0">
            <x v="21"/>
          </reference>
          <reference field="4" count="1">
            <x v="36"/>
          </reference>
        </references>
      </pivotArea>
    </format>
    <format dxfId="2380">
      <pivotArea dataOnly="0" labelOnly="1" outline="0" fieldPosition="0">
        <references count="5">
          <reference field="0" count="1" selected="0">
            <x v="24"/>
          </reference>
          <reference field="1" count="1" selected="0">
            <x v="51"/>
          </reference>
          <reference field="2" count="1" selected="0">
            <x v="3"/>
          </reference>
          <reference field="3" count="1" selected="0">
            <x v="24"/>
          </reference>
          <reference field="4" count="1">
            <x v="55"/>
          </reference>
        </references>
      </pivotArea>
    </format>
    <format dxfId="2379">
      <pivotArea dataOnly="0" labelOnly="1" outline="0" fieldPosition="0">
        <references count="5">
          <reference field="0" count="1" selected="0">
            <x v="25"/>
          </reference>
          <reference field="1" count="1" selected="0">
            <x v="53"/>
          </reference>
          <reference field="2" count="1" selected="0">
            <x v="3"/>
          </reference>
          <reference field="3" count="1" selected="0">
            <x v="26"/>
          </reference>
          <reference field="4" count="1">
            <x v="64"/>
          </reference>
        </references>
      </pivotArea>
    </format>
    <format dxfId="2378">
      <pivotArea dataOnly="0" labelOnly="1" outline="0" fieldPosition="0">
        <references count="5">
          <reference field="0" count="1" selected="0">
            <x v="26"/>
          </reference>
          <reference field="1" count="1" selected="0">
            <x v="56"/>
          </reference>
          <reference field="2" count="1" selected="0">
            <x v="2"/>
          </reference>
          <reference field="3" count="1" selected="0">
            <x v="7"/>
          </reference>
          <reference field="4" count="1">
            <x v="41"/>
          </reference>
        </references>
      </pivotArea>
    </format>
    <format dxfId="2377">
      <pivotArea dataOnly="0" labelOnly="1" outline="0" fieldPosition="0">
        <references count="5">
          <reference field="0" count="1" selected="0">
            <x v="27"/>
          </reference>
          <reference field="1" count="1" selected="0">
            <x v="57"/>
          </reference>
          <reference field="2" count="1" selected="0">
            <x v="2"/>
          </reference>
          <reference field="3" count="1" selected="0">
            <x v="8"/>
          </reference>
          <reference field="4" count="1">
            <x v="42"/>
          </reference>
        </references>
      </pivotArea>
    </format>
    <format dxfId="2376">
      <pivotArea dataOnly="0" labelOnly="1" outline="0" fieldPosition="0">
        <references count="5">
          <reference field="0" count="1" selected="0">
            <x v="30"/>
          </reference>
          <reference field="1" count="1" selected="0">
            <x v="60"/>
          </reference>
          <reference field="2" count="1" selected="0">
            <x v="2"/>
          </reference>
          <reference field="3" count="1" selected="0">
            <x v="8"/>
          </reference>
          <reference field="4" count="1">
            <x v="32"/>
          </reference>
        </references>
      </pivotArea>
    </format>
    <format dxfId="2375">
      <pivotArea dataOnly="0" labelOnly="1" outline="0" fieldPosition="0">
        <references count="5">
          <reference field="0" count="1" selected="0">
            <x v="31"/>
          </reference>
          <reference field="1" count="1" selected="0">
            <x v="62"/>
          </reference>
          <reference field="2" count="1" selected="0">
            <x v="2"/>
          </reference>
          <reference field="3" count="1" selected="0">
            <x v="8"/>
          </reference>
          <reference field="4" count="1">
            <x v="42"/>
          </reference>
        </references>
      </pivotArea>
    </format>
    <format dxfId="2374">
      <pivotArea dataOnly="0" labelOnly="1" outline="0" fieldPosition="0">
        <references count="5">
          <reference field="0" count="1" selected="0">
            <x v="33"/>
          </reference>
          <reference field="1" count="1" selected="0">
            <x v="63"/>
          </reference>
          <reference field="2" count="1" selected="0">
            <x v="4"/>
          </reference>
          <reference field="3" count="1" selected="0">
            <x v="1"/>
          </reference>
          <reference field="4" count="1">
            <x v="43"/>
          </reference>
        </references>
      </pivotArea>
    </format>
    <format dxfId="2373">
      <pivotArea dataOnly="0" labelOnly="1" outline="0" fieldPosition="0">
        <references count="5">
          <reference field="0" count="1" selected="0">
            <x v="34"/>
          </reference>
          <reference field="1" count="1" selected="0">
            <x v="65"/>
          </reference>
          <reference field="2" count="1" selected="0">
            <x v="5"/>
          </reference>
          <reference field="3" count="1" selected="0">
            <x v="29"/>
          </reference>
          <reference field="4" count="1">
            <x v="45"/>
          </reference>
        </references>
      </pivotArea>
    </format>
    <format dxfId="2372">
      <pivotArea dataOnly="0" labelOnly="1" outline="0" fieldPosition="0">
        <references count="5">
          <reference field="0" count="1" selected="0">
            <x v="35"/>
          </reference>
          <reference field="1" count="1" selected="0">
            <x v="66"/>
          </reference>
          <reference field="2" count="1" selected="0">
            <x v="5"/>
          </reference>
          <reference field="3" count="1" selected="0">
            <x v="29"/>
          </reference>
          <reference field="4" count="1">
            <x v="29"/>
          </reference>
        </references>
      </pivotArea>
    </format>
    <format dxfId="2371">
      <pivotArea dataOnly="0" labelOnly="1" outline="0" fieldPosition="0">
        <references count="5">
          <reference field="0" count="1" selected="0">
            <x v="36"/>
          </reference>
          <reference field="1" count="1" selected="0">
            <x v="67"/>
          </reference>
          <reference field="2" count="1" selected="0">
            <x v="2"/>
          </reference>
          <reference field="3" count="1" selected="0">
            <x v="8"/>
          </reference>
          <reference field="4" count="1">
            <x v="70"/>
          </reference>
        </references>
      </pivotArea>
    </format>
    <format dxfId="2370">
      <pivotArea dataOnly="0" labelOnly="1" outline="0" fieldPosition="0">
        <references count="5">
          <reference field="0" count="1" selected="0">
            <x v="37"/>
          </reference>
          <reference field="1" count="1" selected="0">
            <x v="68"/>
          </reference>
          <reference field="2" count="1" selected="0">
            <x v="3"/>
          </reference>
          <reference field="3" count="1" selected="0">
            <x v="31"/>
          </reference>
          <reference field="4" count="1">
            <x v="7"/>
          </reference>
        </references>
      </pivotArea>
    </format>
    <format dxfId="2369">
      <pivotArea dataOnly="0" labelOnly="1" outline="0" fieldPosition="0">
        <references count="5">
          <reference field="0" count="1" selected="0">
            <x v="38"/>
          </reference>
          <reference field="1" count="1" selected="0">
            <x v="69"/>
          </reference>
          <reference field="2" count="1" selected="0">
            <x v="3"/>
          </reference>
          <reference field="3" count="1" selected="0">
            <x v="31"/>
          </reference>
          <reference field="4" count="1">
            <x v="69"/>
          </reference>
        </references>
      </pivotArea>
    </format>
    <format dxfId="2368">
      <pivotArea dataOnly="0" labelOnly="1" outline="0" fieldPosition="0">
        <references count="5">
          <reference field="0" count="1" selected="0">
            <x v="39"/>
          </reference>
          <reference field="1" count="1" selected="0">
            <x v="71"/>
          </reference>
          <reference field="2" count="1" selected="0">
            <x v="6"/>
          </reference>
          <reference field="3" count="1" selected="0">
            <x v="33"/>
          </reference>
          <reference field="4" count="1">
            <x v="37"/>
          </reference>
        </references>
      </pivotArea>
    </format>
    <format dxfId="2367">
      <pivotArea dataOnly="0" labelOnly="1" outline="0" fieldPosition="0">
        <references count="5">
          <reference field="0" count="1" selected="0">
            <x v="40"/>
          </reference>
          <reference field="1" count="1" selected="0">
            <x v="72"/>
          </reference>
          <reference field="2" count="1" selected="0">
            <x v="6"/>
          </reference>
          <reference field="3" count="1" selected="0">
            <x v="33"/>
          </reference>
          <reference field="4" count="1">
            <x v="47"/>
          </reference>
        </references>
      </pivotArea>
    </format>
    <format dxfId="2366">
      <pivotArea dataOnly="0" labelOnly="1" outline="0" fieldPosition="0">
        <references count="5">
          <reference field="0" count="1" selected="0">
            <x v="41"/>
          </reference>
          <reference field="1" count="1" selected="0">
            <x v="73"/>
          </reference>
          <reference field="2" count="1" selected="0">
            <x v="3"/>
          </reference>
          <reference field="3" count="1" selected="0">
            <x v="10"/>
          </reference>
          <reference field="4" count="1">
            <x v="48"/>
          </reference>
        </references>
      </pivotArea>
    </format>
    <format dxfId="2365">
      <pivotArea dataOnly="0" labelOnly="1" outline="0" fieldPosition="0">
        <references count="5">
          <reference field="0" count="1" selected="0">
            <x v="42"/>
          </reference>
          <reference field="1" count="1" selected="0">
            <x v="74"/>
          </reference>
          <reference field="2" count="1" selected="0">
            <x v="5"/>
          </reference>
          <reference field="3" count="1" selected="0">
            <x v="34"/>
          </reference>
          <reference field="4" count="1">
            <x v="49"/>
          </reference>
        </references>
      </pivotArea>
    </format>
    <format dxfId="2364">
      <pivotArea dataOnly="0" labelOnly="1" outline="0" fieldPosition="0">
        <references count="5">
          <reference field="0" count="1" selected="0">
            <x v="43"/>
          </reference>
          <reference field="1" count="1" selected="0">
            <x v="75"/>
          </reference>
          <reference field="2" count="1" selected="0">
            <x v="7"/>
          </reference>
          <reference field="3" count="1" selected="0">
            <x v="35"/>
          </reference>
          <reference field="4" count="1">
            <x v="50"/>
          </reference>
        </references>
      </pivotArea>
    </format>
    <format dxfId="2363">
      <pivotArea dataOnly="0" labelOnly="1" outline="0" fieldPosition="0">
        <references count="5">
          <reference field="0" count="1" selected="0">
            <x v="44"/>
          </reference>
          <reference field="1" count="1" selected="0">
            <x v="76"/>
          </reference>
          <reference field="2" count="1" selected="0">
            <x v="2"/>
          </reference>
          <reference field="3" count="1" selected="0">
            <x v="36"/>
          </reference>
          <reference field="4" count="1">
            <x v="16"/>
          </reference>
        </references>
      </pivotArea>
    </format>
    <format dxfId="2362">
      <pivotArea dataOnly="0" labelOnly="1" outline="0" fieldPosition="0">
        <references count="5">
          <reference field="0" count="1" selected="0">
            <x v="45"/>
          </reference>
          <reference field="1" count="1" selected="0">
            <x v="70"/>
          </reference>
          <reference field="2" count="1" selected="0">
            <x v="3"/>
          </reference>
          <reference field="3" count="1" selected="0">
            <x v="32"/>
          </reference>
          <reference field="4" count="1">
            <x v="46"/>
          </reference>
        </references>
      </pivotArea>
    </format>
    <format dxfId="2361">
      <pivotArea dataOnly="0" labelOnly="1" outline="0" fieldPosition="0">
        <references count="5">
          <reference field="0" count="1" selected="0">
            <x v="46"/>
          </reference>
          <reference field="1" count="1" selected="0">
            <x v="77"/>
          </reference>
          <reference field="2" count="1" selected="0">
            <x v="6"/>
          </reference>
          <reference field="3" count="1" selected="0">
            <x v="37"/>
          </reference>
          <reference field="4" count="1">
            <x v="9"/>
          </reference>
        </references>
      </pivotArea>
    </format>
    <format dxfId="2360">
      <pivotArea dataOnly="0" labelOnly="1" outline="0" fieldPosition="0">
        <references count="5">
          <reference field="0" count="1" selected="0">
            <x v="47"/>
          </reference>
          <reference field="1" count="1" selected="0">
            <x v="78"/>
          </reference>
          <reference field="2" count="1" selected="0">
            <x v="7"/>
          </reference>
          <reference field="3" count="1" selected="0">
            <x v="38"/>
          </reference>
          <reference field="4" count="1">
            <x v="18"/>
          </reference>
        </references>
      </pivotArea>
    </format>
    <format dxfId="2359">
      <pivotArea dataOnly="0" labelOnly="1" outline="0" fieldPosition="0">
        <references count="5">
          <reference field="0" count="1" selected="0">
            <x v="48"/>
          </reference>
          <reference field="1" count="1" selected="0">
            <x v="79"/>
          </reference>
          <reference field="2" count="1" selected="0">
            <x v="2"/>
          </reference>
          <reference field="3" count="1" selected="0">
            <x v="7"/>
          </reference>
          <reference field="4" count="1">
            <x v="54"/>
          </reference>
        </references>
      </pivotArea>
    </format>
    <format dxfId="2358">
      <pivotArea dataOnly="0" labelOnly="1" outline="0" fieldPosition="0">
        <references count="5">
          <reference field="0" count="1" selected="0">
            <x v="49"/>
          </reference>
          <reference field="1" count="1" selected="0">
            <x v="80"/>
          </reference>
          <reference field="2" count="1" selected="0">
            <x v="6"/>
          </reference>
          <reference field="3" count="1" selected="0">
            <x v="39"/>
          </reference>
          <reference field="4" count="1">
            <x v="51"/>
          </reference>
        </references>
      </pivotArea>
    </format>
    <format dxfId="2357">
      <pivotArea dataOnly="0" labelOnly="1" outline="0" fieldPosition="0">
        <references count="5">
          <reference field="0" count="1" selected="0">
            <x v="50"/>
          </reference>
          <reference field="1" count="1" selected="0">
            <x v="81"/>
          </reference>
          <reference field="2" count="1" selected="0">
            <x v="4"/>
          </reference>
          <reference field="3" count="1" selected="0">
            <x v="1"/>
          </reference>
          <reference field="4" count="1">
            <x v="56"/>
          </reference>
        </references>
      </pivotArea>
    </format>
    <format dxfId="2356">
      <pivotArea dataOnly="0" labelOnly="1" outline="0" fieldPosition="0">
        <references count="5">
          <reference field="0" count="1" selected="0">
            <x v="51"/>
          </reference>
          <reference field="1" count="1" selected="0">
            <x v="82"/>
          </reference>
          <reference field="2" count="1" selected="0">
            <x v="2"/>
          </reference>
          <reference field="3" count="1" selected="0">
            <x v="8"/>
          </reference>
          <reference field="4" count="1">
            <x v="70"/>
          </reference>
        </references>
      </pivotArea>
    </format>
    <format dxfId="2355">
      <pivotArea dataOnly="0" labelOnly="1" outline="0" fieldPosition="0">
        <references count="5">
          <reference field="0" count="1" selected="0">
            <x v="52"/>
          </reference>
          <reference field="1" count="1" selected="0">
            <x v="83"/>
          </reference>
          <reference field="2" count="1" selected="0">
            <x v="2"/>
          </reference>
          <reference field="3" count="1" selected="0">
            <x v="7"/>
          </reference>
          <reference field="4" count="1">
            <x v="58"/>
          </reference>
        </references>
      </pivotArea>
    </format>
    <format dxfId="2354">
      <pivotArea dataOnly="0" labelOnly="1" outline="0" fieldPosition="0">
        <references count="5">
          <reference field="0" count="1" selected="0">
            <x v="53"/>
          </reference>
          <reference field="1" count="1" selected="0">
            <x v="84"/>
          </reference>
          <reference field="2" count="1" selected="0">
            <x v="6"/>
          </reference>
          <reference field="3" count="1" selected="0">
            <x v="30"/>
          </reference>
          <reference field="4" count="1">
            <x v="59"/>
          </reference>
        </references>
      </pivotArea>
    </format>
    <format dxfId="2353">
      <pivotArea dataOnly="0" labelOnly="1" outline="0" fieldPosition="0">
        <references count="5">
          <reference field="0" count="1" selected="0">
            <x v="54"/>
          </reference>
          <reference field="1" count="1" selected="0">
            <x v="86"/>
          </reference>
          <reference field="2" count="1" selected="0">
            <x v="3"/>
          </reference>
          <reference field="3" count="1" selected="0">
            <x v="41"/>
          </reference>
          <reference field="4" count="1">
            <x v="25"/>
          </reference>
        </references>
      </pivotArea>
    </format>
    <format dxfId="2352">
      <pivotArea dataOnly="0" labelOnly="1" outline="0" fieldPosition="0">
        <references count="5">
          <reference field="0" count="1" selected="0">
            <x v="55"/>
          </reference>
          <reference field="1" count="1" selected="0">
            <x v="87"/>
          </reference>
          <reference field="2" count="1" selected="0">
            <x v="3"/>
          </reference>
          <reference field="3" count="1" selected="0">
            <x v="41"/>
          </reference>
          <reference field="4" count="1">
            <x v="30"/>
          </reference>
        </references>
      </pivotArea>
    </format>
    <format dxfId="2351">
      <pivotArea dataOnly="0" labelOnly="1" outline="0" fieldPosition="0">
        <references count="5">
          <reference field="0" count="1" selected="0">
            <x v="57"/>
          </reference>
          <reference field="1" count="1" selected="0">
            <x v="89"/>
          </reference>
          <reference field="2" count="1" selected="0">
            <x v="8"/>
          </reference>
          <reference field="3" count="1" selected="0">
            <x v="27"/>
          </reference>
          <reference field="4" count="1">
            <x v="44"/>
          </reference>
        </references>
      </pivotArea>
    </format>
    <format dxfId="2350">
      <pivotArea dataOnly="0" labelOnly="1" outline="0" fieldPosition="0">
        <references count="5">
          <reference field="0" count="1" selected="0">
            <x v="58"/>
          </reference>
          <reference field="1" count="1" selected="0">
            <x v="90"/>
          </reference>
          <reference field="2" count="1" selected="0">
            <x v="3"/>
          </reference>
          <reference field="3" count="1" selected="0">
            <x v="14"/>
          </reference>
          <reference field="4" count="1">
            <x v="65"/>
          </reference>
        </references>
      </pivotArea>
    </format>
    <format dxfId="2349">
      <pivotArea dataOnly="0" labelOnly="1" outline="0" fieldPosition="0">
        <references count="5">
          <reference field="0" count="1" selected="0">
            <x v="59"/>
          </reference>
          <reference field="1" count="1" selected="0">
            <x v="92"/>
          </reference>
          <reference field="2" count="1" selected="0">
            <x v="2"/>
          </reference>
          <reference field="3" count="1" selected="0">
            <x v="7"/>
          </reference>
          <reference field="4" count="1">
            <x v="67"/>
          </reference>
        </references>
      </pivotArea>
    </format>
    <format dxfId="2348">
      <pivotArea dataOnly="0" labelOnly="1" outline="0" fieldPosition="0">
        <references count="5">
          <reference field="0" count="1" selected="0">
            <x v="60"/>
          </reference>
          <reference field="1" count="1" selected="0">
            <x v="96"/>
          </reference>
          <reference field="2" count="1" selected="0">
            <x v="8"/>
          </reference>
          <reference field="3" count="1" selected="0">
            <x v="44"/>
          </reference>
          <reference field="4" count="1">
            <x v="1"/>
          </reference>
        </references>
      </pivotArea>
    </format>
    <format dxfId="2347">
      <pivotArea dataOnly="0" labelOnly="1" outline="0" fieldPosition="0">
        <references count="5">
          <reference field="0" count="1" selected="0">
            <x v="61"/>
          </reference>
          <reference field="1" count="1" selected="0">
            <x v="97"/>
          </reference>
          <reference field="2" count="1" selected="0">
            <x v="4"/>
          </reference>
          <reference field="3" count="1" selected="0">
            <x v="1"/>
          </reference>
          <reference field="4" count="1">
            <x v="62"/>
          </reference>
        </references>
      </pivotArea>
    </format>
    <format dxfId="2346">
      <pivotArea dataOnly="0" labelOnly="1" outline="0" fieldPosition="0">
        <references count="5">
          <reference field="0" count="1" selected="0">
            <x v="62"/>
          </reference>
          <reference field="1" count="1" selected="0">
            <x v="98"/>
          </reference>
          <reference field="2" count="1" selected="0">
            <x v="8"/>
          </reference>
          <reference field="3" count="1" selected="0">
            <x v="45"/>
          </reference>
          <reference field="4" count="1">
            <x v="26"/>
          </reference>
        </references>
      </pivotArea>
    </format>
    <format dxfId="2345">
      <pivotArea dataOnly="0" labelOnly="1" outline="0" fieldPosition="0">
        <references count="5">
          <reference field="0" count="1" selected="0">
            <x v="63"/>
          </reference>
          <reference field="1" count="1" selected="0">
            <x v="99"/>
          </reference>
          <reference field="2" count="1" selected="0">
            <x v="3"/>
          </reference>
          <reference field="3" count="1" selected="0">
            <x v="46"/>
          </reference>
          <reference field="4" count="1">
            <x v="12"/>
          </reference>
        </references>
      </pivotArea>
    </format>
    <format dxfId="2344">
      <pivotArea dataOnly="0" labelOnly="1" outline="0" fieldPosition="0">
        <references count="5">
          <reference field="0" count="1" selected="0">
            <x v="64"/>
          </reference>
          <reference field="1" count="1" selected="0">
            <x v="11"/>
          </reference>
          <reference field="2" count="1" selected="0">
            <x v="2"/>
          </reference>
          <reference field="3" count="1" selected="0">
            <x v="7"/>
          </reference>
          <reference field="4" count="1">
            <x v="3"/>
          </reference>
        </references>
      </pivotArea>
    </format>
    <format dxfId="2343">
      <pivotArea dataOnly="0" labelOnly="1" outline="0" fieldPosition="0">
        <references count="5">
          <reference field="0" count="1" selected="0">
            <x v="65"/>
          </reference>
          <reference field="1" count="1" selected="0">
            <x v="12"/>
          </reference>
          <reference field="2" count="1" selected="0">
            <x v="3"/>
          </reference>
          <reference field="3" count="1" selected="0">
            <x v="31"/>
          </reference>
          <reference field="4" count="1">
            <x v="4"/>
          </reference>
        </references>
      </pivotArea>
    </format>
    <format dxfId="2342">
      <pivotArea dataOnly="0" labelOnly="1" outline="0" fieldPosition="0">
        <references count="5">
          <reference field="0" count="1" selected="0">
            <x v="66"/>
          </reference>
          <reference field="1" count="1" selected="0">
            <x v="49"/>
          </reference>
          <reference field="2" count="1" selected="0">
            <x v="4"/>
          </reference>
          <reference field="3" count="1" selected="0">
            <x v="22"/>
          </reference>
          <reference field="4" count="1">
            <x v="10"/>
          </reference>
        </references>
      </pivotArea>
    </format>
    <format dxfId="2341">
      <pivotArea dataOnly="0" labelOnly="1" outline="0" fieldPosition="0">
        <references count="5">
          <reference field="0" count="1" selected="0">
            <x v="67"/>
          </reference>
          <reference field="1" count="1" selected="0">
            <x v="64"/>
          </reference>
          <reference field="2" count="1" selected="0">
            <x v="4"/>
          </reference>
          <reference field="3" count="1" selected="0">
            <x v="1"/>
          </reference>
          <reference field="4" count="1">
            <x v="43"/>
          </reference>
        </references>
      </pivotArea>
    </format>
    <format dxfId="2340">
      <pivotArea dataOnly="0" labelOnly="1" outline="0" fieldPosition="0">
        <references count="5">
          <reference field="0" count="1" selected="0">
            <x v="68"/>
          </reference>
          <reference field="1" count="1" selected="0">
            <x v="0"/>
          </reference>
          <reference field="2" count="1" selected="0">
            <x v="3"/>
          </reference>
          <reference field="3" count="1" selected="0">
            <x v="28"/>
          </reference>
          <reference field="4" count="1">
            <x v="23"/>
          </reference>
        </references>
      </pivotArea>
    </format>
    <format dxfId="2339">
      <pivotArea dataOnly="0" labelOnly="1" outline="0" fieldPosition="0">
        <references count="5">
          <reference field="0" count="1" selected="0">
            <x v="69"/>
          </reference>
          <reference field="1" count="1" selected="0">
            <x v="1"/>
          </reference>
          <reference field="2" count="1" selected="0">
            <x v="3"/>
          </reference>
          <reference field="3" count="1" selected="0">
            <x v="32"/>
          </reference>
          <reference field="4" count="1">
            <x v="53"/>
          </reference>
        </references>
      </pivotArea>
    </format>
    <format dxfId="2338">
      <pivotArea dataOnly="0" labelOnly="1" outline="0" fieldPosition="0">
        <references count="5">
          <reference field="0" count="1" selected="0">
            <x v="70"/>
          </reference>
          <reference field="1" count="1" selected="0">
            <x v="2"/>
          </reference>
          <reference field="2" count="1" selected="0">
            <x v="3"/>
          </reference>
          <reference field="3" count="1" selected="0">
            <x v="28"/>
          </reference>
          <reference field="4" count="1">
            <x v="23"/>
          </reference>
        </references>
      </pivotArea>
    </format>
    <format dxfId="2337">
      <pivotArea dataOnly="0" labelOnly="1" outline="0" fieldPosition="0">
        <references count="5">
          <reference field="0" count="1" selected="0">
            <x v="72"/>
          </reference>
          <reference field="1" count="1" selected="0">
            <x v="5"/>
          </reference>
          <reference field="2" count="1" selected="0">
            <x v="5"/>
          </reference>
          <reference field="3" count="1" selected="0">
            <x v="29"/>
          </reference>
          <reference field="4" count="1">
            <x v="72"/>
          </reference>
        </references>
      </pivotArea>
    </format>
    <format dxfId="2336">
      <pivotArea dataOnly="0" labelOnly="1" outline="0" fieldPosition="0">
        <references count="5">
          <reference field="0" count="1" selected="0">
            <x v="73"/>
          </reference>
          <reference field="1" count="1" selected="0">
            <x v="6"/>
          </reference>
          <reference field="2" count="1" selected="0">
            <x v="2"/>
          </reference>
          <reference field="3" count="1" selected="0">
            <x v="9"/>
          </reference>
          <reference field="4" count="1">
            <x v="17"/>
          </reference>
        </references>
      </pivotArea>
    </format>
    <format dxfId="2335">
      <pivotArea dataOnly="0" labelOnly="1" outline="0" fieldPosition="0">
        <references count="5">
          <reference field="0" count="1" selected="0">
            <x v="74"/>
          </reference>
          <reference field="1" count="1" selected="0">
            <x v="8"/>
          </reference>
          <reference field="2" count="1" selected="0">
            <x v="3"/>
          </reference>
          <reference field="3" count="1" selected="0">
            <x v="31"/>
          </reference>
          <reference field="4" count="1">
            <x v="69"/>
          </reference>
        </references>
      </pivotArea>
    </format>
    <format dxfId="2334">
      <pivotArea dataOnly="0" labelOnly="1" outline="0" fieldPosition="0">
        <references count="5">
          <reference field="0" count="1" selected="0">
            <x v="75"/>
          </reference>
          <reference field="1" count="1" selected="0">
            <x v="9"/>
          </reference>
          <reference field="2" count="1" selected="0">
            <x v="3"/>
          </reference>
          <reference field="3" count="1" selected="0">
            <x v="28"/>
          </reference>
          <reference field="4" count="1">
            <x v="23"/>
          </reference>
        </references>
      </pivotArea>
    </format>
    <format dxfId="2333">
      <pivotArea dataOnly="0" labelOnly="1" outline="0" fieldPosition="0">
        <references count="5">
          <reference field="0" count="1" selected="0">
            <x v="76"/>
          </reference>
          <reference field="1" count="1" selected="0">
            <x v="14"/>
          </reference>
          <reference field="2" count="1" selected="0">
            <x v="3"/>
          </reference>
          <reference field="3" count="1" selected="0">
            <x v="10"/>
          </reference>
          <reference field="4" count="1">
            <x v="60"/>
          </reference>
        </references>
      </pivotArea>
    </format>
    <format dxfId="2332">
      <pivotArea dataOnly="0" labelOnly="1" outline="0" fieldPosition="0">
        <references count="5">
          <reference field="0" count="1" selected="0">
            <x v="77"/>
          </reference>
          <reference field="1" count="1" selected="0">
            <x v="16"/>
          </reference>
          <reference field="2" count="1" selected="0">
            <x v="3"/>
          </reference>
          <reference field="3" count="1" selected="0">
            <x v="10"/>
          </reference>
          <reference field="4" count="1">
            <x v="33"/>
          </reference>
        </references>
      </pivotArea>
    </format>
    <format dxfId="2331">
      <pivotArea dataOnly="0" labelOnly="1" outline="0" fieldPosition="0">
        <references count="5">
          <reference field="0" count="1" selected="0">
            <x v="78"/>
          </reference>
          <reference field="1" count="1" selected="0">
            <x v="17"/>
          </reference>
          <reference field="2" count="1" selected="0">
            <x v="3"/>
          </reference>
          <reference field="3" count="1" selected="0">
            <x v="14"/>
          </reference>
          <reference field="4" count="1">
            <x v="34"/>
          </reference>
        </references>
      </pivotArea>
    </format>
    <format dxfId="2330">
      <pivotArea dataOnly="0" labelOnly="1" outline="0" fieldPosition="0">
        <references count="5">
          <reference field="0" count="1" selected="0">
            <x v="79"/>
          </reference>
          <reference field="1" count="1" selected="0">
            <x v="22"/>
          </reference>
          <reference field="2" count="1" selected="0">
            <x v="8"/>
          </reference>
          <reference field="3" count="1" selected="0">
            <x v="44"/>
          </reference>
          <reference field="4" count="1">
            <x v="14"/>
          </reference>
        </references>
      </pivotArea>
    </format>
    <format dxfId="2329">
      <pivotArea dataOnly="0" labelOnly="1" outline="0" fieldPosition="0">
        <references count="5">
          <reference field="0" count="1" selected="0">
            <x v="80"/>
          </reference>
          <reference field="1" count="1" selected="0">
            <x v="24"/>
          </reference>
          <reference field="2" count="1" selected="0">
            <x v="3"/>
          </reference>
          <reference field="3" count="1" selected="0">
            <x v="31"/>
          </reference>
          <reference field="4" count="1">
            <x v="57"/>
          </reference>
        </references>
      </pivotArea>
    </format>
    <format dxfId="2328">
      <pivotArea dataOnly="0" labelOnly="1" outline="0" fieldPosition="0">
        <references count="5">
          <reference field="0" count="1" selected="0">
            <x v="81"/>
          </reference>
          <reference field="1" count="1" selected="0">
            <x v="25"/>
          </reference>
          <reference field="2" count="1" selected="0">
            <x v="3"/>
          </reference>
          <reference field="3" count="1" selected="0">
            <x v="10"/>
          </reference>
          <reference field="4" count="1">
            <x v="19"/>
          </reference>
        </references>
      </pivotArea>
    </format>
    <format dxfId="2327">
      <pivotArea dataOnly="0" labelOnly="1" outline="0" fieldPosition="0">
        <references count="5">
          <reference field="0" count="1" selected="0">
            <x v="82"/>
          </reference>
          <reference field="1" count="1" selected="0">
            <x v="27"/>
          </reference>
          <reference field="2" count="1" selected="0">
            <x v="2"/>
          </reference>
          <reference field="3" count="1" selected="0">
            <x v="9"/>
          </reference>
          <reference field="4" count="1">
            <x v="40"/>
          </reference>
        </references>
      </pivotArea>
    </format>
    <format dxfId="2326">
      <pivotArea dataOnly="0" labelOnly="1" outline="0" fieldPosition="0">
        <references count="5">
          <reference field="0" count="1" selected="0">
            <x v="83"/>
          </reference>
          <reference field="1" count="1" selected="0">
            <x v="31"/>
          </reference>
          <reference field="2" count="1" selected="0">
            <x v="8"/>
          </reference>
          <reference field="3" count="1" selected="0">
            <x v="16"/>
          </reference>
          <reference field="4" count="1">
            <x v="6"/>
          </reference>
        </references>
      </pivotArea>
    </format>
    <format dxfId="2325">
      <pivotArea dataOnly="0" labelOnly="1" outline="0" fieldPosition="0">
        <references count="5">
          <reference field="0" count="1" selected="0">
            <x v="84"/>
          </reference>
          <reference field="1" count="1" selected="0">
            <x v="32"/>
          </reference>
          <reference field="2" count="1" selected="0">
            <x v="3"/>
          </reference>
          <reference field="3" count="1" selected="0">
            <x v="10"/>
          </reference>
          <reference field="4" count="1">
            <x v="33"/>
          </reference>
        </references>
      </pivotArea>
    </format>
    <format dxfId="2324">
      <pivotArea dataOnly="0" labelOnly="1" outline="0" fieldPosition="0">
        <references count="5">
          <reference field="0" count="1" selected="0">
            <x v="85"/>
          </reference>
          <reference field="1" count="1" selected="0">
            <x v="33"/>
          </reference>
          <reference field="2" count="1" selected="0">
            <x v="4"/>
          </reference>
          <reference field="3" count="1" selected="0">
            <x v="1"/>
          </reference>
          <reference field="4" count="1">
            <x v="56"/>
          </reference>
        </references>
      </pivotArea>
    </format>
    <format dxfId="2323">
      <pivotArea dataOnly="0" labelOnly="1" outline="0" fieldPosition="0">
        <references count="5">
          <reference field="0" count="1" selected="0">
            <x v="86"/>
          </reference>
          <reference field="1" count="1" selected="0">
            <x v="40"/>
          </reference>
          <reference field="2" count="1" selected="0">
            <x v="5"/>
          </reference>
          <reference field="3" count="1" selected="0">
            <x v="29"/>
          </reference>
          <reference field="4" count="1">
            <x v="72"/>
          </reference>
        </references>
      </pivotArea>
    </format>
    <format dxfId="2322">
      <pivotArea dataOnly="0" labelOnly="1" outline="0" fieldPosition="0">
        <references count="5">
          <reference field="0" count="1" selected="0">
            <x v="87"/>
          </reference>
          <reference field="1" count="1" selected="0">
            <x v="41"/>
          </reference>
          <reference field="2" count="1" selected="0">
            <x v="3"/>
          </reference>
          <reference field="3" count="1" selected="0">
            <x v="28"/>
          </reference>
          <reference field="4" count="1">
            <x v="23"/>
          </reference>
        </references>
      </pivotArea>
    </format>
    <format dxfId="2321">
      <pivotArea dataOnly="0" labelOnly="1" outline="0" fieldPosition="0">
        <references count="5">
          <reference field="0" count="1" selected="0">
            <x v="88"/>
          </reference>
          <reference field="1" count="1" selected="0">
            <x v="43"/>
          </reference>
          <reference field="2" count="1" selected="0">
            <x v="2"/>
          </reference>
          <reference field="3" count="1" selected="0">
            <x v="7"/>
          </reference>
          <reference field="4" count="1">
            <x v="3"/>
          </reference>
        </references>
      </pivotArea>
    </format>
    <format dxfId="2320">
      <pivotArea dataOnly="0" labelOnly="1" outline="0" fieldPosition="0">
        <references count="5">
          <reference field="0" count="1" selected="0">
            <x v="89"/>
          </reference>
          <reference field="1" count="1" selected="0">
            <x v="44"/>
          </reference>
          <reference field="2" count="1" selected="0">
            <x v="2"/>
          </reference>
          <reference field="3" count="1" selected="0">
            <x v="7"/>
          </reference>
          <reference field="4" count="1">
            <x v="13"/>
          </reference>
        </references>
      </pivotArea>
    </format>
    <format dxfId="2319">
      <pivotArea dataOnly="0" labelOnly="1" outline="0" fieldPosition="0">
        <references count="5">
          <reference field="0" count="1" selected="0">
            <x v="90"/>
          </reference>
          <reference field="1" count="1" selected="0">
            <x v="47"/>
          </reference>
          <reference field="2" count="1" selected="0">
            <x v="3"/>
          </reference>
          <reference field="3" count="1" selected="0">
            <x v="20"/>
          </reference>
          <reference field="4" count="1">
            <x v="52"/>
          </reference>
        </references>
      </pivotArea>
    </format>
    <format dxfId="2318">
      <pivotArea dataOnly="0" labelOnly="1" outline="0" fieldPosition="0">
        <references count="5">
          <reference field="0" count="1" selected="0">
            <x v="91"/>
          </reference>
          <reference field="1" count="1" selected="0">
            <x v="54"/>
          </reference>
          <reference field="2" count="1" selected="0">
            <x v="3"/>
          </reference>
          <reference field="3" count="1" selected="0">
            <x v="31"/>
          </reference>
          <reference field="4" count="1">
            <x v="69"/>
          </reference>
        </references>
      </pivotArea>
    </format>
    <format dxfId="2317">
      <pivotArea dataOnly="0" labelOnly="1" outline="0" fieldPosition="0">
        <references count="5">
          <reference field="0" count="1" selected="0">
            <x v="93"/>
          </reference>
          <reference field="1" count="1" selected="0">
            <x v="91"/>
          </reference>
          <reference field="2" count="1" selected="0">
            <x v="6"/>
          </reference>
          <reference field="3" count="1" selected="0">
            <x v="43"/>
          </reference>
          <reference field="4" count="1">
            <x v="66"/>
          </reference>
        </references>
      </pivotArea>
    </format>
    <format dxfId="2316">
      <pivotArea dataOnly="0" labelOnly="1" outline="0" fieldPosition="0">
        <references count="5">
          <reference field="0" count="1" selected="0">
            <x v="94"/>
          </reference>
          <reference field="1" count="1" selected="0">
            <x v="94"/>
          </reference>
          <reference field="2" count="1" selected="0">
            <x v="3"/>
          </reference>
          <reference field="3" count="1" selected="0">
            <x v="31"/>
          </reference>
          <reference field="4" count="1">
            <x v="69"/>
          </reference>
        </references>
      </pivotArea>
    </format>
    <format dxfId="2315">
      <pivotArea dataOnly="0" labelOnly="1" outline="0" fieldPosition="0">
        <references count="5">
          <reference field="0" count="1" selected="0">
            <x v="95"/>
          </reference>
          <reference field="1" count="1" selected="0">
            <x v="95"/>
          </reference>
          <reference field="2" count="1" selected="0">
            <x v="3"/>
          </reference>
          <reference field="3" count="1" selected="0">
            <x v="28"/>
          </reference>
          <reference field="4" count="1">
            <x v="23"/>
          </reference>
        </references>
      </pivotArea>
    </format>
    <format dxfId="2314">
      <pivotArea dataOnly="0" labelOnly="1" outline="0" fieldPosition="0">
        <references count="5">
          <reference field="0" count="1" selected="0">
            <x v="96"/>
          </reference>
          <reference field="1" count="1" selected="0">
            <x v="100"/>
          </reference>
          <reference field="2" count="1" selected="0">
            <x v="3"/>
          </reference>
          <reference field="3" count="1" selected="0">
            <x v="10"/>
          </reference>
          <reference field="4" count="1">
            <x v="73"/>
          </reference>
        </references>
      </pivotArea>
    </format>
    <format dxfId="2313">
      <pivotArea dataOnly="0" labelOnly="1" outline="0" fieldPosition="0">
        <references count="5">
          <reference field="0" count="1" selected="0">
            <x v="97"/>
          </reference>
          <reference field="1" count="1" selected="0">
            <x v="50"/>
          </reference>
          <reference field="2" count="1" selected="0">
            <x v="2"/>
          </reference>
          <reference field="3" count="1" selected="0">
            <x v="23"/>
          </reference>
          <reference field="4" count="1">
            <x v="0"/>
          </reference>
        </references>
      </pivotArea>
    </format>
    <format dxfId="2312">
      <pivotArea dataOnly="0" labelOnly="1" outline="0" fieldPosition="0">
        <references count="6">
          <reference field="0" count="1" selected="0">
            <x v="0"/>
          </reference>
          <reference field="1" count="1" selected="0">
            <x v="4"/>
          </reference>
          <reference field="2" count="1" selected="0">
            <x v="1"/>
          </reference>
          <reference field="3" count="1" selected="0">
            <x v="2"/>
          </reference>
          <reference field="4" count="1" selected="0">
            <x v="2"/>
          </reference>
          <reference field="5" count="1">
            <x v="1"/>
          </reference>
        </references>
      </pivotArea>
    </format>
    <format dxfId="2311">
      <pivotArea dataOnly="0" labelOnly="1" outline="0" fieldPosition="0">
        <references count="6">
          <reference field="0" count="1" selected="0">
            <x v="64"/>
          </reference>
          <reference field="1" count="1" selected="0">
            <x v="11"/>
          </reference>
          <reference field="2" count="1" selected="0">
            <x v="2"/>
          </reference>
          <reference field="3" count="1" selected="0">
            <x v="7"/>
          </reference>
          <reference field="4" count="1" selected="0">
            <x v="3"/>
          </reference>
          <reference field="5" count="1">
            <x v="0"/>
          </reference>
        </references>
      </pivotArea>
    </format>
    <format dxfId="2310">
      <pivotArea dataOnly="0" labelOnly="1" outline="0" fieldPosition="0">
        <references count="6">
          <reference field="0" count="1" selected="0">
            <x v="68"/>
          </reference>
          <reference field="1" count="1" selected="0">
            <x v="0"/>
          </reference>
          <reference field="2" count="1" selected="0">
            <x v="3"/>
          </reference>
          <reference field="3" count="1" selected="0">
            <x v="28"/>
          </reference>
          <reference field="4" count="1" selected="0">
            <x v="23"/>
          </reference>
          <reference field="5" count="1">
            <x v="2"/>
          </reference>
        </references>
      </pivotArea>
    </format>
    <format dxfId="2309">
      <pivotArea dataOnly="0" labelOnly="1" outline="0" fieldPosition="0">
        <references count="6">
          <reference field="0" count="1" selected="0">
            <x v="97"/>
          </reference>
          <reference field="1" count="1" selected="0">
            <x v="50"/>
          </reference>
          <reference field="2" count="1" selected="0">
            <x v="2"/>
          </reference>
          <reference field="3" count="1" selected="0">
            <x v="23"/>
          </reference>
          <reference field="4" count="1" selected="0">
            <x v="0"/>
          </reference>
          <reference field="5" count="1">
            <x v="3"/>
          </reference>
        </references>
      </pivotArea>
    </format>
    <format dxfId="2308">
      <pivotArea type="all" dataOnly="0" outline="0" fieldPosition="0"/>
    </format>
    <format dxfId="2307">
      <pivotArea outline="0" collapsedLevelsAreSubtotals="1" fieldPosition="0"/>
    </format>
    <format dxfId="2306">
      <pivotArea field="0" type="button" dataOnly="0" labelOnly="1" outline="0" axis="axisRow" fieldPosition="0"/>
    </format>
    <format dxfId="2305">
      <pivotArea field="1" type="button" dataOnly="0" labelOnly="1" outline="0" axis="axisRow" fieldPosition="1"/>
    </format>
    <format dxfId="2304">
      <pivotArea field="2" type="button" dataOnly="0" labelOnly="1" outline="0" axis="axisRow" fieldPosition="2"/>
    </format>
    <format dxfId="2303">
      <pivotArea field="3" type="button" dataOnly="0" labelOnly="1" outline="0" axis="axisRow" fieldPosition="3"/>
    </format>
    <format dxfId="2302">
      <pivotArea field="4" type="button" dataOnly="0" labelOnly="1" outline="0" axis="axisRow" fieldPosition="4"/>
    </format>
    <format dxfId="2301">
      <pivotArea field="5" type="button" dataOnly="0" labelOnly="1" outline="0" axis="axisRow" fieldPosition="5"/>
    </format>
    <format dxfId="2300">
      <pivotArea dataOnly="0" labelOnly="1" outline="0"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299">
      <pivotArea dataOnly="0" labelOnly="1" outline="0"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298">
      <pivotArea dataOnly="0" labelOnly="1" outline="0" fieldPosition="0">
        <references count="1">
          <reference field="0" count="1">
            <x v="100"/>
          </reference>
        </references>
      </pivotArea>
    </format>
    <format dxfId="2297">
      <pivotArea dataOnly="0" labelOnly="1" grandRow="1" outline="0" fieldPosition="0"/>
    </format>
    <format dxfId="2296">
      <pivotArea dataOnly="0" labelOnly="1" outline="0" fieldPosition="0">
        <references count="2">
          <reference field="0" count="1" selected="0">
            <x v="0"/>
          </reference>
          <reference field="1" count="1">
            <x v="4"/>
          </reference>
        </references>
      </pivotArea>
    </format>
    <format dxfId="2295">
      <pivotArea dataOnly="0" labelOnly="1" outline="0" fieldPosition="0">
        <references count="2">
          <reference field="0" count="1" selected="0">
            <x v="1"/>
          </reference>
          <reference field="1" count="1">
            <x v="7"/>
          </reference>
        </references>
      </pivotArea>
    </format>
    <format dxfId="2294">
      <pivotArea dataOnly="0" labelOnly="1" outline="0" fieldPosition="0">
        <references count="2">
          <reference field="0" count="1" selected="0">
            <x v="2"/>
          </reference>
          <reference field="1" count="1">
            <x v="10"/>
          </reference>
        </references>
      </pivotArea>
    </format>
    <format dxfId="2293">
      <pivotArea dataOnly="0" labelOnly="1" outline="0" fieldPosition="0">
        <references count="2">
          <reference field="0" count="1" selected="0">
            <x v="3"/>
          </reference>
          <reference field="1" count="1">
            <x v="13"/>
          </reference>
        </references>
      </pivotArea>
    </format>
    <format dxfId="2292">
      <pivotArea dataOnly="0" labelOnly="1" outline="0" fieldPosition="0">
        <references count="2">
          <reference field="0" count="1" selected="0">
            <x v="4"/>
          </reference>
          <reference field="1" count="1">
            <x v="15"/>
          </reference>
        </references>
      </pivotArea>
    </format>
    <format dxfId="2291">
      <pivotArea dataOnly="0" labelOnly="1" outline="0" fieldPosition="0">
        <references count="2">
          <reference field="0" count="1" selected="0">
            <x v="5"/>
          </reference>
          <reference field="1" count="1">
            <x v="18"/>
          </reference>
        </references>
      </pivotArea>
    </format>
    <format dxfId="2290">
      <pivotArea dataOnly="0" labelOnly="1" outline="0" fieldPosition="0">
        <references count="2">
          <reference field="0" count="1" selected="0">
            <x v="6"/>
          </reference>
          <reference field="1" count="1">
            <x v="19"/>
          </reference>
        </references>
      </pivotArea>
    </format>
    <format dxfId="2289">
      <pivotArea dataOnly="0" labelOnly="1" outline="0" fieldPosition="0">
        <references count="2">
          <reference field="0" count="1" selected="0">
            <x v="7"/>
          </reference>
          <reference field="1" count="1">
            <x v="20"/>
          </reference>
        </references>
      </pivotArea>
    </format>
    <format dxfId="2288">
      <pivotArea dataOnly="0" labelOnly="1" outline="0" fieldPosition="0">
        <references count="2">
          <reference field="0" count="1" selected="0">
            <x v="8"/>
          </reference>
          <reference field="1" count="1">
            <x v="21"/>
          </reference>
        </references>
      </pivotArea>
    </format>
    <format dxfId="2287">
      <pivotArea dataOnly="0" labelOnly="1" outline="0" fieldPosition="0">
        <references count="2">
          <reference field="0" count="1" selected="0">
            <x v="9"/>
          </reference>
          <reference field="1" count="1">
            <x v="23"/>
          </reference>
        </references>
      </pivotArea>
    </format>
    <format dxfId="2286">
      <pivotArea dataOnly="0" labelOnly="1" outline="0" fieldPosition="0">
        <references count="2">
          <reference field="0" count="1" selected="0">
            <x v="10"/>
          </reference>
          <reference field="1" count="1">
            <x v="26"/>
          </reference>
        </references>
      </pivotArea>
    </format>
    <format dxfId="2285">
      <pivotArea dataOnly="0" labelOnly="1" outline="0" fieldPosition="0">
        <references count="2">
          <reference field="0" count="1" selected="0">
            <x v="11"/>
          </reference>
          <reference field="1" count="1">
            <x v="28"/>
          </reference>
        </references>
      </pivotArea>
    </format>
    <format dxfId="2284">
      <pivotArea dataOnly="0" labelOnly="1" outline="0" fieldPosition="0">
        <references count="2">
          <reference field="0" count="1" selected="0">
            <x v="12"/>
          </reference>
          <reference field="1" count="1">
            <x v="29"/>
          </reference>
        </references>
      </pivotArea>
    </format>
    <format dxfId="2283">
      <pivotArea dataOnly="0" labelOnly="1" outline="0" fieldPosition="0">
        <references count="2">
          <reference field="0" count="1" selected="0">
            <x v="13"/>
          </reference>
          <reference field="1" count="1">
            <x v="30"/>
          </reference>
        </references>
      </pivotArea>
    </format>
    <format dxfId="2282">
      <pivotArea dataOnly="0" labelOnly="1" outline="0" fieldPosition="0">
        <references count="2">
          <reference field="0" count="1" selected="0">
            <x v="14"/>
          </reference>
          <reference field="1" count="1">
            <x v="34"/>
          </reference>
        </references>
      </pivotArea>
    </format>
    <format dxfId="2281">
      <pivotArea dataOnly="0" labelOnly="1" outline="0" fieldPosition="0">
        <references count="2">
          <reference field="0" count="1" selected="0">
            <x v="15"/>
          </reference>
          <reference field="1" count="1">
            <x v="35"/>
          </reference>
        </references>
      </pivotArea>
    </format>
    <format dxfId="2280">
      <pivotArea dataOnly="0" labelOnly="1" outline="0" fieldPosition="0">
        <references count="2">
          <reference field="0" count="1" selected="0">
            <x v="16"/>
          </reference>
          <reference field="1" count="1">
            <x v="36"/>
          </reference>
        </references>
      </pivotArea>
    </format>
    <format dxfId="2279">
      <pivotArea dataOnly="0" labelOnly="1" outline="0" fieldPosition="0">
        <references count="2">
          <reference field="0" count="1" selected="0">
            <x v="17"/>
          </reference>
          <reference field="1" count="1">
            <x v="37"/>
          </reference>
        </references>
      </pivotArea>
    </format>
    <format dxfId="2278">
      <pivotArea dataOnly="0" labelOnly="1" outline="0" fieldPosition="0">
        <references count="2">
          <reference field="0" count="1" selected="0">
            <x v="18"/>
          </reference>
          <reference field="1" count="1">
            <x v="38"/>
          </reference>
        </references>
      </pivotArea>
    </format>
    <format dxfId="2277">
      <pivotArea dataOnly="0" labelOnly="1" outline="0" fieldPosition="0">
        <references count="2">
          <reference field="0" count="1" selected="0">
            <x v="19"/>
          </reference>
          <reference field="1" count="1">
            <x v="39"/>
          </reference>
        </references>
      </pivotArea>
    </format>
    <format dxfId="2276">
      <pivotArea dataOnly="0" labelOnly="1" outline="0" fieldPosition="0">
        <references count="2">
          <reference field="0" count="1" selected="0">
            <x v="20"/>
          </reference>
          <reference field="1" count="1">
            <x v="42"/>
          </reference>
        </references>
      </pivotArea>
    </format>
    <format dxfId="2275">
      <pivotArea dataOnly="0" labelOnly="1" outline="0" fieldPosition="0">
        <references count="2">
          <reference field="0" count="1" selected="0">
            <x v="21"/>
          </reference>
          <reference field="1" count="1">
            <x v="45"/>
          </reference>
        </references>
      </pivotArea>
    </format>
    <format dxfId="2274">
      <pivotArea dataOnly="0" labelOnly="1" outline="0" fieldPosition="0">
        <references count="2">
          <reference field="0" count="1" selected="0">
            <x v="22"/>
          </reference>
          <reference field="1" count="1">
            <x v="46"/>
          </reference>
        </references>
      </pivotArea>
    </format>
    <format dxfId="2273">
      <pivotArea dataOnly="0" labelOnly="1" outline="0" fieldPosition="0">
        <references count="2">
          <reference field="0" count="1" selected="0">
            <x v="23"/>
          </reference>
          <reference field="1" count="1">
            <x v="48"/>
          </reference>
        </references>
      </pivotArea>
    </format>
    <format dxfId="2272">
      <pivotArea dataOnly="0" labelOnly="1" outline="0" fieldPosition="0">
        <references count="2">
          <reference field="0" count="1" selected="0">
            <x v="24"/>
          </reference>
          <reference field="1" count="1">
            <x v="51"/>
          </reference>
        </references>
      </pivotArea>
    </format>
    <format dxfId="2271">
      <pivotArea dataOnly="0" labelOnly="1" outline="0" fieldPosition="0">
        <references count="2">
          <reference field="0" count="1" selected="0">
            <x v="25"/>
          </reference>
          <reference field="1" count="1">
            <x v="53"/>
          </reference>
        </references>
      </pivotArea>
    </format>
    <format dxfId="2270">
      <pivotArea dataOnly="0" labelOnly="1" outline="0" fieldPosition="0">
        <references count="2">
          <reference field="0" count="1" selected="0">
            <x v="26"/>
          </reference>
          <reference field="1" count="1">
            <x v="56"/>
          </reference>
        </references>
      </pivotArea>
    </format>
    <format dxfId="2269">
      <pivotArea dataOnly="0" labelOnly="1" outline="0" fieldPosition="0">
        <references count="2">
          <reference field="0" count="1" selected="0">
            <x v="27"/>
          </reference>
          <reference field="1" count="1">
            <x v="57"/>
          </reference>
        </references>
      </pivotArea>
    </format>
    <format dxfId="2268">
      <pivotArea dataOnly="0" labelOnly="1" outline="0" fieldPosition="0">
        <references count="2">
          <reference field="0" count="1" selected="0">
            <x v="28"/>
          </reference>
          <reference field="1" count="1">
            <x v="58"/>
          </reference>
        </references>
      </pivotArea>
    </format>
    <format dxfId="2267">
      <pivotArea dataOnly="0" labelOnly="1" outline="0" fieldPosition="0">
        <references count="2">
          <reference field="0" count="1" selected="0">
            <x v="29"/>
          </reference>
          <reference field="1" count="1">
            <x v="59"/>
          </reference>
        </references>
      </pivotArea>
    </format>
    <format dxfId="2266">
      <pivotArea dataOnly="0" labelOnly="1" outline="0" fieldPosition="0">
        <references count="2">
          <reference field="0" count="1" selected="0">
            <x v="30"/>
          </reference>
          <reference field="1" count="1">
            <x v="60"/>
          </reference>
        </references>
      </pivotArea>
    </format>
    <format dxfId="2265">
      <pivotArea dataOnly="0" labelOnly="1" outline="0" fieldPosition="0">
        <references count="2">
          <reference field="0" count="1" selected="0">
            <x v="31"/>
          </reference>
          <reference field="1" count="1">
            <x v="62"/>
          </reference>
        </references>
      </pivotArea>
    </format>
    <format dxfId="2264">
      <pivotArea dataOnly="0" labelOnly="1" outline="0" fieldPosition="0">
        <references count="2">
          <reference field="0" count="1" selected="0">
            <x v="32"/>
          </reference>
          <reference field="1" count="1">
            <x v="93"/>
          </reference>
        </references>
      </pivotArea>
    </format>
    <format dxfId="2263">
      <pivotArea dataOnly="0" labelOnly="1" outline="0" fieldPosition="0">
        <references count="2">
          <reference field="0" count="1" selected="0">
            <x v="33"/>
          </reference>
          <reference field="1" count="1">
            <x v="63"/>
          </reference>
        </references>
      </pivotArea>
    </format>
    <format dxfId="2262">
      <pivotArea dataOnly="0" labelOnly="1" outline="0" fieldPosition="0">
        <references count="2">
          <reference field="0" count="1" selected="0">
            <x v="34"/>
          </reference>
          <reference field="1" count="1">
            <x v="65"/>
          </reference>
        </references>
      </pivotArea>
    </format>
    <format dxfId="2261">
      <pivotArea dataOnly="0" labelOnly="1" outline="0" fieldPosition="0">
        <references count="2">
          <reference field="0" count="1" selected="0">
            <x v="35"/>
          </reference>
          <reference field="1" count="1">
            <x v="66"/>
          </reference>
        </references>
      </pivotArea>
    </format>
    <format dxfId="2260">
      <pivotArea dataOnly="0" labelOnly="1" outline="0" fieldPosition="0">
        <references count="2">
          <reference field="0" count="1" selected="0">
            <x v="36"/>
          </reference>
          <reference field="1" count="1">
            <x v="67"/>
          </reference>
        </references>
      </pivotArea>
    </format>
    <format dxfId="2259">
      <pivotArea dataOnly="0" labelOnly="1" outline="0" fieldPosition="0">
        <references count="2">
          <reference field="0" count="1" selected="0">
            <x v="37"/>
          </reference>
          <reference field="1" count="1">
            <x v="68"/>
          </reference>
        </references>
      </pivotArea>
    </format>
    <format dxfId="2258">
      <pivotArea dataOnly="0" labelOnly="1" outline="0" fieldPosition="0">
        <references count="2">
          <reference field="0" count="1" selected="0">
            <x v="38"/>
          </reference>
          <reference field="1" count="1">
            <x v="69"/>
          </reference>
        </references>
      </pivotArea>
    </format>
    <format dxfId="2257">
      <pivotArea dataOnly="0" labelOnly="1" outline="0" fieldPosition="0">
        <references count="2">
          <reference field="0" count="1" selected="0">
            <x v="39"/>
          </reference>
          <reference field="1" count="1">
            <x v="71"/>
          </reference>
        </references>
      </pivotArea>
    </format>
    <format dxfId="2256">
      <pivotArea dataOnly="0" labelOnly="1" outline="0" fieldPosition="0">
        <references count="2">
          <reference field="0" count="1" selected="0">
            <x v="40"/>
          </reference>
          <reference field="1" count="1">
            <x v="72"/>
          </reference>
        </references>
      </pivotArea>
    </format>
    <format dxfId="2255">
      <pivotArea dataOnly="0" labelOnly="1" outline="0" fieldPosition="0">
        <references count="2">
          <reference field="0" count="1" selected="0">
            <x v="41"/>
          </reference>
          <reference field="1" count="1">
            <x v="73"/>
          </reference>
        </references>
      </pivotArea>
    </format>
    <format dxfId="2254">
      <pivotArea dataOnly="0" labelOnly="1" outline="0" fieldPosition="0">
        <references count="2">
          <reference field="0" count="1" selected="0">
            <x v="42"/>
          </reference>
          <reference field="1" count="1">
            <x v="74"/>
          </reference>
        </references>
      </pivotArea>
    </format>
    <format dxfId="2253">
      <pivotArea dataOnly="0" labelOnly="1" outline="0" fieldPosition="0">
        <references count="2">
          <reference field="0" count="1" selected="0">
            <x v="43"/>
          </reference>
          <reference field="1" count="1">
            <x v="75"/>
          </reference>
        </references>
      </pivotArea>
    </format>
    <format dxfId="2252">
      <pivotArea dataOnly="0" labelOnly="1" outline="0" fieldPosition="0">
        <references count="2">
          <reference field="0" count="1" selected="0">
            <x v="44"/>
          </reference>
          <reference field="1" count="1">
            <x v="76"/>
          </reference>
        </references>
      </pivotArea>
    </format>
    <format dxfId="2251">
      <pivotArea dataOnly="0" labelOnly="1" outline="0" fieldPosition="0">
        <references count="2">
          <reference field="0" count="1" selected="0">
            <x v="45"/>
          </reference>
          <reference field="1" count="1">
            <x v="70"/>
          </reference>
        </references>
      </pivotArea>
    </format>
    <format dxfId="2250">
      <pivotArea dataOnly="0" labelOnly="1" outline="0" fieldPosition="0">
        <references count="2">
          <reference field="0" count="1" selected="0">
            <x v="46"/>
          </reference>
          <reference field="1" count="1">
            <x v="77"/>
          </reference>
        </references>
      </pivotArea>
    </format>
    <format dxfId="2249">
      <pivotArea dataOnly="0" labelOnly="1" outline="0" fieldPosition="0">
        <references count="2">
          <reference field="0" count="1" selected="0">
            <x v="47"/>
          </reference>
          <reference field="1" count="1">
            <x v="78"/>
          </reference>
        </references>
      </pivotArea>
    </format>
    <format dxfId="2248">
      <pivotArea dataOnly="0" labelOnly="1" outline="0" fieldPosition="0">
        <references count="2">
          <reference field="0" count="1" selected="0">
            <x v="48"/>
          </reference>
          <reference field="1" count="1">
            <x v="79"/>
          </reference>
        </references>
      </pivotArea>
    </format>
    <format dxfId="2247">
      <pivotArea dataOnly="0" labelOnly="1" outline="0" fieldPosition="0">
        <references count="2">
          <reference field="0" count="1" selected="0">
            <x v="49"/>
          </reference>
          <reference field="1" count="1">
            <x v="80"/>
          </reference>
        </references>
      </pivotArea>
    </format>
    <format dxfId="2246">
      <pivotArea dataOnly="0" labelOnly="1" outline="0" fieldPosition="0">
        <references count="2">
          <reference field="0" count="1" selected="0">
            <x v="50"/>
          </reference>
          <reference field="1" count="1">
            <x v="81"/>
          </reference>
        </references>
      </pivotArea>
    </format>
    <format dxfId="2245">
      <pivotArea dataOnly="0" labelOnly="1" outline="0" fieldPosition="0">
        <references count="2">
          <reference field="0" count="1" selected="0">
            <x v="51"/>
          </reference>
          <reference field="1" count="1">
            <x v="82"/>
          </reference>
        </references>
      </pivotArea>
    </format>
    <format dxfId="2244">
      <pivotArea dataOnly="0" labelOnly="1" outline="0" fieldPosition="0">
        <references count="2">
          <reference field="0" count="1" selected="0">
            <x v="52"/>
          </reference>
          <reference field="1" count="1">
            <x v="83"/>
          </reference>
        </references>
      </pivotArea>
    </format>
    <format dxfId="2243">
      <pivotArea dataOnly="0" labelOnly="1" outline="0" fieldPosition="0">
        <references count="2">
          <reference field="0" count="1" selected="0">
            <x v="53"/>
          </reference>
          <reference field="1" count="1">
            <x v="84"/>
          </reference>
        </references>
      </pivotArea>
    </format>
    <format dxfId="2242">
      <pivotArea dataOnly="0" labelOnly="1" outline="0" fieldPosition="0">
        <references count="2">
          <reference field="0" count="1" selected="0">
            <x v="54"/>
          </reference>
          <reference field="1" count="1">
            <x v="86"/>
          </reference>
        </references>
      </pivotArea>
    </format>
    <format dxfId="2241">
      <pivotArea dataOnly="0" labelOnly="1" outline="0" fieldPosition="0">
        <references count="2">
          <reference field="0" count="1" selected="0">
            <x v="55"/>
          </reference>
          <reference field="1" count="1">
            <x v="87"/>
          </reference>
        </references>
      </pivotArea>
    </format>
    <format dxfId="2240">
      <pivotArea dataOnly="0" labelOnly="1" outline="0" fieldPosition="0">
        <references count="2">
          <reference field="0" count="1" selected="0">
            <x v="57"/>
          </reference>
          <reference field="1" count="1">
            <x v="89"/>
          </reference>
        </references>
      </pivotArea>
    </format>
    <format dxfId="2239">
      <pivotArea dataOnly="0" labelOnly="1" outline="0" fieldPosition="0">
        <references count="2">
          <reference field="0" count="1" selected="0">
            <x v="58"/>
          </reference>
          <reference field="1" count="1">
            <x v="90"/>
          </reference>
        </references>
      </pivotArea>
    </format>
    <format dxfId="2238">
      <pivotArea dataOnly="0" labelOnly="1" outline="0" fieldPosition="0">
        <references count="2">
          <reference field="0" count="1" selected="0">
            <x v="59"/>
          </reference>
          <reference field="1" count="1">
            <x v="92"/>
          </reference>
        </references>
      </pivotArea>
    </format>
    <format dxfId="2237">
      <pivotArea dataOnly="0" labelOnly="1" outline="0" fieldPosition="0">
        <references count="2">
          <reference field="0" count="1" selected="0">
            <x v="60"/>
          </reference>
          <reference field="1" count="1">
            <x v="96"/>
          </reference>
        </references>
      </pivotArea>
    </format>
    <format dxfId="2236">
      <pivotArea dataOnly="0" labelOnly="1" outline="0" fieldPosition="0">
        <references count="2">
          <reference field="0" count="1" selected="0">
            <x v="61"/>
          </reference>
          <reference field="1" count="1">
            <x v="97"/>
          </reference>
        </references>
      </pivotArea>
    </format>
    <format dxfId="2235">
      <pivotArea dataOnly="0" labelOnly="1" outline="0" fieldPosition="0">
        <references count="2">
          <reference field="0" count="1" selected="0">
            <x v="62"/>
          </reference>
          <reference field="1" count="1">
            <x v="98"/>
          </reference>
        </references>
      </pivotArea>
    </format>
    <format dxfId="2234">
      <pivotArea dataOnly="0" labelOnly="1" outline="0" fieldPosition="0">
        <references count="2">
          <reference field="0" count="1" selected="0">
            <x v="63"/>
          </reference>
          <reference field="1" count="1">
            <x v="99"/>
          </reference>
        </references>
      </pivotArea>
    </format>
    <format dxfId="2233">
      <pivotArea dataOnly="0" labelOnly="1" outline="0" fieldPosition="0">
        <references count="2">
          <reference field="0" count="1" selected="0">
            <x v="64"/>
          </reference>
          <reference field="1" count="1">
            <x v="11"/>
          </reference>
        </references>
      </pivotArea>
    </format>
    <format dxfId="2232">
      <pivotArea dataOnly="0" labelOnly="1" outline="0" fieldPosition="0">
        <references count="2">
          <reference field="0" count="1" selected="0">
            <x v="65"/>
          </reference>
          <reference field="1" count="1">
            <x v="12"/>
          </reference>
        </references>
      </pivotArea>
    </format>
    <format dxfId="2231">
      <pivotArea dataOnly="0" labelOnly="1" outline="0" fieldPosition="0">
        <references count="2">
          <reference field="0" count="1" selected="0">
            <x v="66"/>
          </reference>
          <reference field="1" count="1">
            <x v="49"/>
          </reference>
        </references>
      </pivotArea>
    </format>
    <format dxfId="2230">
      <pivotArea dataOnly="0" labelOnly="1" outline="0" fieldPosition="0">
        <references count="2">
          <reference field="0" count="1" selected="0">
            <x v="67"/>
          </reference>
          <reference field="1" count="1">
            <x v="64"/>
          </reference>
        </references>
      </pivotArea>
    </format>
    <format dxfId="2229">
      <pivotArea dataOnly="0" labelOnly="1" outline="0" fieldPosition="0">
        <references count="2">
          <reference field="0" count="1" selected="0">
            <x v="68"/>
          </reference>
          <reference field="1" count="1">
            <x v="0"/>
          </reference>
        </references>
      </pivotArea>
    </format>
    <format dxfId="2228">
      <pivotArea dataOnly="0" labelOnly="1" outline="0" fieldPosition="0">
        <references count="2">
          <reference field="0" count="1" selected="0">
            <x v="69"/>
          </reference>
          <reference field="1" count="1">
            <x v="1"/>
          </reference>
        </references>
      </pivotArea>
    </format>
    <format dxfId="2227">
      <pivotArea dataOnly="0" labelOnly="1" outline="0" fieldPosition="0">
        <references count="2">
          <reference field="0" count="1" selected="0">
            <x v="70"/>
          </reference>
          <reference field="1" count="1">
            <x v="2"/>
          </reference>
        </references>
      </pivotArea>
    </format>
    <format dxfId="2226">
      <pivotArea dataOnly="0" labelOnly="1" outline="0" fieldPosition="0">
        <references count="2">
          <reference field="0" count="1" selected="0">
            <x v="71"/>
          </reference>
          <reference field="1" count="1">
            <x v="3"/>
          </reference>
        </references>
      </pivotArea>
    </format>
    <format dxfId="2225">
      <pivotArea dataOnly="0" labelOnly="1" outline="0" fieldPosition="0">
        <references count="2">
          <reference field="0" count="1" selected="0">
            <x v="72"/>
          </reference>
          <reference field="1" count="1">
            <x v="5"/>
          </reference>
        </references>
      </pivotArea>
    </format>
    <format dxfId="2224">
      <pivotArea dataOnly="0" labelOnly="1" outline="0" fieldPosition="0">
        <references count="2">
          <reference field="0" count="1" selected="0">
            <x v="73"/>
          </reference>
          <reference field="1" count="1">
            <x v="6"/>
          </reference>
        </references>
      </pivotArea>
    </format>
    <format dxfId="2223">
      <pivotArea dataOnly="0" labelOnly="1" outline="0" fieldPosition="0">
        <references count="2">
          <reference field="0" count="1" selected="0">
            <x v="74"/>
          </reference>
          <reference field="1" count="1">
            <x v="8"/>
          </reference>
        </references>
      </pivotArea>
    </format>
    <format dxfId="2222">
      <pivotArea dataOnly="0" labelOnly="1" outline="0" fieldPosition="0">
        <references count="2">
          <reference field="0" count="1" selected="0">
            <x v="75"/>
          </reference>
          <reference field="1" count="1">
            <x v="9"/>
          </reference>
        </references>
      </pivotArea>
    </format>
    <format dxfId="2221">
      <pivotArea dataOnly="0" labelOnly="1" outline="0" fieldPosition="0">
        <references count="2">
          <reference field="0" count="1" selected="0">
            <x v="76"/>
          </reference>
          <reference field="1" count="1">
            <x v="14"/>
          </reference>
        </references>
      </pivotArea>
    </format>
    <format dxfId="2220">
      <pivotArea dataOnly="0" labelOnly="1" outline="0" fieldPosition="0">
        <references count="2">
          <reference field="0" count="1" selected="0">
            <x v="77"/>
          </reference>
          <reference field="1" count="1">
            <x v="16"/>
          </reference>
        </references>
      </pivotArea>
    </format>
    <format dxfId="2219">
      <pivotArea dataOnly="0" labelOnly="1" outline="0" fieldPosition="0">
        <references count="2">
          <reference field="0" count="1" selected="0">
            <x v="78"/>
          </reference>
          <reference field="1" count="1">
            <x v="17"/>
          </reference>
        </references>
      </pivotArea>
    </format>
    <format dxfId="2218">
      <pivotArea dataOnly="0" labelOnly="1" outline="0" fieldPosition="0">
        <references count="2">
          <reference field="0" count="1" selected="0">
            <x v="79"/>
          </reference>
          <reference field="1" count="1">
            <x v="22"/>
          </reference>
        </references>
      </pivotArea>
    </format>
    <format dxfId="2217">
      <pivotArea dataOnly="0" labelOnly="1" outline="0" fieldPosition="0">
        <references count="2">
          <reference field="0" count="1" selected="0">
            <x v="80"/>
          </reference>
          <reference field="1" count="1">
            <x v="24"/>
          </reference>
        </references>
      </pivotArea>
    </format>
    <format dxfId="2216">
      <pivotArea dataOnly="0" labelOnly="1" outline="0" fieldPosition="0">
        <references count="2">
          <reference field="0" count="1" selected="0">
            <x v="81"/>
          </reference>
          <reference field="1" count="1">
            <x v="25"/>
          </reference>
        </references>
      </pivotArea>
    </format>
    <format dxfId="2215">
      <pivotArea dataOnly="0" labelOnly="1" outline="0" fieldPosition="0">
        <references count="2">
          <reference field="0" count="1" selected="0">
            <x v="82"/>
          </reference>
          <reference field="1" count="1">
            <x v="27"/>
          </reference>
        </references>
      </pivotArea>
    </format>
    <format dxfId="2214">
      <pivotArea dataOnly="0" labelOnly="1" outline="0" fieldPosition="0">
        <references count="2">
          <reference field="0" count="1" selected="0">
            <x v="83"/>
          </reference>
          <reference field="1" count="1">
            <x v="31"/>
          </reference>
        </references>
      </pivotArea>
    </format>
    <format dxfId="2213">
      <pivotArea dataOnly="0" labelOnly="1" outline="0" fieldPosition="0">
        <references count="2">
          <reference field="0" count="1" selected="0">
            <x v="84"/>
          </reference>
          <reference field="1" count="1">
            <x v="32"/>
          </reference>
        </references>
      </pivotArea>
    </format>
    <format dxfId="2212">
      <pivotArea dataOnly="0" labelOnly="1" outline="0" fieldPosition="0">
        <references count="2">
          <reference field="0" count="1" selected="0">
            <x v="85"/>
          </reference>
          <reference field="1" count="1">
            <x v="33"/>
          </reference>
        </references>
      </pivotArea>
    </format>
    <format dxfId="2211">
      <pivotArea dataOnly="0" labelOnly="1" outline="0" fieldPosition="0">
        <references count="2">
          <reference field="0" count="1" selected="0">
            <x v="86"/>
          </reference>
          <reference field="1" count="1">
            <x v="40"/>
          </reference>
        </references>
      </pivotArea>
    </format>
    <format dxfId="2210">
      <pivotArea dataOnly="0" labelOnly="1" outline="0" fieldPosition="0">
        <references count="2">
          <reference field="0" count="1" selected="0">
            <x v="87"/>
          </reference>
          <reference field="1" count="1">
            <x v="41"/>
          </reference>
        </references>
      </pivotArea>
    </format>
    <format dxfId="2209">
      <pivotArea dataOnly="0" labelOnly="1" outline="0" fieldPosition="0">
        <references count="2">
          <reference field="0" count="1" selected="0">
            <x v="88"/>
          </reference>
          <reference field="1" count="1">
            <x v="43"/>
          </reference>
        </references>
      </pivotArea>
    </format>
    <format dxfId="2208">
      <pivotArea dataOnly="0" labelOnly="1" outline="0" fieldPosition="0">
        <references count="2">
          <reference field="0" count="1" selected="0">
            <x v="89"/>
          </reference>
          <reference field="1" count="1">
            <x v="44"/>
          </reference>
        </references>
      </pivotArea>
    </format>
    <format dxfId="2207">
      <pivotArea dataOnly="0" labelOnly="1" outline="0" fieldPosition="0">
        <references count="2">
          <reference field="0" count="1" selected="0">
            <x v="90"/>
          </reference>
          <reference field="1" count="1">
            <x v="47"/>
          </reference>
        </references>
      </pivotArea>
    </format>
    <format dxfId="2206">
      <pivotArea dataOnly="0" labelOnly="1" outline="0" fieldPosition="0">
        <references count="2">
          <reference field="0" count="1" selected="0">
            <x v="91"/>
          </reference>
          <reference field="1" count="1">
            <x v="54"/>
          </reference>
        </references>
      </pivotArea>
    </format>
    <format dxfId="2205">
      <pivotArea dataOnly="0" labelOnly="1" outline="0" fieldPosition="0">
        <references count="2">
          <reference field="0" count="1" selected="0">
            <x v="92"/>
          </reference>
          <reference field="1" count="1">
            <x v="55"/>
          </reference>
        </references>
      </pivotArea>
    </format>
    <format dxfId="2204">
      <pivotArea dataOnly="0" labelOnly="1" outline="0" fieldPosition="0">
        <references count="2">
          <reference field="0" count="1" selected="0">
            <x v="93"/>
          </reference>
          <reference field="1" count="1">
            <x v="91"/>
          </reference>
        </references>
      </pivotArea>
    </format>
    <format dxfId="2203">
      <pivotArea dataOnly="0" labelOnly="1" outline="0" fieldPosition="0">
        <references count="2">
          <reference field="0" count="1" selected="0">
            <x v="94"/>
          </reference>
          <reference field="1" count="1">
            <x v="94"/>
          </reference>
        </references>
      </pivotArea>
    </format>
    <format dxfId="2202">
      <pivotArea dataOnly="0" labelOnly="1" outline="0" fieldPosition="0">
        <references count="2">
          <reference field="0" count="1" selected="0">
            <x v="95"/>
          </reference>
          <reference field="1" count="1">
            <x v="95"/>
          </reference>
        </references>
      </pivotArea>
    </format>
    <format dxfId="2201">
      <pivotArea dataOnly="0" labelOnly="1" outline="0" fieldPosition="0">
        <references count="2">
          <reference field="0" count="1" selected="0">
            <x v="96"/>
          </reference>
          <reference field="1" count="1">
            <x v="100"/>
          </reference>
        </references>
      </pivotArea>
    </format>
    <format dxfId="2200">
      <pivotArea dataOnly="0" labelOnly="1" outline="0" fieldPosition="0">
        <references count="2">
          <reference field="0" count="1" selected="0">
            <x v="97"/>
          </reference>
          <reference field="1" count="1">
            <x v="50"/>
          </reference>
        </references>
      </pivotArea>
    </format>
    <format dxfId="2199">
      <pivotArea dataOnly="0" labelOnly="1" outline="0" fieldPosition="0">
        <references count="2">
          <reference field="0" count="1" selected="0">
            <x v="98"/>
          </reference>
          <reference field="1" count="1">
            <x v="52"/>
          </reference>
        </references>
      </pivotArea>
    </format>
    <format dxfId="2198">
      <pivotArea dataOnly="0" labelOnly="1" outline="0" fieldPosition="0">
        <references count="2">
          <reference field="0" count="1" selected="0">
            <x v="99"/>
          </reference>
          <reference field="1" count="1">
            <x v="85"/>
          </reference>
        </references>
      </pivotArea>
    </format>
    <format dxfId="2197">
      <pivotArea dataOnly="0" labelOnly="1" outline="0" fieldPosition="0">
        <references count="2">
          <reference field="0" count="1" selected="0">
            <x v="100"/>
          </reference>
          <reference field="1" count="1">
            <x v="61"/>
          </reference>
        </references>
      </pivotArea>
    </format>
    <format dxfId="2196">
      <pivotArea dataOnly="0" labelOnly="1" outline="0" fieldPosition="0">
        <references count="3">
          <reference field="0" count="1" selected="0">
            <x v="0"/>
          </reference>
          <reference field="1" count="1" selected="0">
            <x v="4"/>
          </reference>
          <reference field="2" count="1">
            <x v="1"/>
          </reference>
        </references>
      </pivotArea>
    </format>
    <format dxfId="2195">
      <pivotArea dataOnly="0" labelOnly="1" outline="0" fieldPosition="0">
        <references count="3">
          <reference field="0" count="1" selected="0">
            <x v="1"/>
          </reference>
          <reference field="1" count="1" selected="0">
            <x v="7"/>
          </reference>
          <reference field="2" count="1">
            <x v="2"/>
          </reference>
        </references>
      </pivotArea>
    </format>
    <format dxfId="2194">
      <pivotArea dataOnly="0" labelOnly="1" outline="0" fieldPosition="0">
        <references count="3">
          <reference field="0" count="1" selected="0">
            <x v="3"/>
          </reference>
          <reference field="1" count="1" selected="0">
            <x v="13"/>
          </reference>
          <reference field="2" count="1">
            <x v="3"/>
          </reference>
        </references>
      </pivotArea>
    </format>
    <format dxfId="2193">
      <pivotArea dataOnly="0" labelOnly="1" outline="0" fieldPosition="0">
        <references count="3">
          <reference field="0" count="1" selected="0">
            <x v="4"/>
          </reference>
          <reference field="1" count="1" selected="0">
            <x v="15"/>
          </reference>
          <reference field="2" count="1">
            <x v="2"/>
          </reference>
        </references>
      </pivotArea>
    </format>
    <format dxfId="2192">
      <pivotArea dataOnly="0" labelOnly="1" outline="0" fieldPosition="0">
        <references count="3">
          <reference field="0" count="1" selected="0">
            <x v="5"/>
          </reference>
          <reference field="1" count="1" selected="0">
            <x v="18"/>
          </reference>
          <reference field="2" count="1">
            <x v="1"/>
          </reference>
        </references>
      </pivotArea>
    </format>
    <format dxfId="2191">
      <pivotArea dataOnly="0" labelOnly="1" outline="0" fieldPosition="0">
        <references count="3">
          <reference field="0" count="1" selected="0">
            <x v="6"/>
          </reference>
          <reference field="1" count="1" selected="0">
            <x v="19"/>
          </reference>
          <reference field="2" count="1">
            <x v="6"/>
          </reference>
        </references>
      </pivotArea>
    </format>
    <format dxfId="2190">
      <pivotArea dataOnly="0" labelOnly="1" outline="0" fieldPosition="0">
        <references count="3">
          <reference field="0" count="1" selected="0">
            <x v="7"/>
          </reference>
          <reference field="1" count="1" selected="0">
            <x v="20"/>
          </reference>
          <reference field="2" count="1">
            <x v="2"/>
          </reference>
        </references>
      </pivotArea>
    </format>
    <format dxfId="2189">
      <pivotArea dataOnly="0" labelOnly="1" outline="0" fieldPosition="0">
        <references count="3">
          <reference field="0" count="1" selected="0">
            <x v="9"/>
          </reference>
          <reference field="1" count="1" selected="0">
            <x v="23"/>
          </reference>
          <reference field="2" count="1">
            <x v="1"/>
          </reference>
        </references>
      </pivotArea>
    </format>
    <format dxfId="2188">
      <pivotArea dataOnly="0" labelOnly="1" outline="0" fieldPosition="0">
        <references count="3">
          <reference field="0" count="1" selected="0">
            <x v="10"/>
          </reference>
          <reference field="1" count="1" selected="0">
            <x v="26"/>
          </reference>
          <reference field="2" count="1">
            <x v="2"/>
          </reference>
        </references>
      </pivotArea>
    </format>
    <format dxfId="2187">
      <pivotArea dataOnly="0" labelOnly="1" outline="0" fieldPosition="0">
        <references count="3">
          <reference field="0" count="1" selected="0">
            <x v="11"/>
          </reference>
          <reference field="1" count="1" selected="0">
            <x v="28"/>
          </reference>
          <reference field="2" count="1">
            <x v="3"/>
          </reference>
        </references>
      </pivotArea>
    </format>
    <format dxfId="2186">
      <pivotArea dataOnly="0" labelOnly="1" outline="0" fieldPosition="0">
        <references count="3">
          <reference field="0" count="1" selected="0">
            <x v="13"/>
          </reference>
          <reference field="1" count="1" selected="0">
            <x v="30"/>
          </reference>
          <reference field="2" count="1">
            <x v="7"/>
          </reference>
        </references>
      </pivotArea>
    </format>
    <format dxfId="2185">
      <pivotArea dataOnly="0" labelOnly="1" outline="0" fieldPosition="0">
        <references count="3">
          <reference field="0" count="1" selected="0">
            <x v="14"/>
          </reference>
          <reference field="1" count="1" selected="0">
            <x v="34"/>
          </reference>
          <reference field="2" count="1">
            <x v="3"/>
          </reference>
        </references>
      </pivotArea>
    </format>
    <format dxfId="2184">
      <pivotArea dataOnly="0" labelOnly="1" outline="0" fieldPosition="0">
        <references count="3">
          <reference field="0" count="1" selected="0">
            <x v="15"/>
          </reference>
          <reference field="1" count="1" selected="0">
            <x v="35"/>
          </reference>
          <reference field="2" count="1">
            <x v="2"/>
          </reference>
        </references>
      </pivotArea>
    </format>
    <format dxfId="2183">
      <pivotArea dataOnly="0" labelOnly="1" outline="0" fieldPosition="0">
        <references count="3">
          <reference field="0" count="1" selected="0">
            <x v="16"/>
          </reference>
          <reference field="1" count="1" selected="0">
            <x v="36"/>
          </reference>
          <reference field="2" count="1">
            <x v="3"/>
          </reference>
        </references>
      </pivotArea>
    </format>
    <format dxfId="2182">
      <pivotArea dataOnly="0" labelOnly="1" outline="0" fieldPosition="0">
        <references count="3">
          <reference field="0" count="1" selected="0">
            <x v="19"/>
          </reference>
          <reference field="1" count="1" selected="0">
            <x v="39"/>
          </reference>
          <reference field="2" count="1">
            <x v="8"/>
          </reference>
        </references>
      </pivotArea>
    </format>
    <format dxfId="2181">
      <pivotArea dataOnly="0" labelOnly="1" outline="0" fieldPosition="0">
        <references count="3">
          <reference field="0" count="1" selected="0">
            <x v="20"/>
          </reference>
          <reference field="1" count="1" selected="0">
            <x v="42"/>
          </reference>
          <reference field="2" count="1">
            <x v="5"/>
          </reference>
        </references>
      </pivotArea>
    </format>
    <format dxfId="2180">
      <pivotArea dataOnly="0" labelOnly="1" outline="0" fieldPosition="0">
        <references count="3">
          <reference field="0" count="1" selected="0">
            <x v="21"/>
          </reference>
          <reference field="1" count="1" selected="0">
            <x v="45"/>
          </reference>
          <reference field="2" count="1">
            <x v="4"/>
          </reference>
        </references>
      </pivotArea>
    </format>
    <format dxfId="2179">
      <pivotArea dataOnly="0" labelOnly="1" outline="0" fieldPosition="0">
        <references count="3">
          <reference field="0" count="1" selected="0">
            <x v="23"/>
          </reference>
          <reference field="1" count="1" selected="0">
            <x v="48"/>
          </reference>
          <reference field="2" count="1">
            <x v="7"/>
          </reference>
        </references>
      </pivotArea>
    </format>
    <format dxfId="2178">
      <pivotArea dataOnly="0" labelOnly="1" outline="0" fieldPosition="0">
        <references count="3">
          <reference field="0" count="1" selected="0">
            <x v="24"/>
          </reference>
          <reference field="1" count="1" selected="0">
            <x v="51"/>
          </reference>
          <reference field="2" count="1">
            <x v="3"/>
          </reference>
        </references>
      </pivotArea>
    </format>
    <format dxfId="2177">
      <pivotArea dataOnly="0" labelOnly="1" outline="0" fieldPosition="0">
        <references count="3">
          <reference field="0" count="1" selected="0">
            <x v="26"/>
          </reference>
          <reference field="1" count="1" selected="0">
            <x v="56"/>
          </reference>
          <reference field="2" count="1">
            <x v="2"/>
          </reference>
        </references>
      </pivotArea>
    </format>
    <format dxfId="2176">
      <pivotArea dataOnly="0" labelOnly="1" outline="0" fieldPosition="0">
        <references count="3">
          <reference field="0" count="1" selected="0">
            <x v="33"/>
          </reference>
          <reference field="1" count="1" selected="0">
            <x v="63"/>
          </reference>
          <reference field="2" count="1">
            <x v="4"/>
          </reference>
        </references>
      </pivotArea>
    </format>
    <format dxfId="2175">
      <pivotArea dataOnly="0" labelOnly="1" outline="0" fieldPosition="0">
        <references count="3">
          <reference field="0" count="1" selected="0">
            <x v="34"/>
          </reference>
          <reference field="1" count="1" selected="0">
            <x v="65"/>
          </reference>
          <reference field="2" count="1">
            <x v="5"/>
          </reference>
        </references>
      </pivotArea>
    </format>
    <format dxfId="2174">
      <pivotArea dataOnly="0" labelOnly="1" outline="0" fieldPosition="0">
        <references count="3">
          <reference field="0" count="1" selected="0">
            <x v="36"/>
          </reference>
          <reference field="1" count="1" selected="0">
            <x v="67"/>
          </reference>
          <reference field="2" count="1">
            <x v="2"/>
          </reference>
        </references>
      </pivotArea>
    </format>
    <format dxfId="2173">
      <pivotArea dataOnly="0" labelOnly="1" outline="0" fieldPosition="0">
        <references count="3">
          <reference field="0" count="1" selected="0">
            <x v="37"/>
          </reference>
          <reference field="1" count="1" selected="0">
            <x v="68"/>
          </reference>
          <reference field="2" count="1">
            <x v="3"/>
          </reference>
        </references>
      </pivotArea>
    </format>
    <format dxfId="2172">
      <pivotArea dataOnly="0" labelOnly="1" outline="0" fieldPosition="0">
        <references count="3">
          <reference field="0" count="1" selected="0">
            <x v="39"/>
          </reference>
          <reference field="1" count="1" selected="0">
            <x v="71"/>
          </reference>
          <reference field="2" count="1">
            <x v="6"/>
          </reference>
        </references>
      </pivotArea>
    </format>
    <format dxfId="2171">
      <pivotArea dataOnly="0" labelOnly="1" outline="0" fieldPosition="0">
        <references count="3">
          <reference field="0" count="1" selected="0">
            <x v="41"/>
          </reference>
          <reference field="1" count="1" selected="0">
            <x v="73"/>
          </reference>
          <reference field="2" count="1">
            <x v="3"/>
          </reference>
        </references>
      </pivotArea>
    </format>
    <format dxfId="2170">
      <pivotArea dataOnly="0" labelOnly="1" outline="0" fieldPosition="0">
        <references count="3">
          <reference field="0" count="1" selected="0">
            <x v="42"/>
          </reference>
          <reference field="1" count="1" selected="0">
            <x v="74"/>
          </reference>
          <reference field="2" count="1">
            <x v="5"/>
          </reference>
        </references>
      </pivotArea>
    </format>
    <format dxfId="2169">
      <pivotArea dataOnly="0" labelOnly="1" outline="0" fieldPosition="0">
        <references count="3">
          <reference field="0" count="1" selected="0">
            <x v="43"/>
          </reference>
          <reference field="1" count="1" selected="0">
            <x v="75"/>
          </reference>
          <reference field="2" count="1">
            <x v="7"/>
          </reference>
        </references>
      </pivotArea>
    </format>
    <format dxfId="2168">
      <pivotArea dataOnly="0" labelOnly="1" outline="0" fieldPosition="0">
        <references count="3">
          <reference field="0" count="1" selected="0">
            <x v="44"/>
          </reference>
          <reference field="1" count="1" selected="0">
            <x v="76"/>
          </reference>
          <reference field="2" count="1">
            <x v="2"/>
          </reference>
        </references>
      </pivotArea>
    </format>
    <format dxfId="2167">
      <pivotArea dataOnly="0" labelOnly="1" outline="0" fieldPosition="0">
        <references count="3">
          <reference field="0" count="1" selected="0">
            <x v="45"/>
          </reference>
          <reference field="1" count="1" selected="0">
            <x v="70"/>
          </reference>
          <reference field="2" count="1">
            <x v="3"/>
          </reference>
        </references>
      </pivotArea>
    </format>
    <format dxfId="2166">
      <pivotArea dataOnly="0" labelOnly="1" outline="0" fieldPosition="0">
        <references count="3">
          <reference field="0" count="1" selected="0">
            <x v="46"/>
          </reference>
          <reference field="1" count="1" selected="0">
            <x v="77"/>
          </reference>
          <reference field="2" count="1">
            <x v="6"/>
          </reference>
        </references>
      </pivotArea>
    </format>
    <format dxfId="2165">
      <pivotArea dataOnly="0" labelOnly="1" outline="0" fieldPosition="0">
        <references count="3">
          <reference field="0" count="1" selected="0">
            <x v="47"/>
          </reference>
          <reference field="1" count="1" selected="0">
            <x v="78"/>
          </reference>
          <reference field="2" count="1">
            <x v="7"/>
          </reference>
        </references>
      </pivotArea>
    </format>
    <format dxfId="2164">
      <pivotArea dataOnly="0" labelOnly="1" outline="0" fieldPosition="0">
        <references count="3">
          <reference field="0" count="1" selected="0">
            <x v="48"/>
          </reference>
          <reference field="1" count="1" selected="0">
            <x v="79"/>
          </reference>
          <reference field="2" count="1">
            <x v="2"/>
          </reference>
        </references>
      </pivotArea>
    </format>
    <format dxfId="2163">
      <pivotArea dataOnly="0" labelOnly="1" outline="0" fieldPosition="0">
        <references count="3">
          <reference field="0" count="1" selected="0">
            <x v="49"/>
          </reference>
          <reference field="1" count="1" selected="0">
            <x v="80"/>
          </reference>
          <reference field="2" count="1">
            <x v="6"/>
          </reference>
        </references>
      </pivotArea>
    </format>
    <format dxfId="2162">
      <pivotArea dataOnly="0" labelOnly="1" outline="0" fieldPosition="0">
        <references count="3">
          <reference field="0" count="1" selected="0">
            <x v="50"/>
          </reference>
          <reference field="1" count="1" selected="0">
            <x v="81"/>
          </reference>
          <reference field="2" count="1">
            <x v="4"/>
          </reference>
        </references>
      </pivotArea>
    </format>
    <format dxfId="2161">
      <pivotArea dataOnly="0" labelOnly="1" outline="0" fieldPosition="0">
        <references count="3">
          <reference field="0" count="1" selected="0">
            <x v="51"/>
          </reference>
          <reference field="1" count="1" selected="0">
            <x v="82"/>
          </reference>
          <reference field="2" count="1">
            <x v="2"/>
          </reference>
        </references>
      </pivotArea>
    </format>
    <format dxfId="2160">
      <pivotArea dataOnly="0" labelOnly="1" outline="0" fieldPosition="0">
        <references count="3">
          <reference field="0" count="1" selected="0">
            <x v="53"/>
          </reference>
          <reference field="1" count="1" selected="0">
            <x v="84"/>
          </reference>
          <reference field="2" count="1">
            <x v="6"/>
          </reference>
        </references>
      </pivotArea>
    </format>
    <format dxfId="2159">
      <pivotArea dataOnly="0" labelOnly="1" outline="0" fieldPosition="0">
        <references count="3">
          <reference field="0" count="1" selected="0">
            <x v="54"/>
          </reference>
          <reference field="1" count="1" selected="0">
            <x v="86"/>
          </reference>
          <reference field="2" count="1">
            <x v="3"/>
          </reference>
        </references>
      </pivotArea>
    </format>
    <format dxfId="2158">
      <pivotArea dataOnly="0" labelOnly="1" outline="0" fieldPosition="0">
        <references count="3">
          <reference field="0" count="1" selected="0">
            <x v="57"/>
          </reference>
          <reference field="1" count="1" selected="0">
            <x v="89"/>
          </reference>
          <reference field="2" count="1">
            <x v="8"/>
          </reference>
        </references>
      </pivotArea>
    </format>
    <format dxfId="2157">
      <pivotArea dataOnly="0" labelOnly="1" outline="0" fieldPosition="0">
        <references count="3">
          <reference field="0" count="1" selected="0">
            <x v="58"/>
          </reference>
          <reference field="1" count="1" selected="0">
            <x v="90"/>
          </reference>
          <reference field="2" count="1">
            <x v="3"/>
          </reference>
        </references>
      </pivotArea>
    </format>
    <format dxfId="2156">
      <pivotArea dataOnly="0" labelOnly="1" outline="0" fieldPosition="0">
        <references count="3">
          <reference field="0" count="1" selected="0">
            <x v="59"/>
          </reference>
          <reference field="1" count="1" selected="0">
            <x v="92"/>
          </reference>
          <reference field="2" count="1">
            <x v="2"/>
          </reference>
        </references>
      </pivotArea>
    </format>
    <format dxfId="2155">
      <pivotArea dataOnly="0" labelOnly="1" outline="0" fieldPosition="0">
        <references count="3">
          <reference field="0" count="1" selected="0">
            <x v="60"/>
          </reference>
          <reference field="1" count="1" selected="0">
            <x v="96"/>
          </reference>
          <reference field="2" count="1">
            <x v="8"/>
          </reference>
        </references>
      </pivotArea>
    </format>
    <format dxfId="2154">
      <pivotArea dataOnly="0" labelOnly="1" outline="0" fieldPosition="0">
        <references count="3">
          <reference field="0" count="1" selected="0">
            <x v="61"/>
          </reference>
          <reference field="1" count="1" selected="0">
            <x v="97"/>
          </reference>
          <reference field="2" count="1">
            <x v="4"/>
          </reference>
        </references>
      </pivotArea>
    </format>
    <format dxfId="2153">
      <pivotArea dataOnly="0" labelOnly="1" outline="0" fieldPosition="0">
        <references count="3">
          <reference field="0" count="1" selected="0">
            <x v="62"/>
          </reference>
          <reference field="1" count="1" selected="0">
            <x v="98"/>
          </reference>
          <reference field="2" count="1">
            <x v="8"/>
          </reference>
        </references>
      </pivotArea>
    </format>
    <format dxfId="2152">
      <pivotArea dataOnly="0" labelOnly="1" outline="0" fieldPosition="0">
        <references count="3">
          <reference field="0" count="1" selected="0">
            <x v="63"/>
          </reference>
          <reference field="1" count="1" selected="0">
            <x v="99"/>
          </reference>
          <reference field="2" count="1">
            <x v="3"/>
          </reference>
        </references>
      </pivotArea>
    </format>
    <format dxfId="2151">
      <pivotArea dataOnly="0" labelOnly="1" outline="0" fieldPosition="0">
        <references count="3">
          <reference field="0" count="1" selected="0">
            <x v="64"/>
          </reference>
          <reference field="1" count="1" selected="0">
            <x v="11"/>
          </reference>
          <reference field="2" count="1">
            <x v="2"/>
          </reference>
        </references>
      </pivotArea>
    </format>
    <format dxfId="2150">
      <pivotArea dataOnly="0" labelOnly="1" outline="0" fieldPosition="0">
        <references count="3">
          <reference field="0" count="1" selected="0">
            <x v="65"/>
          </reference>
          <reference field="1" count="1" selected="0">
            <x v="12"/>
          </reference>
          <reference field="2" count="1">
            <x v="3"/>
          </reference>
        </references>
      </pivotArea>
    </format>
    <format dxfId="2149">
      <pivotArea dataOnly="0" labelOnly="1" outline="0" fieldPosition="0">
        <references count="3">
          <reference field="0" count="1" selected="0">
            <x v="66"/>
          </reference>
          <reference field="1" count="1" selected="0">
            <x v="49"/>
          </reference>
          <reference field="2" count="1">
            <x v="4"/>
          </reference>
        </references>
      </pivotArea>
    </format>
    <format dxfId="2148">
      <pivotArea dataOnly="0" labelOnly="1" outline="0" fieldPosition="0">
        <references count="3">
          <reference field="0" count="1" selected="0">
            <x v="68"/>
          </reference>
          <reference field="1" count="1" selected="0">
            <x v="0"/>
          </reference>
          <reference field="2" count="1">
            <x v="3"/>
          </reference>
        </references>
      </pivotArea>
    </format>
    <format dxfId="2147">
      <pivotArea dataOnly="0" labelOnly="1" outline="0" fieldPosition="0">
        <references count="3">
          <reference field="0" count="1" selected="0">
            <x v="72"/>
          </reference>
          <reference field="1" count="1" selected="0">
            <x v="5"/>
          </reference>
          <reference field="2" count="1">
            <x v="5"/>
          </reference>
        </references>
      </pivotArea>
    </format>
    <format dxfId="2146">
      <pivotArea dataOnly="0" labelOnly="1" outline="0" fieldPosition="0">
        <references count="3">
          <reference field="0" count="1" selected="0">
            <x v="73"/>
          </reference>
          <reference field="1" count="1" selected="0">
            <x v="6"/>
          </reference>
          <reference field="2" count="1">
            <x v="2"/>
          </reference>
        </references>
      </pivotArea>
    </format>
    <format dxfId="2145">
      <pivotArea dataOnly="0" labelOnly="1" outline="0" fieldPosition="0">
        <references count="3">
          <reference field="0" count="1" selected="0">
            <x v="74"/>
          </reference>
          <reference field="1" count="1" selected="0">
            <x v="8"/>
          </reference>
          <reference field="2" count="1">
            <x v="3"/>
          </reference>
        </references>
      </pivotArea>
    </format>
    <format dxfId="2144">
      <pivotArea dataOnly="0" labelOnly="1" outline="0" fieldPosition="0">
        <references count="3">
          <reference field="0" count="1" selected="0">
            <x v="79"/>
          </reference>
          <reference field="1" count="1" selected="0">
            <x v="22"/>
          </reference>
          <reference field="2" count="1">
            <x v="8"/>
          </reference>
        </references>
      </pivotArea>
    </format>
    <format dxfId="2143">
      <pivotArea dataOnly="0" labelOnly="1" outline="0" fieldPosition="0">
        <references count="3">
          <reference field="0" count="1" selected="0">
            <x v="80"/>
          </reference>
          <reference field="1" count="1" selected="0">
            <x v="24"/>
          </reference>
          <reference field="2" count="1">
            <x v="3"/>
          </reference>
        </references>
      </pivotArea>
    </format>
    <format dxfId="2142">
      <pivotArea dataOnly="0" labelOnly="1" outline="0" fieldPosition="0">
        <references count="3">
          <reference field="0" count="1" selected="0">
            <x v="82"/>
          </reference>
          <reference field="1" count="1" selected="0">
            <x v="27"/>
          </reference>
          <reference field="2" count="1">
            <x v="2"/>
          </reference>
        </references>
      </pivotArea>
    </format>
    <format dxfId="2141">
      <pivotArea dataOnly="0" labelOnly="1" outline="0" fieldPosition="0">
        <references count="3">
          <reference field="0" count="1" selected="0">
            <x v="83"/>
          </reference>
          <reference field="1" count="1" selected="0">
            <x v="31"/>
          </reference>
          <reference field="2" count="1">
            <x v="8"/>
          </reference>
        </references>
      </pivotArea>
    </format>
    <format dxfId="2140">
      <pivotArea dataOnly="0" labelOnly="1" outline="0" fieldPosition="0">
        <references count="3">
          <reference field="0" count="1" selected="0">
            <x v="84"/>
          </reference>
          <reference field="1" count="1" selected="0">
            <x v="32"/>
          </reference>
          <reference field="2" count="1">
            <x v="3"/>
          </reference>
        </references>
      </pivotArea>
    </format>
    <format dxfId="2139">
      <pivotArea dataOnly="0" labelOnly="1" outline="0" fieldPosition="0">
        <references count="3">
          <reference field="0" count="1" selected="0">
            <x v="85"/>
          </reference>
          <reference field="1" count="1" selected="0">
            <x v="33"/>
          </reference>
          <reference field="2" count="1">
            <x v="4"/>
          </reference>
        </references>
      </pivotArea>
    </format>
    <format dxfId="2138">
      <pivotArea dataOnly="0" labelOnly="1" outline="0" fieldPosition="0">
        <references count="3">
          <reference field="0" count="1" selected="0">
            <x v="86"/>
          </reference>
          <reference field="1" count="1" selected="0">
            <x v="40"/>
          </reference>
          <reference field="2" count="1">
            <x v="5"/>
          </reference>
        </references>
      </pivotArea>
    </format>
    <format dxfId="2137">
      <pivotArea dataOnly="0" labelOnly="1" outline="0" fieldPosition="0">
        <references count="3">
          <reference field="0" count="1" selected="0">
            <x v="87"/>
          </reference>
          <reference field="1" count="1" selected="0">
            <x v="41"/>
          </reference>
          <reference field="2" count="1">
            <x v="3"/>
          </reference>
        </references>
      </pivotArea>
    </format>
    <format dxfId="2136">
      <pivotArea dataOnly="0" labelOnly="1" outline="0" fieldPosition="0">
        <references count="3">
          <reference field="0" count="1" selected="0">
            <x v="88"/>
          </reference>
          <reference field="1" count="1" selected="0">
            <x v="43"/>
          </reference>
          <reference field="2" count="1">
            <x v="2"/>
          </reference>
        </references>
      </pivotArea>
    </format>
    <format dxfId="2135">
      <pivotArea dataOnly="0" labelOnly="1" outline="0" fieldPosition="0">
        <references count="3">
          <reference field="0" count="1" selected="0">
            <x v="90"/>
          </reference>
          <reference field="1" count="1" selected="0">
            <x v="47"/>
          </reference>
          <reference field="2" count="1">
            <x v="3"/>
          </reference>
        </references>
      </pivotArea>
    </format>
    <format dxfId="2134">
      <pivotArea dataOnly="0" labelOnly="1" outline="0" fieldPosition="0">
        <references count="3">
          <reference field="0" count="1" selected="0">
            <x v="93"/>
          </reference>
          <reference field="1" count="1" selected="0">
            <x v="91"/>
          </reference>
          <reference field="2" count="1">
            <x v="6"/>
          </reference>
        </references>
      </pivotArea>
    </format>
    <format dxfId="2133">
      <pivotArea dataOnly="0" labelOnly="1" outline="0" fieldPosition="0">
        <references count="3">
          <reference field="0" count="1" selected="0">
            <x v="94"/>
          </reference>
          <reference field="1" count="1" selected="0">
            <x v="94"/>
          </reference>
          <reference field="2" count="1">
            <x v="3"/>
          </reference>
        </references>
      </pivotArea>
    </format>
    <format dxfId="2132">
      <pivotArea dataOnly="0" labelOnly="1" outline="0" fieldPosition="0">
        <references count="3">
          <reference field="0" count="1" selected="0">
            <x v="97"/>
          </reference>
          <reference field="1" count="1" selected="0">
            <x v="50"/>
          </reference>
          <reference field="2" count="1">
            <x v="2"/>
          </reference>
        </references>
      </pivotArea>
    </format>
    <format dxfId="2131">
      <pivotArea dataOnly="0" labelOnly="1" outline="0" fieldPosition="0">
        <references count="3">
          <reference field="0" count="1" selected="0">
            <x v="98"/>
          </reference>
          <reference field="1" count="1" selected="0">
            <x v="52"/>
          </reference>
          <reference field="2" count="1">
            <x v="4"/>
          </reference>
        </references>
      </pivotArea>
    </format>
    <format dxfId="2130">
      <pivotArea dataOnly="0" labelOnly="1" outline="0" fieldPosition="0">
        <references count="3">
          <reference field="0" count="1" selected="0">
            <x v="100"/>
          </reference>
          <reference field="1" count="1" selected="0">
            <x v="61"/>
          </reference>
          <reference field="2" count="1">
            <x v="0"/>
          </reference>
        </references>
      </pivotArea>
    </format>
    <format dxfId="2129">
      <pivotArea dataOnly="0" labelOnly="1" outline="0" fieldPosition="0">
        <references count="4">
          <reference field="0" count="1" selected="0">
            <x v="0"/>
          </reference>
          <reference field="1" count="1" selected="0">
            <x v="4"/>
          </reference>
          <reference field="2" count="1" selected="0">
            <x v="1"/>
          </reference>
          <reference field="3" count="1">
            <x v="2"/>
          </reference>
        </references>
      </pivotArea>
    </format>
    <format dxfId="2128">
      <pivotArea dataOnly="0" labelOnly="1" outline="0" fieldPosition="0">
        <references count="4">
          <reference field="0" count="1" selected="0">
            <x v="1"/>
          </reference>
          <reference field="1" count="1" selected="0">
            <x v="7"/>
          </reference>
          <reference field="2" count="1" selected="0">
            <x v="2"/>
          </reference>
          <reference field="3" count="1">
            <x v="18"/>
          </reference>
        </references>
      </pivotArea>
    </format>
    <format dxfId="2127">
      <pivotArea dataOnly="0" labelOnly="1" outline="0" fieldPosition="0">
        <references count="4">
          <reference field="0" count="1" selected="0">
            <x v="2"/>
          </reference>
          <reference field="1" count="1" selected="0">
            <x v="10"/>
          </reference>
          <reference field="2" count="1" selected="0">
            <x v="2"/>
          </reference>
          <reference field="3" count="1">
            <x v="7"/>
          </reference>
        </references>
      </pivotArea>
    </format>
    <format dxfId="2126">
      <pivotArea dataOnly="0" labelOnly="1" outline="0" fieldPosition="0">
        <references count="4">
          <reference field="0" count="1" selected="0">
            <x v="3"/>
          </reference>
          <reference field="1" count="1" selected="0">
            <x v="13"/>
          </reference>
          <reference field="2" count="1" selected="0">
            <x v="3"/>
          </reference>
          <reference field="3" count="1">
            <x v="31"/>
          </reference>
        </references>
      </pivotArea>
    </format>
    <format dxfId="2125">
      <pivotArea dataOnly="0" labelOnly="1" outline="0" fieldPosition="0">
        <references count="4">
          <reference field="0" count="1" selected="0">
            <x v="4"/>
          </reference>
          <reference field="1" count="1" selected="0">
            <x v="15"/>
          </reference>
          <reference field="2" count="1" selected="0">
            <x v="2"/>
          </reference>
          <reference field="3" count="1">
            <x v="5"/>
          </reference>
        </references>
      </pivotArea>
    </format>
    <format dxfId="2124">
      <pivotArea dataOnly="0" labelOnly="1" outline="0" fieldPosition="0">
        <references count="4">
          <reference field="0" count="1" selected="0">
            <x v="5"/>
          </reference>
          <reference field="1" count="1" selected="0">
            <x v="18"/>
          </reference>
          <reference field="2" count="1" selected="0">
            <x v="1"/>
          </reference>
          <reference field="3" count="1">
            <x v="3"/>
          </reference>
        </references>
      </pivotArea>
    </format>
    <format dxfId="2123">
      <pivotArea dataOnly="0" labelOnly="1" outline="0" fieldPosition="0">
        <references count="4">
          <reference field="0" count="1" selected="0">
            <x v="6"/>
          </reference>
          <reference field="1" count="1" selected="0">
            <x v="19"/>
          </reference>
          <reference field="2" count="1" selected="0">
            <x v="6"/>
          </reference>
          <reference field="3" count="1">
            <x v="4"/>
          </reference>
        </references>
      </pivotArea>
    </format>
    <format dxfId="2122">
      <pivotArea dataOnly="0" labelOnly="1" outline="0" fieldPosition="0">
        <references count="4">
          <reference field="0" count="1" selected="0">
            <x v="7"/>
          </reference>
          <reference field="1" count="1" selected="0">
            <x v="20"/>
          </reference>
          <reference field="2" count="1" selected="0">
            <x v="2"/>
          </reference>
          <reference field="3" count="1">
            <x v="6"/>
          </reference>
        </references>
      </pivotArea>
    </format>
    <format dxfId="2121">
      <pivotArea dataOnly="0" labelOnly="1" outline="0" fieldPosition="0">
        <references count="4">
          <reference field="0" count="1" selected="0">
            <x v="9"/>
          </reference>
          <reference field="1" count="1" selected="0">
            <x v="23"/>
          </reference>
          <reference field="2" count="1" selected="0">
            <x v="1"/>
          </reference>
          <reference field="3" count="1">
            <x v="2"/>
          </reference>
        </references>
      </pivotArea>
    </format>
    <format dxfId="2120">
      <pivotArea dataOnly="0" labelOnly="1" outline="0" fieldPosition="0">
        <references count="4">
          <reference field="0" count="1" selected="0">
            <x v="10"/>
          </reference>
          <reference field="1" count="1" selected="0">
            <x v="26"/>
          </reference>
          <reference field="2" count="1" selected="0">
            <x v="2"/>
          </reference>
          <reference field="3" count="1">
            <x v="8"/>
          </reference>
        </references>
      </pivotArea>
    </format>
    <format dxfId="2119">
      <pivotArea dataOnly="0" labelOnly="1" outline="0" fieldPosition="0">
        <references count="4">
          <reference field="0" count="1" selected="0">
            <x v="11"/>
          </reference>
          <reference field="1" count="1" selected="0">
            <x v="28"/>
          </reference>
          <reference field="2" count="1" selected="0">
            <x v="3"/>
          </reference>
          <reference field="3" count="1">
            <x v="10"/>
          </reference>
        </references>
      </pivotArea>
    </format>
    <format dxfId="2118">
      <pivotArea dataOnly="0" labelOnly="1" outline="0" fieldPosition="0">
        <references count="4">
          <reference field="0" count="1" selected="0">
            <x v="13"/>
          </reference>
          <reference field="1" count="1" selected="0">
            <x v="30"/>
          </reference>
          <reference field="2" count="1" selected="0">
            <x v="7"/>
          </reference>
          <reference field="3" count="1">
            <x v="11"/>
          </reference>
        </references>
      </pivotArea>
    </format>
    <format dxfId="2117">
      <pivotArea dataOnly="0" labelOnly="1" outline="0" fieldPosition="0">
        <references count="4">
          <reference field="0" count="1" selected="0">
            <x v="14"/>
          </reference>
          <reference field="1" count="1" selected="0">
            <x v="34"/>
          </reference>
          <reference field="2" count="1" selected="0">
            <x v="3"/>
          </reference>
          <reference field="3" count="1">
            <x v="12"/>
          </reference>
        </references>
      </pivotArea>
    </format>
    <format dxfId="2116">
      <pivotArea dataOnly="0" labelOnly="1" outline="0" fieldPosition="0">
        <references count="4">
          <reference field="0" count="1" selected="0">
            <x v="15"/>
          </reference>
          <reference field="1" count="1" selected="0">
            <x v="35"/>
          </reference>
          <reference field="2" count="1" selected="0">
            <x v="2"/>
          </reference>
          <reference field="3" count="1">
            <x v="13"/>
          </reference>
        </references>
      </pivotArea>
    </format>
    <format dxfId="2115">
      <pivotArea dataOnly="0" labelOnly="1" outline="0" fieldPosition="0">
        <references count="4">
          <reference field="0" count="1" selected="0">
            <x v="16"/>
          </reference>
          <reference field="1" count="1" selected="0">
            <x v="36"/>
          </reference>
          <reference field="2" count="1" selected="0">
            <x v="3"/>
          </reference>
          <reference field="3" count="1">
            <x v="28"/>
          </reference>
        </references>
      </pivotArea>
    </format>
    <format dxfId="2114">
      <pivotArea dataOnly="0" labelOnly="1" outline="0" fieldPosition="0">
        <references count="4">
          <reference field="0" count="1" selected="0">
            <x v="17"/>
          </reference>
          <reference field="1" count="1" selected="0">
            <x v="37"/>
          </reference>
          <reference field="2" count="1" selected="0">
            <x v="3"/>
          </reference>
          <reference field="3" count="1">
            <x v="15"/>
          </reference>
        </references>
      </pivotArea>
    </format>
    <format dxfId="2113">
      <pivotArea dataOnly="0" labelOnly="1" outline="0" fieldPosition="0">
        <references count="4">
          <reference field="0" count="1" selected="0">
            <x v="19"/>
          </reference>
          <reference field="1" count="1" selected="0">
            <x v="39"/>
          </reference>
          <reference field="2" count="1" selected="0">
            <x v="8"/>
          </reference>
          <reference field="3" count="1">
            <x v="16"/>
          </reference>
        </references>
      </pivotArea>
    </format>
    <format dxfId="2112">
      <pivotArea dataOnly="0" labelOnly="1" outline="0" fieldPosition="0">
        <references count="4">
          <reference field="0" count="1" selected="0">
            <x v="20"/>
          </reference>
          <reference field="1" count="1" selected="0">
            <x v="42"/>
          </reference>
          <reference field="2" count="1" selected="0">
            <x v="5"/>
          </reference>
          <reference field="3" count="1">
            <x v="17"/>
          </reference>
        </references>
      </pivotArea>
    </format>
    <format dxfId="2111">
      <pivotArea dataOnly="0" labelOnly="1" outline="0" fieldPosition="0">
        <references count="4">
          <reference field="0" count="1" selected="0">
            <x v="21"/>
          </reference>
          <reference field="1" count="1" selected="0">
            <x v="45"/>
          </reference>
          <reference field="2" count="1" selected="0">
            <x v="4"/>
          </reference>
          <reference field="3" count="1">
            <x v="19"/>
          </reference>
        </references>
      </pivotArea>
    </format>
    <format dxfId="2110">
      <pivotArea dataOnly="0" labelOnly="1" outline="0" fieldPosition="0">
        <references count="4">
          <reference field="0" count="1" selected="0">
            <x v="23"/>
          </reference>
          <reference field="1" count="1" selected="0">
            <x v="48"/>
          </reference>
          <reference field="2" count="1" selected="0">
            <x v="7"/>
          </reference>
          <reference field="3" count="1">
            <x v="21"/>
          </reference>
        </references>
      </pivotArea>
    </format>
    <format dxfId="2109">
      <pivotArea dataOnly="0" labelOnly="1" outline="0" fieldPosition="0">
        <references count="4">
          <reference field="0" count="1" selected="0">
            <x v="24"/>
          </reference>
          <reference field="1" count="1" selected="0">
            <x v="51"/>
          </reference>
          <reference field="2" count="1" selected="0">
            <x v="3"/>
          </reference>
          <reference field="3" count="1">
            <x v="24"/>
          </reference>
        </references>
      </pivotArea>
    </format>
    <format dxfId="2108">
      <pivotArea dataOnly="0" labelOnly="1" outline="0" fieldPosition="0">
        <references count="4">
          <reference field="0" count="1" selected="0">
            <x v="25"/>
          </reference>
          <reference field="1" count="1" selected="0">
            <x v="53"/>
          </reference>
          <reference field="2" count="1" selected="0">
            <x v="3"/>
          </reference>
          <reference field="3" count="1">
            <x v="26"/>
          </reference>
        </references>
      </pivotArea>
    </format>
    <format dxfId="2107">
      <pivotArea dataOnly="0" labelOnly="1" outline="0" fieldPosition="0">
        <references count="4">
          <reference field="0" count="1" selected="0">
            <x v="26"/>
          </reference>
          <reference field="1" count="1" selected="0">
            <x v="56"/>
          </reference>
          <reference field="2" count="1" selected="0">
            <x v="2"/>
          </reference>
          <reference field="3" count="1">
            <x v="7"/>
          </reference>
        </references>
      </pivotArea>
    </format>
    <format dxfId="2106">
      <pivotArea dataOnly="0" labelOnly="1" outline="0" fieldPosition="0">
        <references count="4">
          <reference field="0" count="1" selected="0">
            <x v="27"/>
          </reference>
          <reference field="1" count="1" selected="0">
            <x v="57"/>
          </reference>
          <reference field="2" count="1" selected="0">
            <x v="2"/>
          </reference>
          <reference field="3" count="1">
            <x v="8"/>
          </reference>
        </references>
      </pivotArea>
    </format>
    <format dxfId="2105">
      <pivotArea dataOnly="0" labelOnly="1" outline="0" fieldPosition="0">
        <references count="4">
          <reference field="0" count="1" selected="0">
            <x v="33"/>
          </reference>
          <reference field="1" count="1" selected="0">
            <x v="63"/>
          </reference>
          <reference field="2" count="1" selected="0">
            <x v="4"/>
          </reference>
          <reference field="3" count="1">
            <x v="1"/>
          </reference>
        </references>
      </pivotArea>
    </format>
    <format dxfId="2104">
      <pivotArea dataOnly="0" labelOnly="1" outline="0" fieldPosition="0">
        <references count="4">
          <reference field="0" count="1" selected="0">
            <x v="34"/>
          </reference>
          <reference field="1" count="1" selected="0">
            <x v="65"/>
          </reference>
          <reference field="2" count="1" selected="0">
            <x v="5"/>
          </reference>
          <reference field="3" count="1">
            <x v="29"/>
          </reference>
        </references>
      </pivotArea>
    </format>
    <format dxfId="2103">
      <pivotArea dataOnly="0" labelOnly="1" outline="0" fieldPosition="0">
        <references count="4">
          <reference field="0" count="1" selected="0">
            <x v="36"/>
          </reference>
          <reference field="1" count="1" selected="0">
            <x v="67"/>
          </reference>
          <reference field="2" count="1" selected="0">
            <x v="2"/>
          </reference>
          <reference field="3" count="1">
            <x v="8"/>
          </reference>
        </references>
      </pivotArea>
    </format>
    <format dxfId="2102">
      <pivotArea dataOnly="0" labelOnly="1" outline="0" fieldPosition="0">
        <references count="4">
          <reference field="0" count="1" selected="0">
            <x v="37"/>
          </reference>
          <reference field="1" count="1" selected="0">
            <x v="68"/>
          </reference>
          <reference field="2" count="1" selected="0">
            <x v="3"/>
          </reference>
          <reference field="3" count="1">
            <x v="31"/>
          </reference>
        </references>
      </pivotArea>
    </format>
    <format dxfId="2101">
      <pivotArea dataOnly="0" labelOnly="1" outline="0" fieldPosition="0">
        <references count="4">
          <reference field="0" count="1" selected="0">
            <x v="39"/>
          </reference>
          <reference field="1" count="1" selected="0">
            <x v="71"/>
          </reference>
          <reference field="2" count="1" selected="0">
            <x v="6"/>
          </reference>
          <reference field="3" count="1">
            <x v="33"/>
          </reference>
        </references>
      </pivotArea>
    </format>
    <format dxfId="2100">
      <pivotArea dataOnly="0" labelOnly="1" outline="0" fieldPosition="0">
        <references count="4">
          <reference field="0" count="1" selected="0">
            <x v="41"/>
          </reference>
          <reference field="1" count="1" selected="0">
            <x v="73"/>
          </reference>
          <reference field="2" count="1" selected="0">
            <x v="3"/>
          </reference>
          <reference field="3" count="1">
            <x v="10"/>
          </reference>
        </references>
      </pivotArea>
    </format>
    <format dxfId="2099">
      <pivotArea dataOnly="0" labelOnly="1" outline="0" fieldPosition="0">
        <references count="4">
          <reference field="0" count="1" selected="0">
            <x v="42"/>
          </reference>
          <reference field="1" count="1" selected="0">
            <x v="74"/>
          </reference>
          <reference field="2" count="1" selected="0">
            <x v="5"/>
          </reference>
          <reference field="3" count="1">
            <x v="34"/>
          </reference>
        </references>
      </pivotArea>
    </format>
    <format dxfId="2098">
      <pivotArea dataOnly="0" labelOnly="1" outline="0" fieldPosition="0">
        <references count="4">
          <reference field="0" count="1" selected="0">
            <x v="43"/>
          </reference>
          <reference field="1" count="1" selected="0">
            <x v="75"/>
          </reference>
          <reference field="2" count="1" selected="0">
            <x v="7"/>
          </reference>
          <reference field="3" count="1">
            <x v="35"/>
          </reference>
        </references>
      </pivotArea>
    </format>
    <format dxfId="2097">
      <pivotArea dataOnly="0" labelOnly="1" outline="0" fieldPosition="0">
        <references count="4">
          <reference field="0" count="1" selected="0">
            <x v="44"/>
          </reference>
          <reference field="1" count="1" selected="0">
            <x v="76"/>
          </reference>
          <reference field="2" count="1" selected="0">
            <x v="2"/>
          </reference>
          <reference field="3" count="1">
            <x v="36"/>
          </reference>
        </references>
      </pivotArea>
    </format>
    <format dxfId="2096">
      <pivotArea dataOnly="0" labelOnly="1" outline="0" fieldPosition="0">
        <references count="4">
          <reference field="0" count="1" selected="0">
            <x v="45"/>
          </reference>
          <reference field="1" count="1" selected="0">
            <x v="70"/>
          </reference>
          <reference field="2" count="1" selected="0">
            <x v="3"/>
          </reference>
          <reference field="3" count="1">
            <x v="32"/>
          </reference>
        </references>
      </pivotArea>
    </format>
    <format dxfId="2095">
      <pivotArea dataOnly="0" labelOnly="1" outline="0" fieldPosition="0">
        <references count="4">
          <reference field="0" count="1" selected="0">
            <x v="46"/>
          </reference>
          <reference field="1" count="1" selected="0">
            <x v="77"/>
          </reference>
          <reference field="2" count="1" selected="0">
            <x v="6"/>
          </reference>
          <reference field="3" count="1">
            <x v="37"/>
          </reference>
        </references>
      </pivotArea>
    </format>
    <format dxfId="2094">
      <pivotArea dataOnly="0" labelOnly="1" outline="0" fieldPosition="0">
        <references count="4">
          <reference field="0" count="1" selected="0">
            <x v="47"/>
          </reference>
          <reference field="1" count="1" selected="0">
            <x v="78"/>
          </reference>
          <reference field="2" count="1" selected="0">
            <x v="7"/>
          </reference>
          <reference field="3" count="1">
            <x v="38"/>
          </reference>
        </references>
      </pivotArea>
    </format>
    <format dxfId="2093">
      <pivotArea dataOnly="0" labelOnly="1" outline="0" fieldPosition="0">
        <references count="4">
          <reference field="0" count="1" selected="0">
            <x v="48"/>
          </reference>
          <reference field="1" count="1" selected="0">
            <x v="79"/>
          </reference>
          <reference field="2" count="1" selected="0">
            <x v="2"/>
          </reference>
          <reference field="3" count="1">
            <x v="7"/>
          </reference>
        </references>
      </pivotArea>
    </format>
    <format dxfId="2092">
      <pivotArea dataOnly="0" labelOnly="1" outline="0" fieldPosition="0">
        <references count="4">
          <reference field="0" count="1" selected="0">
            <x v="49"/>
          </reference>
          <reference field="1" count="1" selected="0">
            <x v="80"/>
          </reference>
          <reference field="2" count="1" selected="0">
            <x v="6"/>
          </reference>
          <reference field="3" count="1">
            <x v="39"/>
          </reference>
        </references>
      </pivotArea>
    </format>
    <format dxfId="2091">
      <pivotArea dataOnly="0" labelOnly="1" outline="0" fieldPosition="0">
        <references count="4">
          <reference field="0" count="1" selected="0">
            <x v="50"/>
          </reference>
          <reference field="1" count="1" selected="0">
            <x v="81"/>
          </reference>
          <reference field="2" count="1" selected="0">
            <x v="4"/>
          </reference>
          <reference field="3" count="1">
            <x v="1"/>
          </reference>
        </references>
      </pivotArea>
    </format>
    <format dxfId="2090">
      <pivotArea dataOnly="0" labelOnly="1" outline="0" fieldPosition="0">
        <references count="4">
          <reference field="0" count="1" selected="0">
            <x v="51"/>
          </reference>
          <reference field="1" count="1" selected="0">
            <x v="82"/>
          </reference>
          <reference field="2" count="1" selected="0">
            <x v="2"/>
          </reference>
          <reference field="3" count="1">
            <x v="8"/>
          </reference>
        </references>
      </pivotArea>
    </format>
    <format dxfId="2089">
      <pivotArea dataOnly="0" labelOnly="1" outline="0" fieldPosition="0">
        <references count="4">
          <reference field="0" count="1" selected="0">
            <x v="52"/>
          </reference>
          <reference field="1" count="1" selected="0">
            <x v="83"/>
          </reference>
          <reference field="2" count="1" selected="0">
            <x v="2"/>
          </reference>
          <reference field="3" count="1">
            <x v="7"/>
          </reference>
        </references>
      </pivotArea>
    </format>
    <format dxfId="2088">
      <pivotArea dataOnly="0" labelOnly="1" outline="0" fieldPosition="0">
        <references count="4">
          <reference field="0" count="1" selected="0">
            <x v="53"/>
          </reference>
          <reference field="1" count="1" selected="0">
            <x v="84"/>
          </reference>
          <reference field="2" count="1" selected="0">
            <x v="6"/>
          </reference>
          <reference field="3" count="1">
            <x v="30"/>
          </reference>
        </references>
      </pivotArea>
    </format>
    <format dxfId="2087">
      <pivotArea dataOnly="0" labelOnly="1" outline="0" fieldPosition="0">
        <references count="4">
          <reference field="0" count="1" selected="0">
            <x v="54"/>
          </reference>
          <reference field="1" count="1" selected="0">
            <x v="86"/>
          </reference>
          <reference field="2" count="1" selected="0">
            <x v="3"/>
          </reference>
          <reference field="3" count="1">
            <x v="41"/>
          </reference>
        </references>
      </pivotArea>
    </format>
    <format dxfId="2086">
      <pivotArea dataOnly="0" labelOnly="1" outline="0" fieldPosition="0">
        <references count="4">
          <reference field="0" count="1" selected="0">
            <x v="57"/>
          </reference>
          <reference field="1" count="1" selected="0">
            <x v="89"/>
          </reference>
          <reference field="2" count="1" selected="0">
            <x v="8"/>
          </reference>
          <reference field="3" count="1">
            <x v="27"/>
          </reference>
        </references>
      </pivotArea>
    </format>
    <format dxfId="2085">
      <pivotArea dataOnly="0" labelOnly="1" outline="0" fieldPosition="0">
        <references count="4">
          <reference field="0" count="1" selected="0">
            <x v="58"/>
          </reference>
          <reference field="1" count="1" selected="0">
            <x v="90"/>
          </reference>
          <reference field="2" count="1" selected="0">
            <x v="3"/>
          </reference>
          <reference field="3" count="1">
            <x v="14"/>
          </reference>
        </references>
      </pivotArea>
    </format>
    <format dxfId="2084">
      <pivotArea dataOnly="0" labelOnly="1" outline="0" fieldPosition="0">
        <references count="4">
          <reference field="0" count="1" selected="0">
            <x v="59"/>
          </reference>
          <reference field="1" count="1" selected="0">
            <x v="92"/>
          </reference>
          <reference field="2" count="1" selected="0">
            <x v="2"/>
          </reference>
          <reference field="3" count="1">
            <x v="7"/>
          </reference>
        </references>
      </pivotArea>
    </format>
    <format dxfId="2083">
      <pivotArea dataOnly="0" labelOnly="1" outline="0" fieldPosition="0">
        <references count="4">
          <reference field="0" count="1" selected="0">
            <x v="60"/>
          </reference>
          <reference field="1" count="1" selected="0">
            <x v="96"/>
          </reference>
          <reference field="2" count="1" selected="0">
            <x v="8"/>
          </reference>
          <reference field="3" count="1">
            <x v="44"/>
          </reference>
        </references>
      </pivotArea>
    </format>
    <format dxfId="2082">
      <pivotArea dataOnly="0" labelOnly="1" outline="0" fieldPosition="0">
        <references count="4">
          <reference field="0" count="1" selected="0">
            <x v="61"/>
          </reference>
          <reference field="1" count="1" selected="0">
            <x v="97"/>
          </reference>
          <reference field="2" count="1" selected="0">
            <x v="4"/>
          </reference>
          <reference field="3" count="1">
            <x v="1"/>
          </reference>
        </references>
      </pivotArea>
    </format>
    <format dxfId="2081">
      <pivotArea dataOnly="0" labelOnly="1" outline="0" fieldPosition="0">
        <references count="4">
          <reference field="0" count="1" selected="0">
            <x v="62"/>
          </reference>
          <reference field="1" count="1" selected="0">
            <x v="98"/>
          </reference>
          <reference field="2" count="1" selected="0">
            <x v="8"/>
          </reference>
          <reference field="3" count="1">
            <x v="45"/>
          </reference>
        </references>
      </pivotArea>
    </format>
    <format dxfId="2080">
      <pivotArea dataOnly="0" labelOnly="1" outline="0" fieldPosition="0">
        <references count="4">
          <reference field="0" count="1" selected="0">
            <x v="63"/>
          </reference>
          <reference field="1" count="1" selected="0">
            <x v="99"/>
          </reference>
          <reference field="2" count="1" selected="0">
            <x v="3"/>
          </reference>
          <reference field="3" count="1">
            <x v="46"/>
          </reference>
        </references>
      </pivotArea>
    </format>
    <format dxfId="2079">
      <pivotArea dataOnly="0" labelOnly="1" outline="0" fieldPosition="0">
        <references count="4">
          <reference field="0" count="1" selected="0">
            <x v="64"/>
          </reference>
          <reference field="1" count="1" selected="0">
            <x v="11"/>
          </reference>
          <reference field="2" count="1" selected="0">
            <x v="2"/>
          </reference>
          <reference field="3" count="1">
            <x v="7"/>
          </reference>
        </references>
      </pivotArea>
    </format>
    <format dxfId="2078">
      <pivotArea dataOnly="0" labelOnly="1" outline="0" fieldPosition="0">
        <references count="4">
          <reference field="0" count="1" selected="0">
            <x v="65"/>
          </reference>
          <reference field="1" count="1" selected="0">
            <x v="12"/>
          </reference>
          <reference field="2" count="1" selected="0">
            <x v="3"/>
          </reference>
          <reference field="3" count="1">
            <x v="31"/>
          </reference>
        </references>
      </pivotArea>
    </format>
    <format dxfId="2077">
      <pivotArea dataOnly="0" labelOnly="1" outline="0" fieldPosition="0">
        <references count="4">
          <reference field="0" count="1" selected="0">
            <x v="66"/>
          </reference>
          <reference field="1" count="1" selected="0">
            <x v="49"/>
          </reference>
          <reference field="2" count="1" selected="0">
            <x v="4"/>
          </reference>
          <reference field="3" count="1">
            <x v="22"/>
          </reference>
        </references>
      </pivotArea>
    </format>
    <format dxfId="2076">
      <pivotArea dataOnly="0" labelOnly="1" outline="0" fieldPosition="0">
        <references count="4">
          <reference field="0" count="1" selected="0">
            <x v="67"/>
          </reference>
          <reference field="1" count="1" selected="0">
            <x v="64"/>
          </reference>
          <reference field="2" count="1" selected="0">
            <x v="4"/>
          </reference>
          <reference field="3" count="1">
            <x v="1"/>
          </reference>
        </references>
      </pivotArea>
    </format>
    <format dxfId="2075">
      <pivotArea dataOnly="0" labelOnly="1" outline="0" fieldPosition="0">
        <references count="4">
          <reference field="0" count="1" selected="0">
            <x v="68"/>
          </reference>
          <reference field="1" count="1" selected="0">
            <x v="0"/>
          </reference>
          <reference field="2" count="1" selected="0">
            <x v="3"/>
          </reference>
          <reference field="3" count="1">
            <x v="28"/>
          </reference>
        </references>
      </pivotArea>
    </format>
    <format dxfId="2074">
      <pivotArea dataOnly="0" labelOnly="1" outline="0" fieldPosition="0">
        <references count="4">
          <reference field="0" count="1" selected="0">
            <x v="69"/>
          </reference>
          <reference field="1" count="1" selected="0">
            <x v="1"/>
          </reference>
          <reference field="2" count="1" selected="0">
            <x v="3"/>
          </reference>
          <reference field="3" count="1">
            <x v="32"/>
          </reference>
        </references>
      </pivotArea>
    </format>
    <format dxfId="2073">
      <pivotArea dataOnly="0" labelOnly="1" outline="0" fieldPosition="0">
        <references count="4">
          <reference field="0" count="1" selected="0">
            <x v="70"/>
          </reference>
          <reference field="1" count="1" selected="0">
            <x v="2"/>
          </reference>
          <reference field="2" count="1" selected="0">
            <x v="3"/>
          </reference>
          <reference field="3" count="1">
            <x v="28"/>
          </reference>
        </references>
      </pivotArea>
    </format>
    <format dxfId="2072">
      <pivotArea dataOnly="0" labelOnly="1" outline="0" fieldPosition="0">
        <references count="4">
          <reference field="0" count="1" selected="0">
            <x v="72"/>
          </reference>
          <reference field="1" count="1" selected="0">
            <x v="5"/>
          </reference>
          <reference field="2" count="1" selected="0">
            <x v="5"/>
          </reference>
          <reference field="3" count="1">
            <x v="29"/>
          </reference>
        </references>
      </pivotArea>
    </format>
    <format dxfId="2071">
      <pivotArea dataOnly="0" labelOnly="1" outline="0" fieldPosition="0">
        <references count="4">
          <reference field="0" count="1" selected="0">
            <x v="73"/>
          </reference>
          <reference field="1" count="1" selected="0">
            <x v="6"/>
          </reference>
          <reference field="2" count="1" selected="0">
            <x v="2"/>
          </reference>
          <reference field="3" count="1">
            <x v="9"/>
          </reference>
        </references>
      </pivotArea>
    </format>
    <format dxfId="2070">
      <pivotArea dataOnly="0" labelOnly="1" outline="0" fieldPosition="0">
        <references count="4">
          <reference field="0" count="1" selected="0">
            <x v="74"/>
          </reference>
          <reference field="1" count="1" selected="0">
            <x v="8"/>
          </reference>
          <reference field="2" count="1" selected="0">
            <x v="3"/>
          </reference>
          <reference field="3" count="1">
            <x v="31"/>
          </reference>
        </references>
      </pivotArea>
    </format>
    <format dxfId="2069">
      <pivotArea dataOnly="0" labelOnly="1" outline="0" fieldPosition="0">
        <references count="4">
          <reference field="0" count="1" selected="0">
            <x v="75"/>
          </reference>
          <reference field="1" count="1" selected="0">
            <x v="9"/>
          </reference>
          <reference field="2" count="1" selected="0">
            <x v="3"/>
          </reference>
          <reference field="3" count="1">
            <x v="28"/>
          </reference>
        </references>
      </pivotArea>
    </format>
    <format dxfId="2068">
      <pivotArea dataOnly="0" labelOnly="1" outline="0" fieldPosition="0">
        <references count="4">
          <reference field="0" count="1" selected="0">
            <x v="76"/>
          </reference>
          <reference field="1" count="1" selected="0">
            <x v="14"/>
          </reference>
          <reference field="2" count="1" selected="0">
            <x v="3"/>
          </reference>
          <reference field="3" count="1">
            <x v="10"/>
          </reference>
        </references>
      </pivotArea>
    </format>
    <format dxfId="2067">
      <pivotArea dataOnly="0" labelOnly="1" outline="0" fieldPosition="0">
        <references count="4">
          <reference field="0" count="1" selected="0">
            <x v="78"/>
          </reference>
          <reference field="1" count="1" selected="0">
            <x v="17"/>
          </reference>
          <reference field="2" count="1" selected="0">
            <x v="3"/>
          </reference>
          <reference field="3" count="1">
            <x v="14"/>
          </reference>
        </references>
      </pivotArea>
    </format>
    <format dxfId="2066">
      <pivotArea dataOnly="0" labelOnly="1" outline="0" fieldPosition="0">
        <references count="4">
          <reference field="0" count="1" selected="0">
            <x v="79"/>
          </reference>
          <reference field="1" count="1" selected="0">
            <x v="22"/>
          </reference>
          <reference field="2" count="1" selected="0">
            <x v="8"/>
          </reference>
          <reference field="3" count="1">
            <x v="44"/>
          </reference>
        </references>
      </pivotArea>
    </format>
    <format dxfId="2065">
      <pivotArea dataOnly="0" labelOnly="1" outline="0" fieldPosition="0">
        <references count="4">
          <reference field="0" count="1" selected="0">
            <x v="80"/>
          </reference>
          <reference field="1" count="1" selected="0">
            <x v="24"/>
          </reference>
          <reference field="2" count="1" selected="0">
            <x v="3"/>
          </reference>
          <reference field="3" count="1">
            <x v="31"/>
          </reference>
        </references>
      </pivotArea>
    </format>
    <format dxfId="2064">
      <pivotArea dataOnly="0" labelOnly="1" outline="0" fieldPosition="0">
        <references count="4">
          <reference field="0" count="1" selected="0">
            <x v="81"/>
          </reference>
          <reference field="1" count="1" selected="0">
            <x v="25"/>
          </reference>
          <reference field="2" count="1" selected="0">
            <x v="3"/>
          </reference>
          <reference field="3" count="1">
            <x v="10"/>
          </reference>
        </references>
      </pivotArea>
    </format>
    <format dxfId="2063">
      <pivotArea dataOnly="0" labelOnly="1" outline="0" fieldPosition="0">
        <references count="4">
          <reference field="0" count="1" selected="0">
            <x v="82"/>
          </reference>
          <reference field="1" count="1" selected="0">
            <x v="27"/>
          </reference>
          <reference field="2" count="1" selected="0">
            <x v="2"/>
          </reference>
          <reference field="3" count="1">
            <x v="9"/>
          </reference>
        </references>
      </pivotArea>
    </format>
    <format dxfId="2062">
      <pivotArea dataOnly="0" labelOnly="1" outline="0" fieldPosition="0">
        <references count="4">
          <reference field="0" count="1" selected="0">
            <x v="83"/>
          </reference>
          <reference field="1" count="1" selected="0">
            <x v="31"/>
          </reference>
          <reference field="2" count="1" selected="0">
            <x v="8"/>
          </reference>
          <reference field="3" count="1">
            <x v="16"/>
          </reference>
        </references>
      </pivotArea>
    </format>
    <format dxfId="2061">
      <pivotArea dataOnly="0" labelOnly="1" outline="0" fieldPosition="0">
        <references count="4">
          <reference field="0" count="1" selected="0">
            <x v="84"/>
          </reference>
          <reference field="1" count="1" selected="0">
            <x v="32"/>
          </reference>
          <reference field="2" count="1" selected="0">
            <x v="3"/>
          </reference>
          <reference field="3" count="1">
            <x v="10"/>
          </reference>
        </references>
      </pivotArea>
    </format>
    <format dxfId="2060">
      <pivotArea dataOnly="0" labelOnly="1" outline="0" fieldPosition="0">
        <references count="4">
          <reference field="0" count="1" selected="0">
            <x v="85"/>
          </reference>
          <reference field="1" count="1" selected="0">
            <x v="33"/>
          </reference>
          <reference field="2" count="1" selected="0">
            <x v="4"/>
          </reference>
          <reference field="3" count="1">
            <x v="1"/>
          </reference>
        </references>
      </pivotArea>
    </format>
    <format dxfId="2059">
      <pivotArea dataOnly="0" labelOnly="1" outline="0" fieldPosition="0">
        <references count="4">
          <reference field="0" count="1" selected="0">
            <x v="86"/>
          </reference>
          <reference field="1" count="1" selected="0">
            <x v="40"/>
          </reference>
          <reference field="2" count="1" selected="0">
            <x v="5"/>
          </reference>
          <reference field="3" count="1">
            <x v="29"/>
          </reference>
        </references>
      </pivotArea>
    </format>
    <format dxfId="2058">
      <pivotArea dataOnly="0" labelOnly="1" outline="0" fieldPosition="0">
        <references count="4">
          <reference field="0" count="1" selected="0">
            <x v="87"/>
          </reference>
          <reference field="1" count="1" selected="0">
            <x v="41"/>
          </reference>
          <reference field="2" count="1" selected="0">
            <x v="3"/>
          </reference>
          <reference field="3" count="1">
            <x v="28"/>
          </reference>
        </references>
      </pivotArea>
    </format>
    <format dxfId="2057">
      <pivotArea dataOnly="0" labelOnly="1" outline="0" fieldPosition="0">
        <references count="4">
          <reference field="0" count="1" selected="0">
            <x v="88"/>
          </reference>
          <reference field="1" count="1" selected="0">
            <x v="43"/>
          </reference>
          <reference field="2" count="1" selected="0">
            <x v="2"/>
          </reference>
          <reference field="3" count="1">
            <x v="7"/>
          </reference>
        </references>
      </pivotArea>
    </format>
    <format dxfId="2056">
      <pivotArea dataOnly="0" labelOnly="1" outline="0" fieldPosition="0">
        <references count="4">
          <reference field="0" count="1" selected="0">
            <x v="90"/>
          </reference>
          <reference field="1" count="1" selected="0">
            <x v="47"/>
          </reference>
          <reference field="2" count="1" selected="0">
            <x v="3"/>
          </reference>
          <reference field="3" count="1">
            <x v="20"/>
          </reference>
        </references>
      </pivotArea>
    </format>
    <format dxfId="2055">
      <pivotArea dataOnly="0" labelOnly="1" outline="0" fieldPosition="0">
        <references count="4">
          <reference field="0" count="1" selected="0">
            <x v="91"/>
          </reference>
          <reference field="1" count="1" selected="0">
            <x v="54"/>
          </reference>
          <reference field="2" count="1" selected="0">
            <x v="3"/>
          </reference>
          <reference field="3" count="1">
            <x v="31"/>
          </reference>
        </references>
      </pivotArea>
    </format>
    <format dxfId="2054">
      <pivotArea dataOnly="0" labelOnly="1" outline="0" fieldPosition="0">
        <references count="4">
          <reference field="0" count="1" selected="0">
            <x v="93"/>
          </reference>
          <reference field="1" count="1" selected="0">
            <x v="91"/>
          </reference>
          <reference field="2" count="1" selected="0">
            <x v="6"/>
          </reference>
          <reference field="3" count="1">
            <x v="43"/>
          </reference>
        </references>
      </pivotArea>
    </format>
    <format dxfId="2053">
      <pivotArea dataOnly="0" labelOnly="1" outline="0" fieldPosition="0">
        <references count="4">
          <reference field="0" count="1" selected="0">
            <x v="94"/>
          </reference>
          <reference field="1" count="1" selected="0">
            <x v="94"/>
          </reference>
          <reference field="2" count="1" selected="0">
            <x v="3"/>
          </reference>
          <reference field="3" count="1">
            <x v="31"/>
          </reference>
        </references>
      </pivotArea>
    </format>
    <format dxfId="2052">
      <pivotArea dataOnly="0" labelOnly="1" outline="0" fieldPosition="0">
        <references count="4">
          <reference field="0" count="1" selected="0">
            <x v="95"/>
          </reference>
          <reference field="1" count="1" selected="0">
            <x v="95"/>
          </reference>
          <reference field="2" count="1" selected="0">
            <x v="3"/>
          </reference>
          <reference field="3" count="1">
            <x v="28"/>
          </reference>
        </references>
      </pivotArea>
    </format>
    <format dxfId="2051">
      <pivotArea dataOnly="0" labelOnly="1" outline="0" fieldPosition="0">
        <references count="4">
          <reference field="0" count="1" selected="0">
            <x v="96"/>
          </reference>
          <reference field="1" count="1" selected="0">
            <x v="100"/>
          </reference>
          <reference field="2" count="1" selected="0">
            <x v="3"/>
          </reference>
          <reference field="3" count="1">
            <x v="10"/>
          </reference>
        </references>
      </pivotArea>
    </format>
    <format dxfId="2050">
      <pivotArea dataOnly="0" labelOnly="1" outline="0" fieldPosition="0">
        <references count="4">
          <reference field="0" count="1" selected="0">
            <x v="97"/>
          </reference>
          <reference field="1" count="1" selected="0">
            <x v="50"/>
          </reference>
          <reference field="2" count="1" selected="0">
            <x v="2"/>
          </reference>
          <reference field="3" count="1">
            <x v="23"/>
          </reference>
        </references>
      </pivotArea>
    </format>
    <format dxfId="2049">
      <pivotArea dataOnly="0" labelOnly="1" outline="0" fieldPosition="0">
        <references count="4">
          <reference field="0" count="1" selected="0">
            <x v="98"/>
          </reference>
          <reference field="1" count="1" selected="0">
            <x v="52"/>
          </reference>
          <reference field="2" count="1" selected="0">
            <x v="4"/>
          </reference>
          <reference field="3" count="1">
            <x v="25"/>
          </reference>
        </references>
      </pivotArea>
    </format>
    <format dxfId="2048">
      <pivotArea dataOnly="0" labelOnly="1" outline="0" fieldPosition="0">
        <references count="4">
          <reference field="0" count="1" selected="0">
            <x v="99"/>
          </reference>
          <reference field="1" count="1" selected="0">
            <x v="85"/>
          </reference>
          <reference field="2" count="1" selected="0">
            <x v="4"/>
          </reference>
          <reference field="3" count="1">
            <x v="40"/>
          </reference>
        </references>
      </pivotArea>
    </format>
    <format dxfId="2047">
      <pivotArea dataOnly="0" labelOnly="1" outline="0" fieldPosition="0">
        <references count="4">
          <reference field="0" count="1" selected="0">
            <x v="100"/>
          </reference>
          <reference field="1" count="1" selected="0">
            <x v="61"/>
          </reference>
          <reference field="2" count="1" selected="0">
            <x v="0"/>
          </reference>
          <reference field="3" count="1">
            <x v="0"/>
          </reference>
        </references>
      </pivotArea>
    </format>
    <format dxfId="2046">
      <pivotArea dataOnly="0" labelOnly="1" outline="0" fieldPosition="0">
        <references count="5">
          <reference field="0" count="1" selected="0">
            <x v="0"/>
          </reference>
          <reference field="1" count="1" selected="0">
            <x v="4"/>
          </reference>
          <reference field="2" count="1" selected="0">
            <x v="1"/>
          </reference>
          <reference field="3" count="1" selected="0">
            <x v="2"/>
          </reference>
          <reference field="4" count="1">
            <x v="2"/>
          </reference>
        </references>
      </pivotArea>
    </format>
    <format dxfId="2045">
      <pivotArea dataOnly="0" labelOnly="1" outline="0" fieldPosition="0">
        <references count="5">
          <reference field="0" count="1" selected="0">
            <x v="1"/>
          </reference>
          <reference field="1" count="1" selected="0">
            <x v="7"/>
          </reference>
          <reference field="2" count="1" selected="0">
            <x v="2"/>
          </reference>
          <reference field="3" count="1" selected="0">
            <x v="18"/>
          </reference>
          <reference field="4" count="1">
            <x v="38"/>
          </reference>
        </references>
      </pivotArea>
    </format>
    <format dxfId="2044">
      <pivotArea dataOnly="0" labelOnly="1" outline="0" fieldPosition="0">
        <references count="5">
          <reference field="0" count="1" selected="0">
            <x v="2"/>
          </reference>
          <reference field="1" count="1" selected="0">
            <x v="10"/>
          </reference>
          <reference field="2" count="1" selected="0">
            <x v="2"/>
          </reference>
          <reference field="3" count="1" selected="0">
            <x v="7"/>
          </reference>
          <reference field="4" count="1">
            <x v="3"/>
          </reference>
        </references>
      </pivotArea>
    </format>
    <format dxfId="2043">
      <pivotArea dataOnly="0" labelOnly="1" outline="0" fieldPosition="0">
        <references count="5">
          <reference field="0" count="1" selected="0">
            <x v="3"/>
          </reference>
          <reference field="1" count="1" selected="0">
            <x v="13"/>
          </reference>
          <reference field="2" count="1" selected="0">
            <x v="3"/>
          </reference>
          <reference field="3" count="1" selected="0">
            <x v="31"/>
          </reference>
          <reference field="4" count="1">
            <x v="4"/>
          </reference>
        </references>
      </pivotArea>
    </format>
    <format dxfId="2042">
      <pivotArea dataOnly="0" labelOnly="1" outline="0" fieldPosition="0">
        <references count="5">
          <reference field="0" count="1" selected="0">
            <x v="4"/>
          </reference>
          <reference field="1" count="1" selected="0">
            <x v="15"/>
          </reference>
          <reference field="2" count="1" selected="0">
            <x v="2"/>
          </reference>
          <reference field="3" count="1" selected="0">
            <x v="5"/>
          </reference>
          <reference field="4" count="1">
            <x v="5"/>
          </reference>
        </references>
      </pivotArea>
    </format>
    <format dxfId="2041">
      <pivotArea dataOnly="0" labelOnly="1" outline="0" fieldPosition="0">
        <references count="5">
          <reference field="0" count="1" selected="0">
            <x v="5"/>
          </reference>
          <reference field="1" count="1" selected="0">
            <x v="18"/>
          </reference>
          <reference field="2" count="1" selected="0">
            <x v="1"/>
          </reference>
          <reference field="3" count="1" selected="0">
            <x v="3"/>
          </reference>
          <reference field="4" count="1">
            <x v="11"/>
          </reference>
        </references>
      </pivotArea>
    </format>
    <format dxfId="2040">
      <pivotArea dataOnly="0" labelOnly="1" outline="0" fieldPosition="0">
        <references count="5">
          <reference field="0" count="1" selected="0">
            <x v="6"/>
          </reference>
          <reference field="1" count="1" selected="0">
            <x v="19"/>
          </reference>
          <reference field="2" count="1" selected="0">
            <x v="6"/>
          </reference>
          <reference field="3" count="1" selected="0">
            <x v="4"/>
          </reference>
          <reference field="4" count="1">
            <x v="61"/>
          </reference>
        </references>
      </pivotArea>
    </format>
    <format dxfId="2039">
      <pivotArea dataOnly="0" labelOnly="1" outline="0" fieldPosition="0">
        <references count="5">
          <reference field="0" count="1" selected="0">
            <x v="7"/>
          </reference>
          <reference field="1" count="1" selected="0">
            <x v="20"/>
          </reference>
          <reference field="2" count="1" selected="0">
            <x v="2"/>
          </reference>
          <reference field="3" count="1" selected="0">
            <x v="6"/>
          </reference>
          <reference field="4" count="1">
            <x v="39"/>
          </reference>
        </references>
      </pivotArea>
    </format>
    <format dxfId="2038">
      <pivotArea dataOnly="0" labelOnly="1" outline="0" fieldPosition="0">
        <references count="5">
          <reference field="0" count="1" selected="0">
            <x v="8"/>
          </reference>
          <reference field="1" count="1" selected="0">
            <x v="21"/>
          </reference>
          <reference field="2" count="1" selected="0">
            <x v="2"/>
          </reference>
          <reference field="3" count="1" selected="0">
            <x v="6"/>
          </reference>
          <reference field="4" count="1">
            <x v="27"/>
          </reference>
        </references>
      </pivotArea>
    </format>
    <format dxfId="2037">
      <pivotArea dataOnly="0" labelOnly="1" outline="0" fieldPosition="0">
        <references count="5">
          <reference field="0" count="1" selected="0">
            <x v="9"/>
          </reference>
          <reference field="1" count="1" selected="0">
            <x v="23"/>
          </reference>
          <reference field="2" count="1" selected="0">
            <x v="1"/>
          </reference>
          <reference field="3" count="1" selected="0">
            <x v="2"/>
          </reference>
          <reference field="4" count="1">
            <x v="28"/>
          </reference>
        </references>
      </pivotArea>
    </format>
    <format dxfId="2036">
      <pivotArea dataOnly="0" labelOnly="1" outline="0" fieldPosition="0">
        <references count="5">
          <reference field="0" count="1" selected="0">
            <x v="10"/>
          </reference>
          <reference field="1" count="1" selected="0">
            <x v="26"/>
          </reference>
          <reference field="2" count="1" selected="0">
            <x v="2"/>
          </reference>
          <reference field="3" count="1" selected="0">
            <x v="8"/>
          </reference>
          <reference field="4" count="1">
            <x v="42"/>
          </reference>
        </references>
      </pivotArea>
    </format>
    <format dxfId="2035">
      <pivotArea dataOnly="0" labelOnly="1" outline="0" fieldPosition="0">
        <references count="5">
          <reference field="0" count="1" selected="0">
            <x v="11"/>
          </reference>
          <reference field="1" count="1" selected="0">
            <x v="28"/>
          </reference>
          <reference field="2" count="1" selected="0">
            <x v="3"/>
          </reference>
          <reference field="3" count="1" selected="0">
            <x v="10"/>
          </reference>
          <reference field="4" count="1">
            <x v="21"/>
          </reference>
        </references>
      </pivotArea>
    </format>
    <format dxfId="2034">
      <pivotArea dataOnly="0" labelOnly="1" outline="0" fieldPosition="0">
        <references count="5">
          <reference field="0" count="1" selected="0">
            <x v="12"/>
          </reference>
          <reference field="1" count="1" selected="0">
            <x v="29"/>
          </reference>
          <reference field="2" count="1" selected="0">
            <x v="3"/>
          </reference>
          <reference field="3" count="1" selected="0">
            <x v="10"/>
          </reference>
          <reference field="4" count="1">
            <x v="33"/>
          </reference>
        </references>
      </pivotArea>
    </format>
    <format dxfId="2033">
      <pivotArea dataOnly="0" labelOnly="1" outline="0" fieldPosition="0">
        <references count="5">
          <reference field="0" count="1" selected="0">
            <x v="13"/>
          </reference>
          <reference field="1" count="1" selected="0">
            <x v="30"/>
          </reference>
          <reference field="2" count="1" selected="0">
            <x v="7"/>
          </reference>
          <reference field="3" count="1" selected="0">
            <x v="11"/>
          </reference>
          <reference field="4" count="1">
            <x v="20"/>
          </reference>
        </references>
      </pivotArea>
    </format>
    <format dxfId="2032">
      <pivotArea dataOnly="0" labelOnly="1" outline="0" fieldPosition="0">
        <references count="5">
          <reference field="0" count="1" selected="0">
            <x v="14"/>
          </reference>
          <reference field="1" count="1" selected="0">
            <x v="34"/>
          </reference>
          <reference field="2" count="1" selected="0">
            <x v="3"/>
          </reference>
          <reference field="3" count="1" selected="0">
            <x v="12"/>
          </reference>
          <reference field="4" count="1">
            <x v="22"/>
          </reference>
        </references>
      </pivotArea>
    </format>
    <format dxfId="2031">
      <pivotArea dataOnly="0" labelOnly="1" outline="0" fieldPosition="0">
        <references count="5">
          <reference field="0" count="1" selected="0">
            <x v="15"/>
          </reference>
          <reference field="1" count="1" selected="0">
            <x v="35"/>
          </reference>
          <reference field="2" count="1" selected="0">
            <x v="2"/>
          </reference>
          <reference field="3" count="1" selected="0">
            <x v="13"/>
          </reference>
          <reference field="4" count="1">
            <x v="68"/>
          </reference>
        </references>
      </pivotArea>
    </format>
    <format dxfId="2030">
      <pivotArea dataOnly="0" labelOnly="1" outline="0" fieldPosition="0">
        <references count="5">
          <reference field="0" count="1" selected="0">
            <x v="16"/>
          </reference>
          <reference field="1" count="1" selected="0">
            <x v="36"/>
          </reference>
          <reference field="2" count="1" selected="0">
            <x v="3"/>
          </reference>
          <reference field="3" count="1" selected="0">
            <x v="28"/>
          </reference>
          <reference field="4" count="1">
            <x v="23"/>
          </reference>
        </references>
      </pivotArea>
    </format>
    <format dxfId="2029">
      <pivotArea dataOnly="0" labelOnly="1" outline="0" fieldPosition="0">
        <references count="5">
          <reference field="0" count="1" selected="0">
            <x v="17"/>
          </reference>
          <reference field="1" count="1" selected="0">
            <x v="37"/>
          </reference>
          <reference field="2" count="1" selected="0">
            <x v="3"/>
          </reference>
          <reference field="3" count="1" selected="0">
            <x v="15"/>
          </reference>
          <reference field="4" count="1">
            <x v="35"/>
          </reference>
        </references>
      </pivotArea>
    </format>
    <format dxfId="2028">
      <pivotArea dataOnly="0" labelOnly="1" outline="0" fieldPosition="0">
        <references count="5">
          <reference field="0" count="1" selected="0">
            <x v="18"/>
          </reference>
          <reference field="1" count="1" selected="0">
            <x v="38"/>
          </reference>
          <reference field="2" count="1" selected="0">
            <x v="3"/>
          </reference>
          <reference field="3" count="1" selected="0">
            <x v="15"/>
          </reference>
          <reference field="4" count="1">
            <x v="24"/>
          </reference>
        </references>
      </pivotArea>
    </format>
    <format dxfId="2027">
      <pivotArea dataOnly="0" labelOnly="1" outline="0" fieldPosition="0">
        <references count="5">
          <reference field="0" count="1" selected="0">
            <x v="19"/>
          </reference>
          <reference field="1" count="1" selected="0">
            <x v="39"/>
          </reference>
          <reference field="2" count="1" selected="0">
            <x v="8"/>
          </reference>
          <reference field="3" count="1" selected="0">
            <x v="16"/>
          </reference>
          <reference field="4" count="1">
            <x v="15"/>
          </reference>
        </references>
      </pivotArea>
    </format>
    <format dxfId="2026">
      <pivotArea dataOnly="0" labelOnly="1" outline="0" fieldPosition="0">
        <references count="5">
          <reference field="0" count="1" selected="0">
            <x v="20"/>
          </reference>
          <reference field="1" count="1" selected="0">
            <x v="42"/>
          </reference>
          <reference field="2" count="1" selected="0">
            <x v="5"/>
          </reference>
          <reference field="3" count="1" selected="0">
            <x v="17"/>
          </reference>
          <reference field="4" count="1">
            <x v="31"/>
          </reference>
        </references>
      </pivotArea>
    </format>
    <format dxfId="2025">
      <pivotArea dataOnly="0" labelOnly="1" outline="0" fieldPosition="0">
        <references count="5">
          <reference field="0" count="1" selected="0">
            <x v="21"/>
          </reference>
          <reference field="1" count="1" selected="0">
            <x v="45"/>
          </reference>
          <reference field="2" count="1" selected="0">
            <x v="4"/>
          </reference>
          <reference field="3" count="1" selected="0">
            <x v="19"/>
          </reference>
          <reference field="4" count="1">
            <x v="8"/>
          </reference>
        </references>
      </pivotArea>
    </format>
    <format dxfId="2024">
      <pivotArea dataOnly="0" labelOnly="1" outline="0" fieldPosition="0">
        <references count="5">
          <reference field="0" count="1" selected="0">
            <x v="22"/>
          </reference>
          <reference field="1" count="1" selected="0">
            <x v="46"/>
          </reference>
          <reference field="2" count="1" selected="0">
            <x v="4"/>
          </reference>
          <reference field="3" count="1" selected="0">
            <x v="19"/>
          </reference>
          <reference field="4" count="1">
            <x v="71"/>
          </reference>
        </references>
      </pivotArea>
    </format>
    <format dxfId="2023">
      <pivotArea dataOnly="0" labelOnly="1" outline="0" fieldPosition="0">
        <references count="5">
          <reference field="0" count="1" selected="0">
            <x v="23"/>
          </reference>
          <reference field="1" count="1" selected="0">
            <x v="48"/>
          </reference>
          <reference field="2" count="1" selected="0">
            <x v="7"/>
          </reference>
          <reference field="3" count="1" selected="0">
            <x v="21"/>
          </reference>
          <reference field="4" count="1">
            <x v="36"/>
          </reference>
        </references>
      </pivotArea>
    </format>
    <format dxfId="2022">
      <pivotArea dataOnly="0" labelOnly="1" outline="0" fieldPosition="0">
        <references count="5">
          <reference field="0" count="1" selected="0">
            <x v="24"/>
          </reference>
          <reference field="1" count="1" selected="0">
            <x v="51"/>
          </reference>
          <reference field="2" count="1" selected="0">
            <x v="3"/>
          </reference>
          <reference field="3" count="1" selected="0">
            <x v="24"/>
          </reference>
          <reference field="4" count="1">
            <x v="55"/>
          </reference>
        </references>
      </pivotArea>
    </format>
    <format dxfId="2021">
      <pivotArea dataOnly="0" labelOnly="1" outline="0" fieldPosition="0">
        <references count="5">
          <reference field="0" count="1" selected="0">
            <x v="25"/>
          </reference>
          <reference field="1" count="1" selected="0">
            <x v="53"/>
          </reference>
          <reference field="2" count="1" selected="0">
            <x v="3"/>
          </reference>
          <reference field="3" count="1" selected="0">
            <x v="26"/>
          </reference>
          <reference field="4" count="1">
            <x v="64"/>
          </reference>
        </references>
      </pivotArea>
    </format>
    <format dxfId="2020">
      <pivotArea dataOnly="0" labelOnly="1" outline="0" fieldPosition="0">
        <references count="5">
          <reference field="0" count="1" selected="0">
            <x v="26"/>
          </reference>
          <reference field="1" count="1" selected="0">
            <x v="56"/>
          </reference>
          <reference field="2" count="1" selected="0">
            <x v="2"/>
          </reference>
          <reference field="3" count="1" selected="0">
            <x v="7"/>
          </reference>
          <reference field="4" count="1">
            <x v="41"/>
          </reference>
        </references>
      </pivotArea>
    </format>
    <format dxfId="2019">
      <pivotArea dataOnly="0" labelOnly="1" outline="0" fieldPosition="0">
        <references count="5">
          <reference field="0" count="1" selected="0">
            <x v="27"/>
          </reference>
          <reference field="1" count="1" selected="0">
            <x v="57"/>
          </reference>
          <reference field="2" count="1" selected="0">
            <x v="2"/>
          </reference>
          <reference field="3" count="1" selected="0">
            <x v="8"/>
          </reference>
          <reference field="4" count="1">
            <x v="42"/>
          </reference>
        </references>
      </pivotArea>
    </format>
    <format dxfId="2018">
      <pivotArea dataOnly="0" labelOnly="1" outline="0" fieldPosition="0">
        <references count="5">
          <reference field="0" count="1" selected="0">
            <x v="30"/>
          </reference>
          <reference field="1" count="1" selected="0">
            <x v="60"/>
          </reference>
          <reference field="2" count="1" selected="0">
            <x v="2"/>
          </reference>
          <reference field="3" count="1" selected="0">
            <x v="8"/>
          </reference>
          <reference field="4" count="1">
            <x v="32"/>
          </reference>
        </references>
      </pivotArea>
    </format>
    <format dxfId="2017">
      <pivotArea dataOnly="0" labelOnly="1" outline="0" fieldPosition="0">
        <references count="5">
          <reference field="0" count="1" selected="0">
            <x v="31"/>
          </reference>
          <reference field="1" count="1" selected="0">
            <x v="62"/>
          </reference>
          <reference field="2" count="1" selected="0">
            <x v="2"/>
          </reference>
          <reference field="3" count="1" selected="0">
            <x v="8"/>
          </reference>
          <reference field="4" count="1">
            <x v="42"/>
          </reference>
        </references>
      </pivotArea>
    </format>
    <format dxfId="2016">
      <pivotArea dataOnly="0" labelOnly="1" outline="0" fieldPosition="0">
        <references count="5">
          <reference field="0" count="1" selected="0">
            <x v="33"/>
          </reference>
          <reference field="1" count="1" selected="0">
            <x v="63"/>
          </reference>
          <reference field="2" count="1" selected="0">
            <x v="4"/>
          </reference>
          <reference field="3" count="1" selected="0">
            <x v="1"/>
          </reference>
          <reference field="4" count="1">
            <x v="43"/>
          </reference>
        </references>
      </pivotArea>
    </format>
    <format dxfId="2015">
      <pivotArea dataOnly="0" labelOnly="1" outline="0" fieldPosition="0">
        <references count="5">
          <reference field="0" count="1" selected="0">
            <x v="34"/>
          </reference>
          <reference field="1" count="1" selected="0">
            <x v="65"/>
          </reference>
          <reference field="2" count="1" selected="0">
            <x v="5"/>
          </reference>
          <reference field="3" count="1" selected="0">
            <x v="29"/>
          </reference>
          <reference field="4" count="1">
            <x v="45"/>
          </reference>
        </references>
      </pivotArea>
    </format>
    <format dxfId="2014">
      <pivotArea dataOnly="0" labelOnly="1" outline="0" fieldPosition="0">
        <references count="5">
          <reference field="0" count="1" selected="0">
            <x v="35"/>
          </reference>
          <reference field="1" count="1" selected="0">
            <x v="66"/>
          </reference>
          <reference field="2" count="1" selected="0">
            <x v="5"/>
          </reference>
          <reference field="3" count="1" selected="0">
            <x v="29"/>
          </reference>
          <reference field="4" count="1">
            <x v="29"/>
          </reference>
        </references>
      </pivotArea>
    </format>
    <format dxfId="2013">
      <pivotArea dataOnly="0" labelOnly="1" outline="0" fieldPosition="0">
        <references count="5">
          <reference field="0" count="1" selected="0">
            <x v="36"/>
          </reference>
          <reference field="1" count="1" selected="0">
            <x v="67"/>
          </reference>
          <reference field="2" count="1" selected="0">
            <x v="2"/>
          </reference>
          <reference field="3" count="1" selected="0">
            <x v="8"/>
          </reference>
          <reference field="4" count="1">
            <x v="70"/>
          </reference>
        </references>
      </pivotArea>
    </format>
    <format dxfId="2012">
      <pivotArea dataOnly="0" labelOnly="1" outline="0" fieldPosition="0">
        <references count="5">
          <reference field="0" count="1" selected="0">
            <x v="37"/>
          </reference>
          <reference field="1" count="1" selected="0">
            <x v="68"/>
          </reference>
          <reference field="2" count="1" selected="0">
            <x v="3"/>
          </reference>
          <reference field="3" count="1" selected="0">
            <x v="31"/>
          </reference>
          <reference field="4" count="1">
            <x v="7"/>
          </reference>
        </references>
      </pivotArea>
    </format>
    <format dxfId="2011">
      <pivotArea dataOnly="0" labelOnly="1" outline="0" fieldPosition="0">
        <references count="5">
          <reference field="0" count="1" selected="0">
            <x v="38"/>
          </reference>
          <reference field="1" count="1" selected="0">
            <x v="69"/>
          </reference>
          <reference field="2" count="1" selected="0">
            <x v="3"/>
          </reference>
          <reference field="3" count="1" selected="0">
            <x v="31"/>
          </reference>
          <reference field="4" count="1">
            <x v="69"/>
          </reference>
        </references>
      </pivotArea>
    </format>
    <format dxfId="2010">
      <pivotArea dataOnly="0" labelOnly="1" outline="0" fieldPosition="0">
        <references count="5">
          <reference field="0" count="1" selected="0">
            <x v="39"/>
          </reference>
          <reference field="1" count="1" selected="0">
            <x v="71"/>
          </reference>
          <reference field="2" count="1" selected="0">
            <x v="6"/>
          </reference>
          <reference field="3" count="1" selected="0">
            <x v="33"/>
          </reference>
          <reference field="4" count="1">
            <x v="37"/>
          </reference>
        </references>
      </pivotArea>
    </format>
    <format dxfId="2009">
      <pivotArea dataOnly="0" labelOnly="1" outline="0" fieldPosition="0">
        <references count="5">
          <reference field="0" count="1" selected="0">
            <x v="40"/>
          </reference>
          <reference field="1" count="1" selected="0">
            <x v="72"/>
          </reference>
          <reference field="2" count="1" selected="0">
            <x v="6"/>
          </reference>
          <reference field="3" count="1" selected="0">
            <x v="33"/>
          </reference>
          <reference field="4" count="1">
            <x v="47"/>
          </reference>
        </references>
      </pivotArea>
    </format>
    <format dxfId="2008">
      <pivotArea dataOnly="0" labelOnly="1" outline="0" fieldPosition="0">
        <references count="5">
          <reference field="0" count="1" selected="0">
            <x v="41"/>
          </reference>
          <reference field="1" count="1" selected="0">
            <x v="73"/>
          </reference>
          <reference field="2" count="1" selected="0">
            <x v="3"/>
          </reference>
          <reference field="3" count="1" selected="0">
            <x v="10"/>
          </reference>
          <reference field="4" count="1">
            <x v="48"/>
          </reference>
        </references>
      </pivotArea>
    </format>
    <format dxfId="2007">
      <pivotArea dataOnly="0" labelOnly="1" outline="0" fieldPosition="0">
        <references count="5">
          <reference field="0" count="1" selected="0">
            <x v="42"/>
          </reference>
          <reference field="1" count="1" selected="0">
            <x v="74"/>
          </reference>
          <reference field="2" count="1" selected="0">
            <x v="5"/>
          </reference>
          <reference field="3" count="1" selected="0">
            <x v="34"/>
          </reference>
          <reference field="4" count="1">
            <x v="49"/>
          </reference>
        </references>
      </pivotArea>
    </format>
    <format dxfId="2006">
      <pivotArea dataOnly="0" labelOnly="1" outline="0" fieldPosition="0">
        <references count="5">
          <reference field="0" count="1" selected="0">
            <x v="43"/>
          </reference>
          <reference field="1" count="1" selected="0">
            <x v="75"/>
          </reference>
          <reference field="2" count="1" selected="0">
            <x v="7"/>
          </reference>
          <reference field="3" count="1" selected="0">
            <x v="35"/>
          </reference>
          <reference field="4" count="1">
            <x v="50"/>
          </reference>
        </references>
      </pivotArea>
    </format>
    <format dxfId="2005">
      <pivotArea dataOnly="0" labelOnly="1" outline="0" fieldPosition="0">
        <references count="5">
          <reference field="0" count="1" selected="0">
            <x v="44"/>
          </reference>
          <reference field="1" count="1" selected="0">
            <x v="76"/>
          </reference>
          <reference field="2" count="1" selected="0">
            <x v="2"/>
          </reference>
          <reference field="3" count="1" selected="0">
            <x v="36"/>
          </reference>
          <reference field="4" count="1">
            <x v="16"/>
          </reference>
        </references>
      </pivotArea>
    </format>
    <format dxfId="2004">
      <pivotArea dataOnly="0" labelOnly="1" outline="0" fieldPosition="0">
        <references count="5">
          <reference field="0" count="1" selected="0">
            <x v="45"/>
          </reference>
          <reference field="1" count="1" selected="0">
            <x v="70"/>
          </reference>
          <reference field="2" count="1" selected="0">
            <x v="3"/>
          </reference>
          <reference field="3" count="1" selected="0">
            <x v="32"/>
          </reference>
          <reference field="4" count="1">
            <x v="46"/>
          </reference>
        </references>
      </pivotArea>
    </format>
    <format dxfId="2003">
      <pivotArea dataOnly="0" labelOnly="1" outline="0" fieldPosition="0">
        <references count="5">
          <reference field="0" count="1" selected="0">
            <x v="46"/>
          </reference>
          <reference field="1" count="1" selected="0">
            <x v="77"/>
          </reference>
          <reference field="2" count="1" selected="0">
            <x v="6"/>
          </reference>
          <reference field="3" count="1" selected="0">
            <x v="37"/>
          </reference>
          <reference field="4" count="1">
            <x v="9"/>
          </reference>
        </references>
      </pivotArea>
    </format>
    <format dxfId="2002">
      <pivotArea dataOnly="0" labelOnly="1" outline="0" fieldPosition="0">
        <references count="5">
          <reference field="0" count="1" selected="0">
            <x v="47"/>
          </reference>
          <reference field="1" count="1" selected="0">
            <x v="78"/>
          </reference>
          <reference field="2" count="1" selected="0">
            <x v="7"/>
          </reference>
          <reference field="3" count="1" selected="0">
            <x v="38"/>
          </reference>
          <reference field="4" count="1">
            <x v="18"/>
          </reference>
        </references>
      </pivotArea>
    </format>
    <format dxfId="2001">
      <pivotArea dataOnly="0" labelOnly="1" outline="0" fieldPosition="0">
        <references count="5">
          <reference field="0" count="1" selected="0">
            <x v="48"/>
          </reference>
          <reference field="1" count="1" selected="0">
            <x v="79"/>
          </reference>
          <reference field="2" count="1" selected="0">
            <x v="2"/>
          </reference>
          <reference field="3" count="1" selected="0">
            <x v="7"/>
          </reference>
          <reference field="4" count="1">
            <x v="54"/>
          </reference>
        </references>
      </pivotArea>
    </format>
    <format dxfId="2000">
      <pivotArea dataOnly="0" labelOnly="1" outline="0" fieldPosition="0">
        <references count="5">
          <reference field="0" count="1" selected="0">
            <x v="49"/>
          </reference>
          <reference field="1" count="1" selected="0">
            <x v="80"/>
          </reference>
          <reference field="2" count="1" selected="0">
            <x v="6"/>
          </reference>
          <reference field="3" count="1" selected="0">
            <x v="39"/>
          </reference>
          <reference field="4" count="1">
            <x v="51"/>
          </reference>
        </references>
      </pivotArea>
    </format>
    <format dxfId="1999">
      <pivotArea dataOnly="0" labelOnly="1" outline="0" fieldPosition="0">
        <references count="5">
          <reference field="0" count="1" selected="0">
            <x v="50"/>
          </reference>
          <reference field="1" count="1" selected="0">
            <x v="81"/>
          </reference>
          <reference field="2" count="1" selected="0">
            <x v="4"/>
          </reference>
          <reference field="3" count="1" selected="0">
            <x v="1"/>
          </reference>
          <reference field="4" count="1">
            <x v="56"/>
          </reference>
        </references>
      </pivotArea>
    </format>
    <format dxfId="1998">
      <pivotArea dataOnly="0" labelOnly="1" outline="0" fieldPosition="0">
        <references count="5">
          <reference field="0" count="1" selected="0">
            <x v="51"/>
          </reference>
          <reference field="1" count="1" selected="0">
            <x v="82"/>
          </reference>
          <reference field="2" count="1" selected="0">
            <x v="2"/>
          </reference>
          <reference field="3" count="1" selected="0">
            <x v="8"/>
          </reference>
          <reference field="4" count="1">
            <x v="70"/>
          </reference>
        </references>
      </pivotArea>
    </format>
    <format dxfId="1997">
      <pivotArea dataOnly="0" labelOnly="1" outline="0" fieldPosition="0">
        <references count="5">
          <reference field="0" count="1" selected="0">
            <x v="52"/>
          </reference>
          <reference field="1" count="1" selected="0">
            <x v="83"/>
          </reference>
          <reference field="2" count="1" selected="0">
            <x v="2"/>
          </reference>
          <reference field="3" count="1" selected="0">
            <x v="7"/>
          </reference>
          <reference field="4" count="1">
            <x v="58"/>
          </reference>
        </references>
      </pivotArea>
    </format>
    <format dxfId="1996">
      <pivotArea dataOnly="0" labelOnly="1" outline="0" fieldPosition="0">
        <references count="5">
          <reference field="0" count="1" selected="0">
            <x v="53"/>
          </reference>
          <reference field="1" count="1" selected="0">
            <x v="84"/>
          </reference>
          <reference field="2" count="1" selected="0">
            <x v="6"/>
          </reference>
          <reference field="3" count="1" selected="0">
            <x v="30"/>
          </reference>
          <reference field="4" count="1">
            <x v="59"/>
          </reference>
        </references>
      </pivotArea>
    </format>
    <format dxfId="1995">
      <pivotArea dataOnly="0" labelOnly="1" outline="0" fieldPosition="0">
        <references count="5">
          <reference field="0" count="1" selected="0">
            <x v="54"/>
          </reference>
          <reference field="1" count="1" selected="0">
            <x v="86"/>
          </reference>
          <reference field="2" count="1" selected="0">
            <x v="3"/>
          </reference>
          <reference field="3" count="1" selected="0">
            <x v="41"/>
          </reference>
          <reference field="4" count="1">
            <x v="25"/>
          </reference>
        </references>
      </pivotArea>
    </format>
    <format dxfId="1994">
      <pivotArea dataOnly="0" labelOnly="1" outline="0" fieldPosition="0">
        <references count="5">
          <reference field="0" count="1" selected="0">
            <x v="55"/>
          </reference>
          <reference field="1" count="1" selected="0">
            <x v="87"/>
          </reference>
          <reference field="2" count="1" selected="0">
            <x v="3"/>
          </reference>
          <reference field="3" count="1" selected="0">
            <x v="41"/>
          </reference>
          <reference field="4" count="1">
            <x v="30"/>
          </reference>
        </references>
      </pivotArea>
    </format>
    <format dxfId="1993">
      <pivotArea dataOnly="0" labelOnly="1" outline="0" fieldPosition="0">
        <references count="5">
          <reference field="0" count="1" selected="0">
            <x v="57"/>
          </reference>
          <reference field="1" count="1" selected="0">
            <x v="89"/>
          </reference>
          <reference field="2" count="1" selected="0">
            <x v="8"/>
          </reference>
          <reference field="3" count="1" selected="0">
            <x v="27"/>
          </reference>
          <reference field="4" count="1">
            <x v="44"/>
          </reference>
        </references>
      </pivotArea>
    </format>
    <format dxfId="1992">
      <pivotArea dataOnly="0" labelOnly="1" outline="0" fieldPosition="0">
        <references count="5">
          <reference field="0" count="1" selected="0">
            <x v="58"/>
          </reference>
          <reference field="1" count="1" selected="0">
            <x v="90"/>
          </reference>
          <reference field="2" count="1" selected="0">
            <x v="3"/>
          </reference>
          <reference field="3" count="1" selected="0">
            <x v="14"/>
          </reference>
          <reference field="4" count="1">
            <x v="65"/>
          </reference>
        </references>
      </pivotArea>
    </format>
    <format dxfId="1991">
      <pivotArea dataOnly="0" labelOnly="1" outline="0" fieldPosition="0">
        <references count="5">
          <reference field="0" count="1" selected="0">
            <x v="59"/>
          </reference>
          <reference field="1" count="1" selected="0">
            <x v="92"/>
          </reference>
          <reference field="2" count="1" selected="0">
            <x v="2"/>
          </reference>
          <reference field="3" count="1" selected="0">
            <x v="7"/>
          </reference>
          <reference field="4" count="1">
            <x v="67"/>
          </reference>
        </references>
      </pivotArea>
    </format>
    <format dxfId="1990">
      <pivotArea dataOnly="0" labelOnly="1" outline="0" fieldPosition="0">
        <references count="5">
          <reference field="0" count="1" selected="0">
            <x v="60"/>
          </reference>
          <reference field="1" count="1" selected="0">
            <x v="96"/>
          </reference>
          <reference field="2" count="1" selected="0">
            <x v="8"/>
          </reference>
          <reference field="3" count="1" selected="0">
            <x v="44"/>
          </reference>
          <reference field="4" count="1">
            <x v="1"/>
          </reference>
        </references>
      </pivotArea>
    </format>
    <format dxfId="1989">
      <pivotArea dataOnly="0" labelOnly="1" outline="0" fieldPosition="0">
        <references count="5">
          <reference field="0" count="1" selected="0">
            <x v="61"/>
          </reference>
          <reference field="1" count="1" selected="0">
            <x v="97"/>
          </reference>
          <reference field="2" count="1" selected="0">
            <x v="4"/>
          </reference>
          <reference field="3" count="1" selected="0">
            <x v="1"/>
          </reference>
          <reference field="4" count="1">
            <x v="62"/>
          </reference>
        </references>
      </pivotArea>
    </format>
    <format dxfId="1988">
      <pivotArea dataOnly="0" labelOnly="1" outline="0" fieldPosition="0">
        <references count="5">
          <reference field="0" count="1" selected="0">
            <x v="62"/>
          </reference>
          <reference field="1" count="1" selected="0">
            <x v="98"/>
          </reference>
          <reference field="2" count="1" selected="0">
            <x v="8"/>
          </reference>
          <reference field="3" count="1" selected="0">
            <x v="45"/>
          </reference>
          <reference field="4" count="1">
            <x v="26"/>
          </reference>
        </references>
      </pivotArea>
    </format>
    <format dxfId="1987">
      <pivotArea dataOnly="0" labelOnly="1" outline="0" fieldPosition="0">
        <references count="5">
          <reference field="0" count="1" selected="0">
            <x v="63"/>
          </reference>
          <reference field="1" count="1" selected="0">
            <x v="99"/>
          </reference>
          <reference field="2" count="1" selected="0">
            <x v="3"/>
          </reference>
          <reference field="3" count="1" selected="0">
            <x v="46"/>
          </reference>
          <reference field="4" count="1">
            <x v="12"/>
          </reference>
        </references>
      </pivotArea>
    </format>
    <format dxfId="1986">
      <pivotArea dataOnly="0" labelOnly="1" outline="0" fieldPosition="0">
        <references count="5">
          <reference field="0" count="1" selected="0">
            <x v="64"/>
          </reference>
          <reference field="1" count="1" selected="0">
            <x v="11"/>
          </reference>
          <reference field="2" count="1" selected="0">
            <x v="2"/>
          </reference>
          <reference field="3" count="1" selected="0">
            <x v="7"/>
          </reference>
          <reference field="4" count="1">
            <x v="3"/>
          </reference>
        </references>
      </pivotArea>
    </format>
    <format dxfId="1985">
      <pivotArea dataOnly="0" labelOnly="1" outline="0" fieldPosition="0">
        <references count="5">
          <reference field="0" count="1" selected="0">
            <x v="65"/>
          </reference>
          <reference field="1" count="1" selected="0">
            <x v="12"/>
          </reference>
          <reference field="2" count="1" selected="0">
            <x v="3"/>
          </reference>
          <reference field="3" count="1" selected="0">
            <x v="31"/>
          </reference>
          <reference field="4" count="1">
            <x v="4"/>
          </reference>
        </references>
      </pivotArea>
    </format>
    <format dxfId="1984">
      <pivotArea dataOnly="0" labelOnly="1" outline="0" fieldPosition="0">
        <references count="5">
          <reference field="0" count="1" selected="0">
            <x v="66"/>
          </reference>
          <reference field="1" count="1" selected="0">
            <x v="49"/>
          </reference>
          <reference field="2" count="1" selected="0">
            <x v="4"/>
          </reference>
          <reference field="3" count="1" selected="0">
            <x v="22"/>
          </reference>
          <reference field="4" count="1">
            <x v="10"/>
          </reference>
        </references>
      </pivotArea>
    </format>
    <format dxfId="1983">
      <pivotArea dataOnly="0" labelOnly="1" outline="0" fieldPosition="0">
        <references count="5">
          <reference field="0" count="1" selected="0">
            <x v="67"/>
          </reference>
          <reference field="1" count="1" selected="0">
            <x v="64"/>
          </reference>
          <reference field="2" count="1" selected="0">
            <x v="4"/>
          </reference>
          <reference field="3" count="1" selected="0">
            <x v="1"/>
          </reference>
          <reference field="4" count="1">
            <x v="43"/>
          </reference>
        </references>
      </pivotArea>
    </format>
    <format dxfId="1982">
      <pivotArea dataOnly="0" labelOnly="1" outline="0" fieldPosition="0">
        <references count="5">
          <reference field="0" count="1" selected="0">
            <x v="68"/>
          </reference>
          <reference field="1" count="1" selected="0">
            <x v="0"/>
          </reference>
          <reference field="2" count="1" selected="0">
            <x v="3"/>
          </reference>
          <reference field="3" count="1" selected="0">
            <x v="28"/>
          </reference>
          <reference field="4" count="1">
            <x v="23"/>
          </reference>
        </references>
      </pivotArea>
    </format>
    <format dxfId="1981">
      <pivotArea dataOnly="0" labelOnly="1" outline="0" fieldPosition="0">
        <references count="5">
          <reference field="0" count="1" selected="0">
            <x v="69"/>
          </reference>
          <reference field="1" count="1" selected="0">
            <x v="1"/>
          </reference>
          <reference field="2" count="1" selected="0">
            <x v="3"/>
          </reference>
          <reference field="3" count="1" selected="0">
            <x v="32"/>
          </reference>
          <reference field="4" count="1">
            <x v="53"/>
          </reference>
        </references>
      </pivotArea>
    </format>
    <format dxfId="1980">
      <pivotArea dataOnly="0" labelOnly="1" outline="0" fieldPosition="0">
        <references count="5">
          <reference field="0" count="1" selected="0">
            <x v="70"/>
          </reference>
          <reference field="1" count="1" selected="0">
            <x v="2"/>
          </reference>
          <reference field="2" count="1" selected="0">
            <x v="3"/>
          </reference>
          <reference field="3" count="1" selected="0">
            <x v="28"/>
          </reference>
          <reference field="4" count="1">
            <x v="23"/>
          </reference>
        </references>
      </pivotArea>
    </format>
    <format dxfId="1979">
      <pivotArea dataOnly="0" labelOnly="1" outline="0" fieldPosition="0">
        <references count="5">
          <reference field="0" count="1" selected="0">
            <x v="72"/>
          </reference>
          <reference field="1" count="1" selected="0">
            <x v="5"/>
          </reference>
          <reference field="2" count="1" selected="0">
            <x v="5"/>
          </reference>
          <reference field="3" count="1" selected="0">
            <x v="29"/>
          </reference>
          <reference field="4" count="1">
            <x v="72"/>
          </reference>
        </references>
      </pivotArea>
    </format>
    <format dxfId="1978">
      <pivotArea dataOnly="0" labelOnly="1" outline="0" fieldPosition="0">
        <references count="5">
          <reference field="0" count="1" selected="0">
            <x v="73"/>
          </reference>
          <reference field="1" count="1" selected="0">
            <x v="6"/>
          </reference>
          <reference field="2" count="1" selected="0">
            <x v="2"/>
          </reference>
          <reference field="3" count="1" selected="0">
            <x v="9"/>
          </reference>
          <reference field="4" count="1">
            <x v="17"/>
          </reference>
        </references>
      </pivotArea>
    </format>
    <format dxfId="1977">
      <pivotArea dataOnly="0" labelOnly="1" outline="0" fieldPosition="0">
        <references count="5">
          <reference field="0" count="1" selected="0">
            <x v="74"/>
          </reference>
          <reference field="1" count="1" selected="0">
            <x v="8"/>
          </reference>
          <reference field="2" count="1" selected="0">
            <x v="3"/>
          </reference>
          <reference field="3" count="1" selected="0">
            <x v="31"/>
          </reference>
          <reference field="4" count="1">
            <x v="69"/>
          </reference>
        </references>
      </pivotArea>
    </format>
    <format dxfId="1976">
      <pivotArea dataOnly="0" labelOnly="1" outline="0" fieldPosition="0">
        <references count="5">
          <reference field="0" count="1" selected="0">
            <x v="75"/>
          </reference>
          <reference field="1" count="1" selected="0">
            <x v="9"/>
          </reference>
          <reference field="2" count="1" selected="0">
            <x v="3"/>
          </reference>
          <reference field="3" count="1" selected="0">
            <x v="28"/>
          </reference>
          <reference field="4" count="1">
            <x v="23"/>
          </reference>
        </references>
      </pivotArea>
    </format>
    <format dxfId="1975">
      <pivotArea dataOnly="0" labelOnly="1" outline="0" fieldPosition="0">
        <references count="5">
          <reference field="0" count="1" selected="0">
            <x v="76"/>
          </reference>
          <reference field="1" count="1" selected="0">
            <x v="14"/>
          </reference>
          <reference field="2" count="1" selected="0">
            <x v="3"/>
          </reference>
          <reference field="3" count="1" selected="0">
            <x v="10"/>
          </reference>
          <reference field="4" count="1">
            <x v="60"/>
          </reference>
        </references>
      </pivotArea>
    </format>
    <format dxfId="1974">
      <pivotArea dataOnly="0" labelOnly="1" outline="0" fieldPosition="0">
        <references count="5">
          <reference field="0" count="1" selected="0">
            <x v="77"/>
          </reference>
          <reference field="1" count="1" selected="0">
            <x v="16"/>
          </reference>
          <reference field="2" count="1" selected="0">
            <x v="3"/>
          </reference>
          <reference field="3" count="1" selected="0">
            <x v="10"/>
          </reference>
          <reference field="4" count="1">
            <x v="33"/>
          </reference>
        </references>
      </pivotArea>
    </format>
    <format dxfId="1973">
      <pivotArea dataOnly="0" labelOnly="1" outline="0" fieldPosition="0">
        <references count="5">
          <reference field="0" count="1" selected="0">
            <x v="78"/>
          </reference>
          <reference field="1" count="1" selected="0">
            <x v="17"/>
          </reference>
          <reference field="2" count="1" selected="0">
            <x v="3"/>
          </reference>
          <reference field="3" count="1" selected="0">
            <x v="14"/>
          </reference>
          <reference field="4" count="1">
            <x v="34"/>
          </reference>
        </references>
      </pivotArea>
    </format>
    <format dxfId="1972">
      <pivotArea dataOnly="0" labelOnly="1" outline="0" fieldPosition="0">
        <references count="5">
          <reference field="0" count="1" selected="0">
            <x v="79"/>
          </reference>
          <reference field="1" count="1" selected="0">
            <x v="22"/>
          </reference>
          <reference field="2" count="1" selected="0">
            <x v="8"/>
          </reference>
          <reference field="3" count="1" selected="0">
            <x v="44"/>
          </reference>
          <reference field="4" count="1">
            <x v="14"/>
          </reference>
        </references>
      </pivotArea>
    </format>
    <format dxfId="1971">
      <pivotArea dataOnly="0" labelOnly="1" outline="0" fieldPosition="0">
        <references count="5">
          <reference field="0" count="1" selected="0">
            <x v="80"/>
          </reference>
          <reference field="1" count="1" selected="0">
            <x v="24"/>
          </reference>
          <reference field="2" count="1" selected="0">
            <x v="3"/>
          </reference>
          <reference field="3" count="1" selected="0">
            <x v="31"/>
          </reference>
          <reference field="4" count="1">
            <x v="57"/>
          </reference>
        </references>
      </pivotArea>
    </format>
    <format dxfId="1970">
      <pivotArea dataOnly="0" labelOnly="1" outline="0" fieldPosition="0">
        <references count="5">
          <reference field="0" count="1" selected="0">
            <x v="81"/>
          </reference>
          <reference field="1" count="1" selected="0">
            <x v="25"/>
          </reference>
          <reference field="2" count="1" selected="0">
            <x v="3"/>
          </reference>
          <reference field="3" count="1" selected="0">
            <x v="10"/>
          </reference>
          <reference field="4" count="1">
            <x v="19"/>
          </reference>
        </references>
      </pivotArea>
    </format>
    <format dxfId="1969">
      <pivotArea dataOnly="0" labelOnly="1" outline="0" fieldPosition="0">
        <references count="5">
          <reference field="0" count="1" selected="0">
            <x v="82"/>
          </reference>
          <reference field="1" count="1" selected="0">
            <x v="27"/>
          </reference>
          <reference field="2" count="1" selected="0">
            <x v="2"/>
          </reference>
          <reference field="3" count="1" selected="0">
            <x v="9"/>
          </reference>
          <reference field="4" count="1">
            <x v="40"/>
          </reference>
        </references>
      </pivotArea>
    </format>
    <format dxfId="1968">
      <pivotArea dataOnly="0" labelOnly="1" outline="0" fieldPosition="0">
        <references count="5">
          <reference field="0" count="1" selected="0">
            <x v="83"/>
          </reference>
          <reference field="1" count="1" selected="0">
            <x v="31"/>
          </reference>
          <reference field="2" count="1" selected="0">
            <x v="8"/>
          </reference>
          <reference field="3" count="1" selected="0">
            <x v="16"/>
          </reference>
          <reference field="4" count="1">
            <x v="6"/>
          </reference>
        </references>
      </pivotArea>
    </format>
    <format dxfId="1967">
      <pivotArea dataOnly="0" labelOnly="1" outline="0" fieldPosition="0">
        <references count="5">
          <reference field="0" count="1" selected="0">
            <x v="84"/>
          </reference>
          <reference field="1" count="1" selected="0">
            <x v="32"/>
          </reference>
          <reference field="2" count="1" selected="0">
            <x v="3"/>
          </reference>
          <reference field="3" count="1" selected="0">
            <x v="10"/>
          </reference>
          <reference field="4" count="1">
            <x v="33"/>
          </reference>
        </references>
      </pivotArea>
    </format>
    <format dxfId="1966">
      <pivotArea dataOnly="0" labelOnly="1" outline="0" fieldPosition="0">
        <references count="5">
          <reference field="0" count="1" selected="0">
            <x v="85"/>
          </reference>
          <reference field="1" count="1" selected="0">
            <x v="33"/>
          </reference>
          <reference field="2" count="1" selected="0">
            <x v="4"/>
          </reference>
          <reference field="3" count="1" selected="0">
            <x v="1"/>
          </reference>
          <reference field="4" count="1">
            <x v="56"/>
          </reference>
        </references>
      </pivotArea>
    </format>
    <format dxfId="1965">
      <pivotArea dataOnly="0" labelOnly="1" outline="0" fieldPosition="0">
        <references count="5">
          <reference field="0" count="1" selected="0">
            <x v="86"/>
          </reference>
          <reference field="1" count="1" selected="0">
            <x v="40"/>
          </reference>
          <reference field="2" count="1" selected="0">
            <x v="5"/>
          </reference>
          <reference field="3" count="1" selected="0">
            <x v="29"/>
          </reference>
          <reference field="4" count="1">
            <x v="72"/>
          </reference>
        </references>
      </pivotArea>
    </format>
    <format dxfId="1964">
      <pivotArea dataOnly="0" labelOnly="1" outline="0" fieldPosition="0">
        <references count="5">
          <reference field="0" count="1" selected="0">
            <x v="87"/>
          </reference>
          <reference field="1" count="1" selected="0">
            <x v="41"/>
          </reference>
          <reference field="2" count="1" selected="0">
            <x v="3"/>
          </reference>
          <reference field="3" count="1" selected="0">
            <x v="28"/>
          </reference>
          <reference field="4" count="1">
            <x v="23"/>
          </reference>
        </references>
      </pivotArea>
    </format>
    <format dxfId="1963">
      <pivotArea dataOnly="0" labelOnly="1" outline="0" fieldPosition="0">
        <references count="5">
          <reference field="0" count="1" selected="0">
            <x v="88"/>
          </reference>
          <reference field="1" count="1" selected="0">
            <x v="43"/>
          </reference>
          <reference field="2" count="1" selected="0">
            <x v="2"/>
          </reference>
          <reference field="3" count="1" selected="0">
            <x v="7"/>
          </reference>
          <reference field="4" count="1">
            <x v="3"/>
          </reference>
        </references>
      </pivotArea>
    </format>
    <format dxfId="1962">
      <pivotArea dataOnly="0" labelOnly="1" outline="0" fieldPosition="0">
        <references count="5">
          <reference field="0" count="1" selected="0">
            <x v="89"/>
          </reference>
          <reference field="1" count="1" selected="0">
            <x v="44"/>
          </reference>
          <reference field="2" count="1" selected="0">
            <x v="2"/>
          </reference>
          <reference field="3" count="1" selected="0">
            <x v="7"/>
          </reference>
          <reference field="4" count="1">
            <x v="13"/>
          </reference>
        </references>
      </pivotArea>
    </format>
    <format dxfId="1961">
      <pivotArea dataOnly="0" labelOnly="1" outline="0" fieldPosition="0">
        <references count="5">
          <reference field="0" count="1" selected="0">
            <x v="90"/>
          </reference>
          <reference field="1" count="1" selected="0">
            <x v="47"/>
          </reference>
          <reference field="2" count="1" selected="0">
            <x v="3"/>
          </reference>
          <reference field="3" count="1" selected="0">
            <x v="20"/>
          </reference>
          <reference field="4" count="1">
            <x v="52"/>
          </reference>
        </references>
      </pivotArea>
    </format>
    <format dxfId="1960">
      <pivotArea dataOnly="0" labelOnly="1" outline="0" fieldPosition="0">
        <references count="5">
          <reference field="0" count="1" selected="0">
            <x v="91"/>
          </reference>
          <reference field="1" count="1" selected="0">
            <x v="54"/>
          </reference>
          <reference field="2" count="1" selected="0">
            <x v="3"/>
          </reference>
          <reference field="3" count="1" selected="0">
            <x v="31"/>
          </reference>
          <reference field="4" count="1">
            <x v="69"/>
          </reference>
        </references>
      </pivotArea>
    </format>
    <format dxfId="1959">
      <pivotArea dataOnly="0" labelOnly="1" outline="0" fieldPosition="0">
        <references count="5">
          <reference field="0" count="1" selected="0">
            <x v="93"/>
          </reference>
          <reference field="1" count="1" selected="0">
            <x v="91"/>
          </reference>
          <reference field="2" count="1" selected="0">
            <x v="6"/>
          </reference>
          <reference field="3" count="1" selected="0">
            <x v="43"/>
          </reference>
          <reference field="4" count="1">
            <x v="66"/>
          </reference>
        </references>
      </pivotArea>
    </format>
    <format dxfId="1958">
      <pivotArea dataOnly="0" labelOnly="1" outline="0" fieldPosition="0">
        <references count="5">
          <reference field="0" count="1" selected="0">
            <x v="94"/>
          </reference>
          <reference field="1" count="1" selected="0">
            <x v="94"/>
          </reference>
          <reference field="2" count="1" selected="0">
            <x v="3"/>
          </reference>
          <reference field="3" count="1" selected="0">
            <x v="31"/>
          </reference>
          <reference field="4" count="1">
            <x v="69"/>
          </reference>
        </references>
      </pivotArea>
    </format>
    <format dxfId="1957">
      <pivotArea dataOnly="0" labelOnly="1" outline="0" fieldPosition="0">
        <references count="5">
          <reference field="0" count="1" selected="0">
            <x v="95"/>
          </reference>
          <reference field="1" count="1" selected="0">
            <x v="95"/>
          </reference>
          <reference field="2" count="1" selected="0">
            <x v="3"/>
          </reference>
          <reference field="3" count="1" selected="0">
            <x v="28"/>
          </reference>
          <reference field="4" count="1">
            <x v="23"/>
          </reference>
        </references>
      </pivotArea>
    </format>
    <format dxfId="1956">
      <pivotArea dataOnly="0" labelOnly="1" outline="0" fieldPosition="0">
        <references count="5">
          <reference field="0" count="1" selected="0">
            <x v="96"/>
          </reference>
          <reference field="1" count="1" selected="0">
            <x v="100"/>
          </reference>
          <reference field="2" count="1" selected="0">
            <x v="3"/>
          </reference>
          <reference field="3" count="1" selected="0">
            <x v="10"/>
          </reference>
          <reference field="4" count="1">
            <x v="73"/>
          </reference>
        </references>
      </pivotArea>
    </format>
    <format dxfId="1955">
      <pivotArea dataOnly="0" labelOnly="1" outline="0" fieldPosition="0">
        <references count="5">
          <reference field="0" count="1" selected="0">
            <x v="97"/>
          </reference>
          <reference field="1" count="1" selected="0">
            <x v="50"/>
          </reference>
          <reference field="2" count="1" selected="0">
            <x v="2"/>
          </reference>
          <reference field="3" count="1" selected="0">
            <x v="23"/>
          </reference>
          <reference field="4" count="1">
            <x v="0"/>
          </reference>
        </references>
      </pivotArea>
    </format>
    <format dxfId="1954">
      <pivotArea dataOnly="0" labelOnly="1" outline="0" fieldPosition="0">
        <references count="6">
          <reference field="0" count="1" selected="0">
            <x v="0"/>
          </reference>
          <reference field="1" count="1" selected="0">
            <x v="4"/>
          </reference>
          <reference field="2" count="1" selected="0">
            <x v="1"/>
          </reference>
          <reference field="3" count="1" selected="0">
            <x v="2"/>
          </reference>
          <reference field="4" count="1" selected="0">
            <x v="2"/>
          </reference>
          <reference field="5" count="1">
            <x v="1"/>
          </reference>
        </references>
      </pivotArea>
    </format>
    <format dxfId="1953">
      <pivotArea dataOnly="0" labelOnly="1" outline="0" fieldPosition="0">
        <references count="6">
          <reference field="0" count="1" selected="0">
            <x v="64"/>
          </reference>
          <reference field="1" count="1" selected="0">
            <x v="11"/>
          </reference>
          <reference field="2" count="1" selected="0">
            <x v="2"/>
          </reference>
          <reference field="3" count="1" selected="0">
            <x v="7"/>
          </reference>
          <reference field="4" count="1" selected="0">
            <x v="3"/>
          </reference>
          <reference field="5" count="1">
            <x v="0"/>
          </reference>
        </references>
      </pivotArea>
    </format>
    <format dxfId="1952">
      <pivotArea dataOnly="0" labelOnly="1" outline="0" fieldPosition="0">
        <references count="6">
          <reference field="0" count="1" selected="0">
            <x v="68"/>
          </reference>
          <reference field="1" count="1" selected="0">
            <x v="0"/>
          </reference>
          <reference field="2" count="1" selected="0">
            <x v="3"/>
          </reference>
          <reference field="3" count="1" selected="0">
            <x v="28"/>
          </reference>
          <reference field="4" count="1" selected="0">
            <x v="23"/>
          </reference>
          <reference field="5" count="1">
            <x v="2"/>
          </reference>
        </references>
      </pivotArea>
    </format>
    <format dxfId="1951">
      <pivotArea dataOnly="0" labelOnly="1" outline="0" fieldPosition="0">
        <references count="6">
          <reference field="0" count="1" selected="0">
            <x v="97"/>
          </reference>
          <reference field="1" count="1" selected="0">
            <x v="50"/>
          </reference>
          <reference field="2" count="1" selected="0">
            <x v="2"/>
          </reference>
          <reference field="3" count="1" selected="0">
            <x v="23"/>
          </reference>
          <reference field="4" count="1" selected="0">
            <x v="0"/>
          </reference>
          <reference field="5" count="1">
            <x v="3"/>
          </reference>
        </references>
      </pivotArea>
    </format>
    <format dxfId="1950">
      <pivotArea type="all" dataOnly="0" outline="0" fieldPosition="0"/>
    </format>
    <format dxfId="1949">
      <pivotArea field="0" type="button" dataOnly="0" labelOnly="1" outline="0" axis="axisRow" fieldPosition="0"/>
    </format>
    <format dxfId="1948">
      <pivotArea field="1" type="button" dataOnly="0" labelOnly="1" outline="0" axis="axisRow" fieldPosition="1"/>
    </format>
    <format dxfId="1947">
      <pivotArea field="2" type="button" dataOnly="0" labelOnly="1" outline="0" axis="axisRow" fieldPosition="2"/>
    </format>
    <format dxfId="1946">
      <pivotArea field="3" type="button" dataOnly="0" labelOnly="1" outline="0" axis="axisRow" fieldPosition="3"/>
    </format>
    <format dxfId="1945">
      <pivotArea field="4" type="button" dataOnly="0" labelOnly="1" outline="0" axis="axisRow" fieldPosition="4"/>
    </format>
    <format dxfId="1944">
      <pivotArea dataOnly="0" labelOnly="1" outline="0"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943">
      <pivotArea dataOnly="0" labelOnly="1" outline="0"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942">
      <pivotArea dataOnly="0" labelOnly="1" outline="0" fieldPosition="0">
        <references count="3">
          <reference field="0" count="1" selected="0">
            <x v="10"/>
          </reference>
          <reference field="1" count="1" selected="0">
            <x v="26"/>
          </reference>
          <reference field="2" count="1">
            <x v="2"/>
          </reference>
        </references>
      </pivotArea>
    </format>
    <format dxfId="1941">
      <pivotArea dataOnly="0" labelOnly="1" outline="0" fieldPosition="0">
        <references count="3">
          <reference field="0" count="1" selected="0">
            <x v="11"/>
          </reference>
          <reference field="1" count="1" selected="0">
            <x v="28"/>
          </reference>
          <reference field="2" count="1">
            <x v="3"/>
          </reference>
        </references>
      </pivotArea>
    </format>
    <format dxfId="1940">
      <pivotArea dataOnly="0" labelOnly="1" outline="0" fieldPosition="0">
        <references count="3">
          <reference field="0" count="1" selected="0">
            <x v="14"/>
          </reference>
          <reference field="1" count="1" selected="0">
            <x v="34"/>
          </reference>
          <reference field="2" count="1">
            <x v="3"/>
          </reference>
        </references>
      </pivotArea>
    </format>
    <format dxfId="1939">
      <pivotArea dataOnly="0" labelOnly="1" outline="0" fieldPosition="0">
        <references count="3">
          <reference field="0" count="1" selected="0">
            <x v="24"/>
          </reference>
          <reference field="1" count="1" selected="0">
            <x v="51"/>
          </reference>
          <reference field="2" count="1">
            <x v="3"/>
          </reference>
        </references>
      </pivotArea>
    </format>
    <format dxfId="1938">
      <pivotArea dataOnly="0" labelOnly="1" outline="0" fieldPosition="0">
        <references count="3">
          <reference field="0" count="1" selected="0">
            <x v="26"/>
          </reference>
          <reference field="1" count="1" selected="0">
            <x v="56"/>
          </reference>
          <reference field="2" count="1">
            <x v="2"/>
          </reference>
        </references>
      </pivotArea>
    </format>
    <format dxfId="1937">
      <pivotArea dataOnly="0" labelOnly="1" outline="0" fieldPosition="0">
        <references count="3">
          <reference field="0" count="1" selected="0">
            <x v="36"/>
          </reference>
          <reference field="1" count="1" selected="0">
            <x v="67"/>
          </reference>
          <reference field="2" count="1">
            <x v="2"/>
          </reference>
        </references>
      </pivotArea>
    </format>
    <format dxfId="1936">
      <pivotArea dataOnly="0" labelOnly="1" outline="0" fieldPosition="0">
        <references count="3">
          <reference field="0" count="1" selected="0">
            <x v="47"/>
          </reference>
          <reference field="1" count="1" selected="0">
            <x v="78"/>
          </reference>
          <reference field="2" count="1">
            <x v="7"/>
          </reference>
        </references>
      </pivotArea>
    </format>
    <format dxfId="1935">
      <pivotArea dataOnly="0" labelOnly="1" outline="0" fieldPosition="0">
        <references count="3">
          <reference field="0" count="1" selected="0">
            <x v="80"/>
          </reference>
          <reference field="1" count="1" selected="0">
            <x v="24"/>
          </reference>
          <reference field="2" count="1">
            <x v="3"/>
          </reference>
        </references>
      </pivotArea>
    </format>
    <format dxfId="1934">
      <pivotArea dataOnly="0" labelOnly="1" outline="0" fieldPosition="0">
        <references count="3">
          <reference field="0" count="1" selected="0">
            <x v="98"/>
          </reference>
          <reference field="1" count="1" selected="0">
            <x v="52"/>
          </reference>
          <reference field="2" count="1">
            <x v="4"/>
          </reference>
        </references>
      </pivotArea>
    </format>
    <format dxfId="1933">
      <pivotArea dataOnly="0" labelOnly="1" outline="0" fieldPosition="0">
        <references count="4">
          <reference field="0" count="1" selected="0">
            <x v="10"/>
          </reference>
          <reference field="1" count="1" selected="0">
            <x v="26"/>
          </reference>
          <reference field="2" count="1" selected="0">
            <x v="2"/>
          </reference>
          <reference field="3" count="1">
            <x v="8"/>
          </reference>
        </references>
      </pivotArea>
    </format>
    <format dxfId="1932">
      <pivotArea dataOnly="0" labelOnly="1" outline="0" fieldPosition="0">
        <references count="4">
          <reference field="0" count="1" selected="0">
            <x v="75"/>
          </reference>
          <reference field="1" count="1" selected="0">
            <x v="9"/>
          </reference>
          <reference field="2" count="1" selected="0">
            <x v="3"/>
          </reference>
          <reference field="3" count="1">
            <x v="28"/>
          </reference>
        </references>
      </pivotArea>
    </format>
    <format dxfId="1931">
      <pivotArea dataOnly="0" labelOnly="1" outline="0" fieldPosition="0">
        <references count="4">
          <reference field="0" count="1" selected="0">
            <x v="80"/>
          </reference>
          <reference field="1" count="1" selected="0">
            <x v="24"/>
          </reference>
          <reference field="2" count="1" selected="0">
            <x v="3"/>
          </reference>
          <reference field="3" count="1">
            <x v="31"/>
          </reference>
        </references>
      </pivotArea>
    </format>
    <format dxfId="1930">
      <pivotArea dataOnly="0" labelOnly="1" outline="0" fieldPosition="0">
        <references count="4">
          <reference field="0" count="1" selected="0">
            <x v="91"/>
          </reference>
          <reference field="1" count="1" selected="0">
            <x v="54"/>
          </reference>
          <reference field="2" count="1" selected="0">
            <x v="3"/>
          </reference>
          <reference field="3" count="1">
            <x v="31"/>
          </reference>
        </references>
      </pivotArea>
    </format>
    <format dxfId="1929">
      <pivotArea dataOnly="0" labelOnly="1" outline="0" fieldPosition="0">
        <references count="5">
          <reference field="0" count="1" selected="0">
            <x v="10"/>
          </reference>
          <reference field="1" count="1" selected="0">
            <x v="26"/>
          </reference>
          <reference field="2" count="1" selected="0">
            <x v="2"/>
          </reference>
          <reference field="3" count="1" selected="0">
            <x v="8"/>
          </reference>
          <reference field="4" count="1">
            <x v="42"/>
          </reference>
        </references>
      </pivotArea>
    </format>
    <format dxfId="1928">
      <pivotArea dataOnly="0" labelOnly="1" outline="0" fieldPosition="0">
        <references count="5">
          <reference field="0" count="1" selected="0">
            <x v="75"/>
          </reference>
          <reference field="1" count="1" selected="0">
            <x v="9"/>
          </reference>
          <reference field="2" count="1" selected="0">
            <x v="3"/>
          </reference>
          <reference field="3" count="1" selected="0">
            <x v="28"/>
          </reference>
          <reference field="4" count="1">
            <x v="23"/>
          </reference>
        </references>
      </pivotArea>
    </format>
    <format dxfId="1927">
      <pivotArea dataOnly="0" labelOnly="1" outline="0" fieldPosition="0">
        <references count="5">
          <reference field="0" count="1" selected="0">
            <x v="91"/>
          </reference>
          <reference field="1" count="1" selected="0">
            <x v="54"/>
          </reference>
          <reference field="2" count="1" selected="0">
            <x v="3"/>
          </reference>
          <reference field="3" count="1" selected="0">
            <x v="31"/>
          </reference>
          <reference field="4" count="1">
            <x v="69"/>
          </reference>
        </references>
      </pivotArea>
    </format>
    <format dxfId="1926">
      <pivotArea field="4" type="button" dataOnly="0" labelOnly="1" outline="0" axis="axisRow" fieldPosition="4"/>
    </format>
    <format dxfId="1925">
      <pivotArea field="3" type="button" dataOnly="0" labelOnly="1" outline="0" axis="axisRow" fieldPosition="3"/>
    </format>
    <format dxfId="1924">
      <pivotArea field="2" type="button" dataOnly="0" labelOnly="1" outline="0" axis="axisRow" fieldPosition="2"/>
    </format>
    <format dxfId="1923">
      <pivotArea dataOnly="0" labelOnly="1" grandRow="1" outline="0" fieldPosition="0"/>
    </format>
    <format dxfId="1922">
      <pivotArea dataOnly="0" labelOnly="1" grandRow="1" outline="0" fieldPosition="0"/>
    </format>
    <format dxfId="1921">
      <pivotArea type="all" dataOnly="0" outline="0" fieldPosition="0"/>
    </format>
    <format dxfId="1920">
      <pivotArea outline="0" collapsedLevelsAreSubtotals="1" fieldPosition="0"/>
    </format>
    <format dxfId="1919">
      <pivotArea field="0" type="button" dataOnly="0" labelOnly="1" outline="0" axis="axisRow" fieldPosition="0"/>
    </format>
    <format dxfId="1918">
      <pivotArea field="1" type="button" dataOnly="0" labelOnly="1" outline="0" axis="axisRow" fieldPosition="1"/>
    </format>
    <format dxfId="1917">
      <pivotArea field="2" type="button" dataOnly="0" labelOnly="1" outline="0" axis="axisRow" fieldPosition="2"/>
    </format>
    <format dxfId="1916">
      <pivotArea field="3" type="button" dataOnly="0" labelOnly="1" outline="0" axis="axisRow" fieldPosition="3"/>
    </format>
    <format dxfId="1915">
      <pivotArea field="4" type="button" dataOnly="0" labelOnly="1" outline="0" axis="axisRow" fieldPosition="4"/>
    </format>
    <format dxfId="1914">
      <pivotArea field="5" type="button" dataOnly="0" labelOnly="1" outline="0" axis="axisRow" fieldPosition="5"/>
    </format>
    <format dxfId="1913">
      <pivotArea dataOnly="0" labelOnly="1" outline="0"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912">
      <pivotArea dataOnly="0" labelOnly="1" outline="0"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911">
      <pivotArea dataOnly="0" labelOnly="1" outline="0" fieldPosition="0">
        <references count="1">
          <reference field="0" count="1">
            <x v="100"/>
          </reference>
        </references>
      </pivotArea>
    </format>
    <format dxfId="1910">
      <pivotArea dataOnly="0" labelOnly="1" grandRow="1" outline="0" fieldPosition="0"/>
    </format>
    <format dxfId="1909">
      <pivotArea dataOnly="0" labelOnly="1" outline="0" fieldPosition="0">
        <references count="2">
          <reference field="0" count="1" selected="0">
            <x v="0"/>
          </reference>
          <reference field="1" count="1">
            <x v="4"/>
          </reference>
        </references>
      </pivotArea>
    </format>
    <format dxfId="1908">
      <pivotArea dataOnly="0" labelOnly="1" outline="0" fieldPosition="0">
        <references count="2">
          <reference field="0" count="1" selected="0">
            <x v="1"/>
          </reference>
          <reference field="1" count="1">
            <x v="7"/>
          </reference>
        </references>
      </pivotArea>
    </format>
    <format dxfId="1907">
      <pivotArea dataOnly="0" labelOnly="1" outline="0" fieldPosition="0">
        <references count="2">
          <reference field="0" count="1" selected="0">
            <x v="2"/>
          </reference>
          <reference field="1" count="1">
            <x v="10"/>
          </reference>
        </references>
      </pivotArea>
    </format>
    <format dxfId="1906">
      <pivotArea dataOnly="0" labelOnly="1" outline="0" fieldPosition="0">
        <references count="2">
          <reference field="0" count="1" selected="0">
            <x v="3"/>
          </reference>
          <reference field="1" count="1">
            <x v="13"/>
          </reference>
        </references>
      </pivotArea>
    </format>
    <format dxfId="1905">
      <pivotArea dataOnly="0" labelOnly="1" outline="0" fieldPosition="0">
        <references count="2">
          <reference field="0" count="1" selected="0">
            <x v="4"/>
          </reference>
          <reference field="1" count="1">
            <x v="15"/>
          </reference>
        </references>
      </pivotArea>
    </format>
    <format dxfId="1904">
      <pivotArea dataOnly="0" labelOnly="1" outline="0" fieldPosition="0">
        <references count="2">
          <reference field="0" count="1" selected="0">
            <x v="5"/>
          </reference>
          <reference field="1" count="1">
            <x v="18"/>
          </reference>
        </references>
      </pivotArea>
    </format>
    <format dxfId="1903">
      <pivotArea dataOnly="0" labelOnly="1" outline="0" fieldPosition="0">
        <references count="2">
          <reference field="0" count="1" selected="0">
            <x v="6"/>
          </reference>
          <reference field="1" count="1">
            <x v="19"/>
          </reference>
        </references>
      </pivotArea>
    </format>
    <format dxfId="1902">
      <pivotArea dataOnly="0" labelOnly="1" outline="0" fieldPosition="0">
        <references count="2">
          <reference field="0" count="1" selected="0">
            <x v="7"/>
          </reference>
          <reference field="1" count="1">
            <x v="20"/>
          </reference>
        </references>
      </pivotArea>
    </format>
    <format dxfId="1901">
      <pivotArea dataOnly="0" labelOnly="1" outline="0" fieldPosition="0">
        <references count="2">
          <reference field="0" count="1" selected="0">
            <x v="8"/>
          </reference>
          <reference field="1" count="1">
            <x v="21"/>
          </reference>
        </references>
      </pivotArea>
    </format>
    <format dxfId="1900">
      <pivotArea dataOnly="0" labelOnly="1" outline="0" fieldPosition="0">
        <references count="2">
          <reference field="0" count="1" selected="0">
            <x v="9"/>
          </reference>
          <reference field="1" count="1">
            <x v="23"/>
          </reference>
        </references>
      </pivotArea>
    </format>
    <format dxfId="1899">
      <pivotArea dataOnly="0" labelOnly="1" outline="0" fieldPosition="0">
        <references count="2">
          <reference field="0" count="1" selected="0">
            <x v="10"/>
          </reference>
          <reference field="1" count="1">
            <x v="26"/>
          </reference>
        </references>
      </pivotArea>
    </format>
    <format dxfId="1898">
      <pivotArea dataOnly="0" labelOnly="1" outline="0" fieldPosition="0">
        <references count="2">
          <reference field="0" count="1" selected="0">
            <x v="11"/>
          </reference>
          <reference field="1" count="1">
            <x v="28"/>
          </reference>
        </references>
      </pivotArea>
    </format>
    <format dxfId="1897">
      <pivotArea dataOnly="0" labelOnly="1" outline="0" fieldPosition="0">
        <references count="2">
          <reference field="0" count="1" selected="0">
            <x v="12"/>
          </reference>
          <reference field="1" count="1">
            <x v="29"/>
          </reference>
        </references>
      </pivotArea>
    </format>
    <format dxfId="1896">
      <pivotArea dataOnly="0" labelOnly="1" outline="0" fieldPosition="0">
        <references count="2">
          <reference field="0" count="1" selected="0">
            <x v="13"/>
          </reference>
          <reference field="1" count="1">
            <x v="30"/>
          </reference>
        </references>
      </pivotArea>
    </format>
    <format dxfId="1895">
      <pivotArea dataOnly="0" labelOnly="1" outline="0" fieldPosition="0">
        <references count="2">
          <reference field="0" count="1" selected="0">
            <x v="14"/>
          </reference>
          <reference field="1" count="1">
            <x v="34"/>
          </reference>
        </references>
      </pivotArea>
    </format>
    <format dxfId="1894">
      <pivotArea dataOnly="0" labelOnly="1" outline="0" fieldPosition="0">
        <references count="2">
          <reference field="0" count="1" selected="0">
            <x v="15"/>
          </reference>
          <reference field="1" count="1">
            <x v="35"/>
          </reference>
        </references>
      </pivotArea>
    </format>
    <format dxfId="1893">
      <pivotArea dataOnly="0" labelOnly="1" outline="0" fieldPosition="0">
        <references count="2">
          <reference field="0" count="1" selected="0">
            <x v="16"/>
          </reference>
          <reference field="1" count="1">
            <x v="36"/>
          </reference>
        </references>
      </pivotArea>
    </format>
    <format dxfId="1892">
      <pivotArea dataOnly="0" labelOnly="1" outline="0" fieldPosition="0">
        <references count="2">
          <reference field="0" count="1" selected="0">
            <x v="17"/>
          </reference>
          <reference field="1" count="1">
            <x v="37"/>
          </reference>
        </references>
      </pivotArea>
    </format>
    <format dxfId="1891">
      <pivotArea dataOnly="0" labelOnly="1" outline="0" fieldPosition="0">
        <references count="2">
          <reference field="0" count="1" selected="0">
            <x v="18"/>
          </reference>
          <reference field="1" count="1">
            <x v="38"/>
          </reference>
        </references>
      </pivotArea>
    </format>
    <format dxfId="1890">
      <pivotArea dataOnly="0" labelOnly="1" outline="0" fieldPosition="0">
        <references count="2">
          <reference field="0" count="1" selected="0">
            <x v="19"/>
          </reference>
          <reference field="1" count="1">
            <x v="39"/>
          </reference>
        </references>
      </pivotArea>
    </format>
    <format dxfId="1889">
      <pivotArea dataOnly="0" labelOnly="1" outline="0" fieldPosition="0">
        <references count="2">
          <reference field="0" count="1" selected="0">
            <x v="20"/>
          </reference>
          <reference field="1" count="1">
            <x v="42"/>
          </reference>
        </references>
      </pivotArea>
    </format>
    <format dxfId="1888">
      <pivotArea dataOnly="0" labelOnly="1" outline="0" fieldPosition="0">
        <references count="2">
          <reference field="0" count="1" selected="0">
            <x v="21"/>
          </reference>
          <reference field="1" count="1">
            <x v="45"/>
          </reference>
        </references>
      </pivotArea>
    </format>
    <format dxfId="1887">
      <pivotArea dataOnly="0" labelOnly="1" outline="0" fieldPosition="0">
        <references count="2">
          <reference field="0" count="1" selected="0">
            <x v="22"/>
          </reference>
          <reference field="1" count="1">
            <x v="46"/>
          </reference>
        </references>
      </pivotArea>
    </format>
    <format dxfId="1886">
      <pivotArea dataOnly="0" labelOnly="1" outline="0" fieldPosition="0">
        <references count="2">
          <reference field="0" count="1" selected="0">
            <x v="23"/>
          </reference>
          <reference field="1" count="1">
            <x v="48"/>
          </reference>
        </references>
      </pivotArea>
    </format>
    <format dxfId="1885">
      <pivotArea dataOnly="0" labelOnly="1" outline="0" fieldPosition="0">
        <references count="2">
          <reference field="0" count="1" selected="0">
            <x v="24"/>
          </reference>
          <reference field="1" count="1">
            <x v="51"/>
          </reference>
        </references>
      </pivotArea>
    </format>
    <format dxfId="1884">
      <pivotArea dataOnly="0" labelOnly="1" outline="0" fieldPosition="0">
        <references count="2">
          <reference field="0" count="1" selected="0">
            <x v="25"/>
          </reference>
          <reference field="1" count="1">
            <x v="53"/>
          </reference>
        </references>
      </pivotArea>
    </format>
    <format dxfId="1883">
      <pivotArea dataOnly="0" labelOnly="1" outline="0" fieldPosition="0">
        <references count="2">
          <reference field="0" count="1" selected="0">
            <x v="26"/>
          </reference>
          <reference field="1" count="1">
            <x v="56"/>
          </reference>
        </references>
      </pivotArea>
    </format>
    <format dxfId="1882">
      <pivotArea dataOnly="0" labelOnly="1" outline="0" fieldPosition="0">
        <references count="2">
          <reference field="0" count="1" selected="0">
            <x v="27"/>
          </reference>
          <reference field="1" count="1">
            <x v="57"/>
          </reference>
        </references>
      </pivotArea>
    </format>
    <format dxfId="1881">
      <pivotArea dataOnly="0" labelOnly="1" outline="0" fieldPosition="0">
        <references count="2">
          <reference field="0" count="1" selected="0">
            <x v="28"/>
          </reference>
          <reference field="1" count="1">
            <x v="58"/>
          </reference>
        </references>
      </pivotArea>
    </format>
    <format dxfId="1880">
      <pivotArea dataOnly="0" labelOnly="1" outline="0" fieldPosition="0">
        <references count="2">
          <reference field="0" count="1" selected="0">
            <x v="29"/>
          </reference>
          <reference field="1" count="1">
            <x v="59"/>
          </reference>
        </references>
      </pivotArea>
    </format>
    <format dxfId="1879">
      <pivotArea dataOnly="0" labelOnly="1" outline="0" fieldPosition="0">
        <references count="2">
          <reference field="0" count="1" selected="0">
            <x v="30"/>
          </reference>
          <reference field="1" count="1">
            <x v="60"/>
          </reference>
        </references>
      </pivotArea>
    </format>
    <format dxfId="1878">
      <pivotArea dataOnly="0" labelOnly="1" outline="0" fieldPosition="0">
        <references count="2">
          <reference field="0" count="1" selected="0">
            <x v="31"/>
          </reference>
          <reference field="1" count="1">
            <x v="62"/>
          </reference>
        </references>
      </pivotArea>
    </format>
    <format dxfId="1877">
      <pivotArea dataOnly="0" labelOnly="1" outline="0" fieldPosition="0">
        <references count="2">
          <reference field="0" count="1" selected="0">
            <x v="32"/>
          </reference>
          <reference field="1" count="1">
            <x v="93"/>
          </reference>
        </references>
      </pivotArea>
    </format>
    <format dxfId="1876">
      <pivotArea dataOnly="0" labelOnly="1" outline="0" fieldPosition="0">
        <references count="2">
          <reference field="0" count="1" selected="0">
            <x v="33"/>
          </reference>
          <reference field="1" count="1">
            <x v="63"/>
          </reference>
        </references>
      </pivotArea>
    </format>
    <format dxfId="1875">
      <pivotArea dataOnly="0" labelOnly="1" outline="0" fieldPosition="0">
        <references count="2">
          <reference field="0" count="1" selected="0">
            <x v="34"/>
          </reference>
          <reference field="1" count="1">
            <x v="65"/>
          </reference>
        </references>
      </pivotArea>
    </format>
    <format dxfId="1874">
      <pivotArea dataOnly="0" labelOnly="1" outline="0" fieldPosition="0">
        <references count="2">
          <reference field="0" count="1" selected="0">
            <x v="35"/>
          </reference>
          <reference field="1" count="1">
            <x v="66"/>
          </reference>
        </references>
      </pivotArea>
    </format>
    <format dxfId="1873">
      <pivotArea dataOnly="0" labelOnly="1" outline="0" fieldPosition="0">
        <references count="2">
          <reference field="0" count="1" selected="0">
            <x v="36"/>
          </reference>
          <reference field="1" count="1">
            <x v="67"/>
          </reference>
        </references>
      </pivotArea>
    </format>
    <format dxfId="1872">
      <pivotArea dataOnly="0" labelOnly="1" outline="0" fieldPosition="0">
        <references count="2">
          <reference field="0" count="1" selected="0">
            <x v="37"/>
          </reference>
          <reference field="1" count="1">
            <x v="68"/>
          </reference>
        </references>
      </pivotArea>
    </format>
    <format dxfId="1871">
      <pivotArea dataOnly="0" labelOnly="1" outline="0" fieldPosition="0">
        <references count="2">
          <reference field="0" count="1" selected="0">
            <x v="38"/>
          </reference>
          <reference field="1" count="1">
            <x v="69"/>
          </reference>
        </references>
      </pivotArea>
    </format>
    <format dxfId="1870">
      <pivotArea dataOnly="0" labelOnly="1" outline="0" fieldPosition="0">
        <references count="2">
          <reference field="0" count="1" selected="0">
            <x v="39"/>
          </reference>
          <reference field="1" count="1">
            <x v="71"/>
          </reference>
        </references>
      </pivotArea>
    </format>
    <format dxfId="1869">
      <pivotArea dataOnly="0" labelOnly="1" outline="0" fieldPosition="0">
        <references count="2">
          <reference field="0" count="1" selected="0">
            <x v="40"/>
          </reference>
          <reference field="1" count="1">
            <x v="72"/>
          </reference>
        </references>
      </pivotArea>
    </format>
    <format dxfId="1868">
      <pivotArea dataOnly="0" labelOnly="1" outline="0" fieldPosition="0">
        <references count="2">
          <reference field="0" count="1" selected="0">
            <x v="41"/>
          </reference>
          <reference field="1" count="1">
            <x v="73"/>
          </reference>
        </references>
      </pivotArea>
    </format>
    <format dxfId="1867">
      <pivotArea dataOnly="0" labelOnly="1" outline="0" fieldPosition="0">
        <references count="2">
          <reference field="0" count="1" selected="0">
            <x v="42"/>
          </reference>
          <reference field="1" count="1">
            <x v="74"/>
          </reference>
        </references>
      </pivotArea>
    </format>
    <format dxfId="1866">
      <pivotArea dataOnly="0" labelOnly="1" outline="0" fieldPosition="0">
        <references count="2">
          <reference field="0" count="1" selected="0">
            <x v="43"/>
          </reference>
          <reference field="1" count="1">
            <x v="75"/>
          </reference>
        </references>
      </pivotArea>
    </format>
    <format dxfId="1865">
      <pivotArea dataOnly="0" labelOnly="1" outline="0" fieldPosition="0">
        <references count="2">
          <reference field="0" count="1" selected="0">
            <x v="44"/>
          </reference>
          <reference field="1" count="1">
            <x v="76"/>
          </reference>
        </references>
      </pivotArea>
    </format>
    <format dxfId="1864">
      <pivotArea dataOnly="0" labelOnly="1" outline="0" fieldPosition="0">
        <references count="2">
          <reference field="0" count="1" selected="0">
            <x v="45"/>
          </reference>
          <reference field="1" count="1">
            <x v="70"/>
          </reference>
        </references>
      </pivotArea>
    </format>
    <format dxfId="1863">
      <pivotArea dataOnly="0" labelOnly="1" outline="0" fieldPosition="0">
        <references count="2">
          <reference field="0" count="1" selected="0">
            <x v="46"/>
          </reference>
          <reference field="1" count="1">
            <x v="77"/>
          </reference>
        </references>
      </pivotArea>
    </format>
    <format dxfId="1862">
      <pivotArea dataOnly="0" labelOnly="1" outline="0" fieldPosition="0">
        <references count="2">
          <reference field="0" count="1" selected="0">
            <x v="47"/>
          </reference>
          <reference field="1" count="1">
            <x v="78"/>
          </reference>
        </references>
      </pivotArea>
    </format>
    <format dxfId="1861">
      <pivotArea dataOnly="0" labelOnly="1" outline="0" fieldPosition="0">
        <references count="2">
          <reference field="0" count="1" selected="0">
            <x v="48"/>
          </reference>
          <reference field="1" count="1">
            <x v="79"/>
          </reference>
        </references>
      </pivotArea>
    </format>
    <format dxfId="1860">
      <pivotArea dataOnly="0" labelOnly="1" outline="0" fieldPosition="0">
        <references count="2">
          <reference field="0" count="1" selected="0">
            <x v="49"/>
          </reference>
          <reference field="1" count="1">
            <x v="80"/>
          </reference>
        </references>
      </pivotArea>
    </format>
    <format dxfId="1859">
      <pivotArea dataOnly="0" labelOnly="1" outline="0" fieldPosition="0">
        <references count="2">
          <reference field="0" count="1" selected="0">
            <x v="50"/>
          </reference>
          <reference field="1" count="1">
            <x v="81"/>
          </reference>
        </references>
      </pivotArea>
    </format>
    <format dxfId="1858">
      <pivotArea dataOnly="0" labelOnly="1" outline="0" fieldPosition="0">
        <references count="2">
          <reference field="0" count="1" selected="0">
            <x v="51"/>
          </reference>
          <reference field="1" count="1">
            <x v="82"/>
          </reference>
        </references>
      </pivotArea>
    </format>
    <format dxfId="1857">
      <pivotArea dataOnly="0" labelOnly="1" outline="0" fieldPosition="0">
        <references count="2">
          <reference field="0" count="1" selected="0">
            <x v="52"/>
          </reference>
          <reference field="1" count="1">
            <x v="83"/>
          </reference>
        </references>
      </pivotArea>
    </format>
    <format dxfId="1856">
      <pivotArea dataOnly="0" labelOnly="1" outline="0" fieldPosition="0">
        <references count="2">
          <reference field="0" count="1" selected="0">
            <x v="53"/>
          </reference>
          <reference field="1" count="1">
            <x v="84"/>
          </reference>
        </references>
      </pivotArea>
    </format>
    <format dxfId="1855">
      <pivotArea dataOnly="0" labelOnly="1" outline="0" fieldPosition="0">
        <references count="2">
          <reference field="0" count="1" selected="0">
            <x v="54"/>
          </reference>
          <reference field="1" count="1">
            <x v="86"/>
          </reference>
        </references>
      </pivotArea>
    </format>
    <format dxfId="1854">
      <pivotArea dataOnly="0" labelOnly="1" outline="0" fieldPosition="0">
        <references count="2">
          <reference field="0" count="1" selected="0">
            <x v="55"/>
          </reference>
          <reference field="1" count="1">
            <x v="87"/>
          </reference>
        </references>
      </pivotArea>
    </format>
    <format dxfId="1853">
      <pivotArea dataOnly="0" labelOnly="1" outline="0" fieldPosition="0">
        <references count="2">
          <reference field="0" count="1" selected="0">
            <x v="57"/>
          </reference>
          <reference field="1" count="1">
            <x v="89"/>
          </reference>
        </references>
      </pivotArea>
    </format>
    <format dxfId="1852">
      <pivotArea dataOnly="0" labelOnly="1" outline="0" fieldPosition="0">
        <references count="2">
          <reference field="0" count="1" selected="0">
            <x v="58"/>
          </reference>
          <reference field="1" count="1">
            <x v="90"/>
          </reference>
        </references>
      </pivotArea>
    </format>
    <format dxfId="1851">
      <pivotArea dataOnly="0" labelOnly="1" outline="0" fieldPosition="0">
        <references count="2">
          <reference field="0" count="1" selected="0">
            <x v="59"/>
          </reference>
          <reference field="1" count="1">
            <x v="92"/>
          </reference>
        </references>
      </pivotArea>
    </format>
    <format dxfId="1850">
      <pivotArea dataOnly="0" labelOnly="1" outline="0" fieldPosition="0">
        <references count="2">
          <reference field="0" count="1" selected="0">
            <x v="60"/>
          </reference>
          <reference field="1" count="1">
            <x v="96"/>
          </reference>
        </references>
      </pivotArea>
    </format>
    <format dxfId="1849">
      <pivotArea dataOnly="0" labelOnly="1" outline="0" fieldPosition="0">
        <references count="2">
          <reference field="0" count="1" selected="0">
            <x v="61"/>
          </reference>
          <reference field="1" count="1">
            <x v="97"/>
          </reference>
        </references>
      </pivotArea>
    </format>
    <format dxfId="1848">
      <pivotArea dataOnly="0" labelOnly="1" outline="0" fieldPosition="0">
        <references count="2">
          <reference field="0" count="1" selected="0">
            <x v="62"/>
          </reference>
          <reference field="1" count="1">
            <x v="98"/>
          </reference>
        </references>
      </pivotArea>
    </format>
    <format dxfId="1847">
      <pivotArea dataOnly="0" labelOnly="1" outline="0" fieldPosition="0">
        <references count="2">
          <reference field="0" count="1" selected="0">
            <x v="63"/>
          </reference>
          <reference field="1" count="1">
            <x v="99"/>
          </reference>
        </references>
      </pivotArea>
    </format>
    <format dxfId="1846">
      <pivotArea dataOnly="0" labelOnly="1" outline="0" fieldPosition="0">
        <references count="2">
          <reference field="0" count="1" selected="0">
            <x v="64"/>
          </reference>
          <reference field="1" count="1">
            <x v="11"/>
          </reference>
        </references>
      </pivotArea>
    </format>
    <format dxfId="1845">
      <pivotArea dataOnly="0" labelOnly="1" outline="0" fieldPosition="0">
        <references count="2">
          <reference field="0" count="1" selected="0">
            <x v="65"/>
          </reference>
          <reference field="1" count="1">
            <x v="12"/>
          </reference>
        </references>
      </pivotArea>
    </format>
    <format dxfId="1844">
      <pivotArea dataOnly="0" labelOnly="1" outline="0" fieldPosition="0">
        <references count="2">
          <reference field="0" count="1" selected="0">
            <x v="66"/>
          </reference>
          <reference field="1" count="1">
            <x v="49"/>
          </reference>
        </references>
      </pivotArea>
    </format>
    <format dxfId="1843">
      <pivotArea dataOnly="0" labelOnly="1" outline="0" fieldPosition="0">
        <references count="2">
          <reference field="0" count="1" selected="0">
            <x v="67"/>
          </reference>
          <reference field="1" count="1">
            <x v="64"/>
          </reference>
        </references>
      </pivotArea>
    </format>
    <format dxfId="1842">
      <pivotArea dataOnly="0" labelOnly="1" outline="0" fieldPosition="0">
        <references count="2">
          <reference field="0" count="1" selected="0">
            <x v="68"/>
          </reference>
          <reference field="1" count="1">
            <x v="0"/>
          </reference>
        </references>
      </pivotArea>
    </format>
    <format dxfId="1841">
      <pivotArea dataOnly="0" labelOnly="1" outline="0" fieldPosition="0">
        <references count="2">
          <reference field="0" count="1" selected="0">
            <x v="69"/>
          </reference>
          <reference field="1" count="1">
            <x v="1"/>
          </reference>
        </references>
      </pivotArea>
    </format>
    <format dxfId="1840">
      <pivotArea dataOnly="0" labelOnly="1" outline="0" fieldPosition="0">
        <references count="2">
          <reference field="0" count="1" selected="0">
            <x v="70"/>
          </reference>
          <reference field="1" count="1">
            <x v="2"/>
          </reference>
        </references>
      </pivotArea>
    </format>
    <format dxfId="1839">
      <pivotArea dataOnly="0" labelOnly="1" outline="0" fieldPosition="0">
        <references count="2">
          <reference field="0" count="1" selected="0">
            <x v="71"/>
          </reference>
          <reference field="1" count="1">
            <x v="3"/>
          </reference>
        </references>
      </pivotArea>
    </format>
    <format dxfId="1838">
      <pivotArea dataOnly="0" labelOnly="1" outline="0" fieldPosition="0">
        <references count="2">
          <reference field="0" count="1" selected="0">
            <x v="72"/>
          </reference>
          <reference field="1" count="1">
            <x v="5"/>
          </reference>
        </references>
      </pivotArea>
    </format>
    <format dxfId="1837">
      <pivotArea dataOnly="0" labelOnly="1" outline="0" fieldPosition="0">
        <references count="2">
          <reference field="0" count="1" selected="0">
            <x v="73"/>
          </reference>
          <reference field="1" count="1">
            <x v="6"/>
          </reference>
        </references>
      </pivotArea>
    </format>
    <format dxfId="1836">
      <pivotArea dataOnly="0" labelOnly="1" outline="0" fieldPosition="0">
        <references count="2">
          <reference field="0" count="1" selected="0">
            <x v="74"/>
          </reference>
          <reference field="1" count="1">
            <x v="8"/>
          </reference>
        </references>
      </pivotArea>
    </format>
    <format dxfId="1835">
      <pivotArea dataOnly="0" labelOnly="1" outline="0" fieldPosition="0">
        <references count="2">
          <reference field="0" count="1" selected="0">
            <x v="75"/>
          </reference>
          <reference field="1" count="1">
            <x v="9"/>
          </reference>
        </references>
      </pivotArea>
    </format>
    <format dxfId="1834">
      <pivotArea dataOnly="0" labelOnly="1" outline="0" fieldPosition="0">
        <references count="2">
          <reference field="0" count="1" selected="0">
            <x v="76"/>
          </reference>
          <reference field="1" count="1">
            <x v="14"/>
          </reference>
        </references>
      </pivotArea>
    </format>
    <format dxfId="1833">
      <pivotArea dataOnly="0" labelOnly="1" outline="0" fieldPosition="0">
        <references count="2">
          <reference field="0" count="1" selected="0">
            <x v="77"/>
          </reference>
          <reference field="1" count="1">
            <x v="16"/>
          </reference>
        </references>
      </pivotArea>
    </format>
    <format dxfId="1832">
      <pivotArea dataOnly="0" labelOnly="1" outline="0" fieldPosition="0">
        <references count="2">
          <reference field="0" count="1" selected="0">
            <x v="78"/>
          </reference>
          <reference field="1" count="1">
            <x v="17"/>
          </reference>
        </references>
      </pivotArea>
    </format>
    <format dxfId="1831">
      <pivotArea dataOnly="0" labelOnly="1" outline="0" fieldPosition="0">
        <references count="2">
          <reference field="0" count="1" selected="0">
            <x v="79"/>
          </reference>
          <reference field="1" count="1">
            <x v="22"/>
          </reference>
        </references>
      </pivotArea>
    </format>
    <format dxfId="1830">
      <pivotArea dataOnly="0" labelOnly="1" outline="0" fieldPosition="0">
        <references count="2">
          <reference field="0" count="1" selected="0">
            <x v="80"/>
          </reference>
          <reference field="1" count="1">
            <x v="24"/>
          </reference>
        </references>
      </pivotArea>
    </format>
    <format dxfId="1829">
      <pivotArea dataOnly="0" labelOnly="1" outline="0" fieldPosition="0">
        <references count="2">
          <reference field="0" count="1" selected="0">
            <x v="81"/>
          </reference>
          <reference field="1" count="1">
            <x v="25"/>
          </reference>
        </references>
      </pivotArea>
    </format>
    <format dxfId="1828">
      <pivotArea dataOnly="0" labelOnly="1" outline="0" fieldPosition="0">
        <references count="2">
          <reference field="0" count="1" selected="0">
            <x v="82"/>
          </reference>
          <reference field="1" count="1">
            <x v="27"/>
          </reference>
        </references>
      </pivotArea>
    </format>
    <format dxfId="1827">
      <pivotArea dataOnly="0" labelOnly="1" outline="0" fieldPosition="0">
        <references count="2">
          <reference field="0" count="1" selected="0">
            <x v="83"/>
          </reference>
          <reference field="1" count="1">
            <x v="31"/>
          </reference>
        </references>
      </pivotArea>
    </format>
    <format dxfId="1826">
      <pivotArea dataOnly="0" labelOnly="1" outline="0" fieldPosition="0">
        <references count="2">
          <reference field="0" count="1" selected="0">
            <x v="84"/>
          </reference>
          <reference field="1" count="1">
            <x v="32"/>
          </reference>
        </references>
      </pivotArea>
    </format>
    <format dxfId="1825">
      <pivotArea dataOnly="0" labelOnly="1" outline="0" fieldPosition="0">
        <references count="2">
          <reference field="0" count="1" selected="0">
            <x v="85"/>
          </reference>
          <reference field="1" count="1">
            <x v="33"/>
          </reference>
        </references>
      </pivotArea>
    </format>
    <format dxfId="1824">
      <pivotArea dataOnly="0" labelOnly="1" outline="0" fieldPosition="0">
        <references count="2">
          <reference field="0" count="1" selected="0">
            <x v="86"/>
          </reference>
          <reference field="1" count="1">
            <x v="40"/>
          </reference>
        </references>
      </pivotArea>
    </format>
    <format dxfId="1823">
      <pivotArea dataOnly="0" labelOnly="1" outline="0" fieldPosition="0">
        <references count="2">
          <reference field="0" count="1" selected="0">
            <x v="87"/>
          </reference>
          <reference field="1" count="1">
            <x v="41"/>
          </reference>
        </references>
      </pivotArea>
    </format>
    <format dxfId="1822">
      <pivotArea dataOnly="0" labelOnly="1" outline="0" fieldPosition="0">
        <references count="2">
          <reference field="0" count="1" selected="0">
            <x v="88"/>
          </reference>
          <reference field="1" count="1">
            <x v="43"/>
          </reference>
        </references>
      </pivotArea>
    </format>
    <format dxfId="1821">
      <pivotArea dataOnly="0" labelOnly="1" outline="0" fieldPosition="0">
        <references count="2">
          <reference field="0" count="1" selected="0">
            <x v="89"/>
          </reference>
          <reference field="1" count="1">
            <x v="44"/>
          </reference>
        </references>
      </pivotArea>
    </format>
    <format dxfId="1820">
      <pivotArea dataOnly="0" labelOnly="1" outline="0" fieldPosition="0">
        <references count="2">
          <reference field="0" count="1" selected="0">
            <x v="90"/>
          </reference>
          <reference field="1" count="1">
            <x v="47"/>
          </reference>
        </references>
      </pivotArea>
    </format>
    <format dxfId="1819">
      <pivotArea dataOnly="0" labelOnly="1" outline="0" fieldPosition="0">
        <references count="2">
          <reference field="0" count="1" selected="0">
            <x v="91"/>
          </reference>
          <reference field="1" count="1">
            <x v="54"/>
          </reference>
        </references>
      </pivotArea>
    </format>
    <format dxfId="1818">
      <pivotArea dataOnly="0" labelOnly="1" outline="0" fieldPosition="0">
        <references count="2">
          <reference field="0" count="1" selected="0">
            <x v="92"/>
          </reference>
          <reference field="1" count="1">
            <x v="55"/>
          </reference>
        </references>
      </pivotArea>
    </format>
    <format dxfId="1817">
      <pivotArea dataOnly="0" labelOnly="1" outline="0" fieldPosition="0">
        <references count="2">
          <reference field="0" count="1" selected="0">
            <x v="93"/>
          </reference>
          <reference field="1" count="1">
            <x v="91"/>
          </reference>
        </references>
      </pivotArea>
    </format>
    <format dxfId="1816">
      <pivotArea dataOnly="0" labelOnly="1" outline="0" fieldPosition="0">
        <references count="2">
          <reference field="0" count="1" selected="0">
            <x v="94"/>
          </reference>
          <reference field="1" count="1">
            <x v="94"/>
          </reference>
        </references>
      </pivotArea>
    </format>
    <format dxfId="1815">
      <pivotArea dataOnly="0" labelOnly="1" outline="0" fieldPosition="0">
        <references count="2">
          <reference field="0" count="1" selected="0">
            <x v="95"/>
          </reference>
          <reference field="1" count="1">
            <x v="95"/>
          </reference>
        </references>
      </pivotArea>
    </format>
    <format dxfId="1814">
      <pivotArea dataOnly="0" labelOnly="1" outline="0" fieldPosition="0">
        <references count="2">
          <reference field="0" count="1" selected="0">
            <x v="96"/>
          </reference>
          <reference field="1" count="1">
            <x v="100"/>
          </reference>
        </references>
      </pivotArea>
    </format>
    <format dxfId="1813">
      <pivotArea dataOnly="0" labelOnly="1" outline="0" fieldPosition="0">
        <references count="2">
          <reference field="0" count="1" selected="0">
            <x v="97"/>
          </reference>
          <reference field="1" count="1">
            <x v="50"/>
          </reference>
        </references>
      </pivotArea>
    </format>
    <format dxfId="1812">
      <pivotArea dataOnly="0" labelOnly="1" outline="0" fieldPosition="0">
        <references count="2">
          <reference field="0" count="1" selected="0">
            <x v="98"/>
          </reference>
          <reference field="1" count="1">
            <x v="52"/>
          </reference>
        </references>
      </pivotArea>
    </format>
    <format dxfId="1811">
      <pivotArea dataOnly="0" labelOnly="1" outline="0" fieldPosition="0">
        <references count="2">
          <reference field="0" count="1" selected="0">
            <x v="99"/>
          </reference>
          <reference field="1" count="1">
            <x v="85"/>
          </reference>
        </references>
      </pivotArea>
    </format>
    <format dxfId="1810">
      <pivotArea dataOnly="0" labelOnly="1" outline="0" fieldPosition="0">
        <references count="2">
          <reference field="0" count="1" selected="0">
            <x v="100"/>
          </reference>
          <reference field="1" count="1">
            <x v="61"/>
          </reference>
        </references>
      </pivotArea>
    </format>
    <format dxfId="1809">
      <pivotArea dataOnly="0" labelOnly="1" outline="0" fieldPosition="0">
        <references count="3">
          <reference field="0" count="1" selected="0">
            <x v="0"/>
          </reference>
          <reference field="1" count="1" selected="0">
            <x v="4"/>
          </reference>
          <reference field="2" count="1">
            <x v="1"/>
          </reference>
        </references>
      </pivotArea>
    </format>
    <format dxfId="1808">
      <pivotArea dataOnly="0" labelOnly="1" outline="0" fieldPosition="0">
        <references count="3">
          <reference field="0" count="1" selected="0">
            <x v="1"/>
          </reference>
          <reference field="1" count="1" selected="0">
            <x v="7"/>
          </reference>
          <reference field="2" count="1">
            <x v="2"/>
          </reference>
        </references>
      </pivotArea>
    </format>
    <format dxfId="1807">
      <pivotArea dataOnly="0" labelOnly="1" outline="0" fieldPosition="0">
        <references count="3">
          <reference field="0" count="1" selected="0">
            <x v="3"/>
          </reference>
          <reference field="1" count="1" selected="0">
            <x v="13"/>
          </reference>
          <reference field="2" count="1">
            <x v="3"/>
          </reference>
        </references>
      </pivotArea>
    </format>
    <format dxfId="1806">
      <pivotArea dataOnly="0" labelOnly="1" outline="0" fieldPosition="0">
        <references count="3">
          <reference field="0" count="1" selected="0">
            <x v="4"/>
          </reference>
          <reference field="1" count="1" selected="0">
            <x v="15"/>
          </reference>
          <reference field="2" count="1">
            <x v="2"/>
          </reference>
        </references>
      </pivotArea>
    </format>
    <format dxfId="1805">
      <pivotArea dataOnly="0" labelOnly="1" outline="0" fieldPosition="0">
        <references count="3">
          <reference field="0" count="1" selected="0">
            <x v="5"/>
          </reference>
          <reference field="1" count="1" selected="0">
            <x v="18"/>
          </reference>
          <reference field="2" count="1">
            <x v="1"/>
          </reference>
        </references>
      </pivotArea>
    </format>
    <format dxfId="1804">
      <pivotArea dataOnly="0" labelOnly="1" outline="0" fieldPosition="0">
        <references count="3">
          <reference field="0" count="1" selected="0">
            <x v="6"/>
          </reference>
          <reference field="1" count="1" selected="0">
            <x v="19"/>
          </reference>
          <reference field="2" count="1">
            <x v="6"/>
          </reference>
        </references>
      </pivotArea>
    </format>
    <format dxfId="1803">
      <pivotArea dataOnly="0" labelOnly="1" outline="0" fieldPosition="0">
        <references count="3">
          <reference field="0" count="1" selected="0">
            <x v="7"/>
          </reference>
          <reference field="1" count="1" selected="0">
            <x v="20"/>
          </reference>
          <reference field="2" count="1">
            <x v="2"/>
          </reference>
        </references>
      </pivotArea>
    </format>
    <format dxfId="1802">
      <pivotArea dataOnly="0" labelOnly="1" outline="0" fieldPosition="0">
        <references count="3">
          <reference field="0" count="1" selected="0">
            <x v="9"/>
          </reference>
          <reference field="1" count="1" selected="0">
            <x v="23"/>
          </reference>
          <reference field="2" count="1">
            <x v="1"/>
          </reference>
        </references>
      </pivotArea>
    </format>
    <format dxfId="1801">
      <pivotArea dataOnly="0" labelOnly="1" outline="0" fieldPosition="0">
        <references count="3">
          <reference field="0" count="1" selected="0">
            <x v="10"/>
          </reference>
          <reference field="1" count="1" selected="0">
            <x v="26"/>
          </reference>
          <reference field="2" count="1">
            <x v="2"/>
          </reference>
        </references>
      </pivotArea>
    </format>
    <format dxfId="1800">
      <pivotArea dataOnly="0" labelOnly="1" outline="0" fieldPosition="0">
        <references count="3">
          <reference field="0" count="1" selected="0">
            <x v="11"/>
          </reference>
          <reference field="1" count="1" selected="0">
            <x v="28"/>
          </reference>
          <reference field="2" count="1">
            <x v="3"/>
          </reference>
        </references>
      </pivotArea>
    </format>
    <format dxfId="1799">
      <pivotArea dataOnly="0" labelOnly="1" outline="0" fieldPosition="0">
        <references count="3">
          <reference field="0" count="1" selected="0">
            <x v="13"/>
          </reference>
          <reference field="1" count="1" selected="0">
            <x v="30"/>
          </reference>
          <reference field="2" count="1">
            <x v="7"/>
          </reference>
        </references>
      </pivotArea>
    </format>
    <format dxfId="1798">
      <pivotArea dataOnly="0" labelOnly="1" outline="0" fieldPosition="0">
        <references count="3">
          <reference field="0" count="1" selected="0">
            <x v="14"/>
          </reference>
          <reference field="1" count="1" selected="0">
            <x v="34"/>
          </reference>
          <reference field="2" count="1">
            <x v="3"/>
          </reference>
        </references>
      </pivotArea>
    </format>
    <format dxfId="1797">
      <pivotArea dataOnly="0" labelOnly="1" outline="0" fieldPosition="0">
        <references count="3">
          <reference field="0" count="1" selected="0">
            <x v="15"/>
          </reference>
          <reference field="1" count="1" selected="0">
            <x v="35"/>
          </reference>
          <reference field="2" count="1">
            <x v="2"/>
          </reference>
        </references>
      </pivotArea>
    </format>
    <format dxfId="1796">
      <pivotArea dataOnly="0" labelOnly="1" outline="0" fieldPosition="0">
        <references count="3">
          <reference field="0" count="1" selected="0">
            <x v="16"/>
          </reference>
          <reference field="1" count="1" selected="0">
            <x v="36"/>
          </reference>
          <reference field="2" count="1">
            <x v="3"/>
          </reference>
        </references>
      </pivotArea>
    </format>
    <format dxfId="1795">
      <pivotArea dataOnly="0" labelOnly="1" outline="0" fieldPosition="0">
        <references count="3">
          <reference field="0" count="1" selected="0">
            <x v="19"/>
          </reference>
          <reference field="1" count="1" selected="0">
            <x v="39"/>
          </reference>
          <reference field="2" count="1">
            <x v="8"/>
          </reference>
        </references>
      </pivotArea>
    </format>
    <format dxfId="1794">
      <pivotArea dataOnly="0" labelOnly="1" outline="0" fieldPosition="0">
        <references count="3">
          <reference field="0" count="1" selected="0">
            <x v="20"/>
          </reference>
          <reference field="1" count="1" selected="0">
            <x v="42"/>
          </reference>
          <reference field="2" count="1">
            <x v="5"/>
          </reference>
        </references>
      </pivotArea>
    </format>
    <format dxfId="1793">
      <pivotArea dataOnly="0" labelOnly="1" outline="0" fieldPosition="0">
        <references count="3">
          <reference field="0" count="1" selected="0">
            <x v="21"/>
          </reference>
          <reference field="1" count="1" selected="0">
            <x v="45"/>
          </reference>
          <reference field="2" count="1">
            <x v="4"/>
          </reference>
        </references>
      </pivotArea>
    </format>
    <format dxfId="1792">
      <pivotArea dataOnly="0" labelOnly="1" outline="0" fieldPosition="0">
        <references count="3">
          <reference field="0" count="1" selected="0">
            <x v="23"/>
          </reference>
          <reference field="1" count="1" selected="0">
            <x v="48"/>
          </reference>
          <reference field="2" count="1">
            <x v="7"/>
          </reference>
        </references>
      </pivotArea>
    </format>
    <format dxfId="1791">
      <pivotArea dataOnly="0" labelOnly="1" outline="0" fieldPosition="0">
        <references count="3">
          <reference field="0" count="1" selected="0">
            <x v="24"/>
          </reference>
          <reference field="1" count="1" selected="0">
            <x v="51"/>
          </reference>
          <reference field="2" count="1">
            <x v="3"/>
          </reference>
        </references>
      </pivotArea>
    </format>
    <format dxfId="1790">
      <pivotArea dataOnly="0" labelOnly="1" outline="0" fieldPosition="0">
        <references count="3">
          <reference field="0" count="1" selected="0">
            <x v="26"/>
          </reference>
          <reference field="1" count="1" selected="0">
            <x v="56"/>
          </reference>
          <reference field="2" count="1">
            <x v="2"/>
          </reference>
        </references>
      </pivotArea>
    </format>
    <format dxfId="1789">
      <pivotArea dataOnly="0" labelOnly="1" outline="0" fieldPosition="0">
        <references count="3">
          <reference field="0" count="1" selected="0">
            <x v="33"/>
          </reference>
          <reference field="1" count="1" selected="0">
            <x v="63"/>
          </reference>
          <reference field="2" count="1">
            <x v="4"/>
          </reference>
        </references>
      </pivotArea>
    </format>
    <format dxfId="1788">
      <pivotArea dataOnly="0" labelOnly="1" outline="0" fieldPosition="0">
        <references count="3">
          <reference field="0" count="1" selected="0">
            <x v="34"/>
          </reference>
          <reference field="1" count="1" selected="0">
            <x v="65"/>
          </reference>
          <reference field="2" count="1">
            <x v="5"/>
          </reference>
        </references>
      </pivotArea>
    </format>
    <format dxfId="1787">
      <pivotArea dataOnly="0" labelOnly="1" outline="0" fieldPosition="0">
        <references count="3">
          <reference field="0" count="1" selected="0">
            <x v="36"/>
          </reference>
          <reference field="1" count="1" selected="0">
            <x v="67"/>
          </reference>
          <reference field="2" count="1">
            <x v="2"/>
          </reference>
        </references>
      </pivotArea>
    </format>
    <format dxfId="1786">
      <pivotArea dataOnly="0" labelOnly="1" outline="0" fieldPosition="0">
        <references count="3">
          <reference field="0" count="1" selected="0">
            <x v="37"/>
          </reference>
          <reference field="1" count="1" selected="0">
            <x v="68"/>
          </reference>
          <reference field="2" count="1">
            <x v="3"/>
          </reference>
        </references>
      </pivotArea>
    </format>
    <format dxfId="1785">
      <pivotArea dataOnly="0" labelOnly="1" outline="0" fieldPosition="0">
        <references count="3">
          <reference field="0" count="1" selected="0">
            <x v="39"/>
          </reference>
          <reference field="1" count="1" selected="0">
            <x v="71"/>
          </reference>
          <reference field="2" count="1">
            <x v="6"/>
          </reference>
        </references>
      </pivotArea>
    </format>
    <format dxfId="1784">
      <pivotArea dataOnly="0" labelOnly="1" outline="0" fieldPosition="0">
        <references count="3">
          <reference field="0" count="1" selected="0">
            <x v="41"/>
          </reference>
          <reference field="1" count="1" selected="0">
            <x v="73"/>
          </reference>
          <reference field="2" count="1">
            <x v="3"/>
          </reference>
        </references>
      </pivotArea>
    </format>
    <format dxfId="1783">
      <pivotArea dataOnly="0" labelOnly="1" outline="0" fieldPosition="0">
        <references count="3">
          <reference field="0" count="1" selected="0">
            <x v="42"/>
          </reference>
          <reference field="1" count="1" selected="0">
            <x v="74"/>
          </reference>
          <reference field="2" count="1">
            <x v="5"/>
          </reference>
        </references>
      </pivotArea>
    </format>
    <format dxfId="1782">
      <pivotArea dataOnly="0" labelOnly="1" outline="0" fieldPosition="0">
        <references count="3">
          <reference field="0" count="1" selected="0">
            <x v="43"/>
          </reference>
          <reference field="1" count="1" selected="0">
            <x v="75"/>
          </reference>
          <reference field="2" count="1">
            <x v="7"/>
          </reference>
        </references>
      </pivotArea>
    </format>
    <format dxfId="1781">
      <pivotArea dataOnly="0" labelOnly="1" outline="0" fieldPosition="0">
        <references count="3">
          <reference field="0" count="1" selected="0">
            <x v="44"/>
          </reference>
          <reference field="1" count="1" selected="0">
            <x v="76"/>
          </reference>
          <reference field="2" count="1">
            <x v="2"/>
          </reference>
        </references>
      </pivotArea>
    </format>
    <format dxfId="1780">
      <pivotArea dataOnly="0" labelOnly="1" outline="0" fieldPosition="0">
        <references count="3">
          <reference field="0" count="1" selected="0">
            <x v="45"/>
          </reference>
          <reference field="1" count="1" selected="0">
            <x v="70"/>
          </reference>
          <reference field="2" count="1">
            <x v="3"/>
          </reference>
        </references>
      </pivotArea>
    </format>
    <format dxfId="1779">
      <pivotArea dataOnly="0" labelOnly="1" outline="0" fieldPosition="0">
        <references count="3">
          <reference field="0" count="1" selected="0">
            <x v="46"/>
          </reference>
          <reference field="1" count="1" selected="0">
            <x v="77"/>
          </reference>
          <reference field="2" count="1">
            <x v="6"/>
          </reference>
        </references>
      </pivotArea>
    </format>
    <format dxfId="1778">
      <pivotArea dataOnly="0" labelOnly="1" outline="0" fieldPosition="0">
        <references count="3">
          <reference field="0" count="1" selected="0">
            <x v="47"/>
          </reference>
          <reference field="1" count="1" selected="0">
            <x v="78"/>
          </reference>
          <reference field="2" count="1">
            <x v="7"/>
          </reference>
        </references>
      </pivotArea>
    </format>
    <format dxfId="1777">
      <pivotArea dataOnly="0" labelOnly="1" outline="0" fieldPosition="0">
        <references count="3">
          <reference field="0" count="1" selected="0">
            <x v="48"/>
          </reference>
          <reference field="1" count="1" selected="0">
            <x v="79"/>
          </reference>
          <reference field="2" count="1">
            <x v="2"/>
          </reference>
        </references>
      </pivotArea>
    </format>
    <format dxfId="1776">
      <pivotArea dataOnly="0" labelOnly="1" outline="0" fieldPosition="0">
        <references count="3">
          <reference field="0" count="1" selected="0">
            <x v="49"/>
          </reference>
          <reference field="1" count="1" selected="0">
            <x v="80"/>
          </reference>
          <reference field="2" count="1">
            <x v="6"/>
          </reference>
        </references>
      </pivotArea>
    </format>
    <format dxfId="1775">
      <pivotArea dataOnly="0" labelOnly="1" outline="0" fieldPosition="0">
        <references count="3">
          <reference field="0" count="1" selected="0">
            <x v="50"/>
          </reference>
          <reference field="1" count="1" selected="0">
            <x v="81"/>
          </reference>
          <reference field="2" count="1">
            <x v="4"/>
          </reference>
        </references>
      </pivotArea>
    </format>
    <format dxfId="1774">
      <pivotArea dataOnly="0" labelOnly="1" outline="0" fieldPosition="0">
        <references count="3">
          <reference field="0" count="1" selected="0">
            <x v="51"/>
          </reference>
          <reference field="1" count="1" selected="0">
            <x v="82"/>
          </reference>
          <reference field="2" count="1">
            <x v="2"/>
          </reference>
        </references>
      </pivotArea>
    </format>
    <format dxfId="1773">
      <pivotArea dataOnly="0" labelOnly="1" outline="0" fieldPosition="0">
        <references count="3">
          <reference field="0" count="1" selected="0">
            <x v="53"/>
          </reference>
          <reference field="1" count="1" selected="0">
            <x v="84"/>
          </reference>
          <reference field="2" count="1">
            <x v="6"/>
          </reference>
        </references>
      </pivotArea>
    </format>
    <format dxfId="1772">
      <pivotArea dataOnly="0" labelOnly="1" outline="0" fieldPosition="0">
        <references count="3">
          <reference field="0" count="1" selected="0">
            <x v="54"/>
          </reference>
          <reference field="1" count="1" selected="0">
            <x v="86"/>
          </reference>
          <reference field="2" count="1">
            <x v="3"/>
          </reference>
        </references>
      </pivotArea>
    </format>
    <format dxfId="1771">
      <pivotArea dataOnly="0" labelOnly="1" outline="0" fieldPosition="0">
        <references count="3">
          <reference field="0" count="1" selected="0">
            <x v="57"/>
          </reference>
          <reference field="1" count="1" selected="0">
            <x v="89"/>
          </reference>
          <reference field="2" count="1">
            <x v="8"/>
          </reference>
        </references>
      </pivotArea>
    </format>
    <format dxfId="1770">
      <pivotArea dataOnly="0" labelOnly="1" outline="0" fieldPosition="0">
        <references count="3">
          <reference field="0" count="1" selected="0">
            <x v="58"/>
          </reference>
          <reference field="1" count="1" selected="0">
            <x v="90"/>
          </reference>
          <reference field="2" count="1">
            <x v="3"/>
          </reference>
        </references>
      </pivotArea>
    </format>
    <format dxfId="1769">
      <pivotArea dataOnly="0" labelOnly="1" outline="0" fieldPosition="0">
        <references count="3">
          <reference field="0" count="1" selected="0">
            <x v="59"/>
          </reference>
          <reference field="1" count="1" selected="0">
            <x v="92"/>
          </reference>
          <reference field="2" count="1">
            <x v="2"/>
          </reference>
        </references>
      </pivotArea>
    </format>
    <format dxfId="1768">
      <pivotArea dataOnly="0" labelOnly="1" outline="0" fieldPosition="0">
        <references count="3">
          <reference field="0" count="1" selected="0">
            <x v="60"/>
          </reference>
          <reference field="1" count="1" selected="0">
            <x v="96"/>
          </reference>
          <reference field="2" count="1">
            <x v="8"/>
          </reference>
        </references>
      </pivotArea>
    </format>
    <format dxfId="1767">
      <pivotArea dataOnly="0" labelOnly="1" outline="0" fieldPosition="0">
        <references count="3">
          <reference field="0" count="1" selected="0">
            <x v="61"/>
          </reference>
          <reference field="1" count="1" selected="0">
            <x v="97"/>
          </reference>
          <reference field="2" count="1">
            <x v="4"/>
          </reference>
        </references>
      </pivotArea>
    </format>
    <format dxfId="1766">
      <pivotArea dataOnly="0" labelOnly="1" outline="0" fieldPosition="0">
        <references count="3">
          <reference field="0" count="1" selected="0">
            <x v="62"/>
          </reference>
          <reference field="1" count="1" selected="0">
            <x v="98"/>
          </reference>
          <reference field="2" count="1">
            <x v="8"/>
          </reference>
        </references>
      </pivotArea>
    </format>
    <format dxfId="1765">
      <pivotArea dataOnly="0" labelOnly="1" outline="0" fieldPosition="0">
        <references count="3">
          <reference field="0" count="1" selected="0">
            <x v="63"/>
          </reference>
          <reference field="1" count="1" selected="0">
            <x v="99"/>
          </reference>
          <reference field="2" count="1">
            <x v="3"/>
          </reference>
        </references>
      </pivotArea>
    </format>
    <format dxfId="1764">
      <pivotArea dataOnly="0" labelOnly="1" outline="0" fieldPosition="0">
        <references count="3">
          <reference field="0" count="1" selected="0">
            <x v="64"/>
          </reference>
          <reference field="1" count="1" selected="0">
            <x v="11"/>
          </reference>
          <reference field="2" count="1">
            <x v="2"/>
          </reference>
        </references>
      </pivotArea>
    </format>
    <format dxfId="1763">
      <pivotArea dataOnly="0" labelOnly="1" outline="0" fieldPosition="0">
        <references count="3">
          <reference field="0" count="1" selected="0">
            <x v="65"/>
          </reference>
          <reference field="1" count="1" selected="0">
            <x v="12"/>
          </reference>
          <reference field="2" count="1">
            <x v="3"/>
          </reference>
        </references>
      </pivotArea>
    </format>
    <format dxfId="1762">
      <pivotArea dataOnly="0" labelOnly="1" outline="0" fieldPosition="0">
        <references count="3">
          <reference field="0" count="1" selected="0">
            <x v="66"/>
          </reference>
          <reference field="1" count="1" selected="0">
            <x v="49"/>
          </reference>
          <reference field="2" count="1">
            <x v="4"/>
          </reference>
        </references>
      </pivotArea>
    </format>
    <format dxfId="1761">
      <pivotArea dataOnly="0" labelOnly="1" outline="0" fieldPosition="0">
        <references count="3">
          <reference field="0" count="1" selected="0">
            <x v="68"/>
          </reference>
          <reference field="1" count="1" selected="0">
            <x v="0"/>
          </reference>
          <reference field="2" count="1">
            <x v="3"/>
          </reference>
        </references>
      </pivotArea>
    </format>
    <format dxfId="1760">
      <pivotArea dataOnly="0" labelOnly="1" outline="0" fieldPosition="0">
        <references count="3">
          <reference field="0" count="1" selected="0">
            <x v="72"/>
          </reference>
          <reference field="1" count="1" selected="0">
            <x v="5"/>
          </reference>
          <reference field="2" count="1">
            <x v="5"/>
          </reference>
        </references>
      </pivotArea>
    </format>
    <format dxfId="1759">
      <pivotArea dataOnly="0" labelOnly="1" outline="0" fieldPosition="0">
        <references count="3">
          <reference field="0" count="1" selected="0">
            <x v="73"/>
          </reference>
          <reference field="1" count="1" selected="0">
            <x v="6"/>
          </reference>
          <reference field="2" count="1">
            <x v="2"/>
          </reference>
        </references>
      </pivotArea>
    </format>
    <format dxfId="1758">
      <pivotArea dataOnly="0" labelOnly="1" outline="0" fieldPosition="0">
        <references count="3">
          <reference field="0" count="1" selected="0">
            <x v="74"/>
          </reference>
          <reference field="1" count="1" selected="0">
            <x v="8"/>
          </reference>
          <reference field="2" count="1">
            <x v="3"/>
          </reference>
        </references>
      </pivotArea>
    </format>
    <format dxfId="1757">
      <pivotArea dataOnly="0" labelOnly="1" outline="0" fieldPosition="0">
        <references count="3">
          <reference field="0" count="1" selected="0">
            <x v="79"/>
          </reference>
          <reference field="1" count="1" selected="0">
            <x v="22"/>
          </reference>
          <reference field="2" count="1">
            <x v="8"/>
          </reference>
        </references>
      </pivotArea>
    </format>
    <format dxfId="1756">
      <pivotArea dataOnly="0" labelOnly="1" outline="0" fieldPosition="0">
        <references count="3">
          <reference field="0" count="1" selected="0">
            <x v="80"/>
          </reference>
          <reference field="1" count="1" selected="0">
            <x v="24"/>
          </reference>
          <reference field="2" count="1">
            <x v="3"/>
          </reference>
        </references>
      </pivotArea>
    </format>
    <format dxfId="1755">
      <pivotArea dataOnly="0" labelOnly="1" outline="0" fieldPosition="0">
        <references count="3">
          <reference field="0" count="1" selected="0">
            <x v="82"/>
          </reference>
          <reference field="1" count="1" selected="0">
            <x v="27"/>
          </reference>
          <reference field="2" count="1">
            <x v="2"/>
          </reference>
        </references>
      </pivotArea>
    </format>
    <format dxfId="1754">
      <pivotArea dataOnly="0" labelOnly="1" outline="0" fieldPosition="0">
        <references count="3">
          <reference field="0" count="1" selected="0">
            <x v="83"/>
          </reference>
          <reference field="1" count="1" selected="0">
            <x v="31"/>
          </reference>
          <reference field="2" count="1">
            <x v="8"/>
          </reference>
        </references>
      </pivotArea>
    </format>
    <format dxfId="1753">
      <pivotArea dataOnly="0" labelOnly="1" outline="0" fieldPosition="0">
        <references count="3">
          <reference field="0" count="1" selected="0">
            <x v="84"/>
          </reference>
          <reference field="1" count="1" selected="0">
            <x v="32"/>
          </reference>
          <reference field="2" count="1">
            <x v="3"/>
          </reference>
        </references>
      </pivotArea>
    </format>
    <format dxfId="1752">
      <pivotArea dataOnly="0" labelOnly="1" outline="0" fieldPosition="0">
        <references count="3">
          <reference field="0" count="1" selected="0">
            <x v="85"/>
          </reference>
          <reference field="1" count="1" selected="0">
            <x v="33"/>
          </reference>
          <reference field="2" count="1">
            <x v="4"/>
          </reference>
        </references>
      </pivotArea>
    </format>
    <format dxfId="1751">
      <pivotArea dataOnly="0" labelOnly="1" outline="0" fieldPosition="0">
        <references count="3">
          <reference field="0" count="1" selected="0">
            <x v="86"/>
          </reference>
          <reference field="1" count="1" selected="0">
            <x v="40"/>
          </reference>
          <reference field="2" count="1">
            <x v="5"/>
          </reference>
        </references>
      </pivotArea>
    </format>
    <format dxfId="1750">
      <pivotArea dataOnly="0" labelOnly="1" outline="0" fieldPosition="0">
        <references count="3">
          <reference field="0" count="1" selected="0">
            <x v="87"/>
          </reference>
          <reference field="1" count="1" selected="0">
            <x v="41"/>
          </reference>
          <reference field="2" count="1">
            <x v="3"/>
          </reference>
        </references>
      </pivotArea>
    </format>
    <format dxfId="1749">
      <pivotArea dataOnly="0" labelOnly="1" outline="0" fieldPosition="0">
        <references count="3">
          <reference field="0" count="1" selected="0">
            <x v="88"/>
          </reference>
          <reference field="1" count="1" selected="0">
            <x v="43"/>
          </reference>
          <reference field="2" count="1">
            <x v="2"/>
          </reference>
        </references>
      </pivotArea>
    </format>
    <format dxfId="1748">
      <pivotArea dataOnly="0" labelOnly="1" outline="0" fieldPosition="0">
        <references count="3">
          <reference field="0" count="1" selected="0">
            <x v="90"/>
          </reference>
          <reference field="1" count="1" selected="0">
            <x v="47"/>
          </reference>
          <reference field="2" count="1">
            <x v="3"/>
          </reference>
        </references>
      </pivotArea>
    </format>
    <format dxfId="1747">
      <pivotArea dataOnly="0" labelOnly="1" outline="0" fieldPosition="0">
        <references count="3">
          <reference field="0" count="1" selected="0">
            <x v="93"/>
          </reference>
          <reference field="1" count="1" selected="0">
            <x v="91"/>
          </reference>
          <reference field="2" count="1">
            <x v="6"/>
          </reference>
        </references>
      </pivotArea>
    </format>
    <format dxfId="1746">
      <pivotArea dataOnly="0" labelOnly="1" outline="0" fieldPosition="0">
        <references count="3">
          <reference field="0" count="1" selected="0">
            <x v="94"/>
          </reference>
          <reference field="1" count="1" selected="0">
            <x v="94"/>
          </reference>
          <reference field="2" count="1">
            <x v="3"/>
          </reference>
        </references>
      </pivotArea>
    </format>
    <format dxfId="1745">
      <pivotArea dataOnly="0" labelOnly="1" outline="0" fieldPosition="0">
        <references count="3">
          <reference field="0" count="1" selected="0">
            <x v="97"/>
          </reference>
          <reference field="1" count="1" selected="0">
            <x v="50"/>
          </reference>
          <reference field="2" count="1">
            <x v="2"/>
          </reference>
        </references>
      </pivotArea>
    </format>
    <format dxfId="1744">
      <pivotArea dataOnly="0" labelOnly="1" outline="0" fieldPosition="0">
        <references count="3">
          <reference field="0" count="1" selected="0">
            <x v="98"/>
          </reference>
          <reference field="1" count="1" selected="0">
            <x v="52"/>
          </reference>
          <reference field="2" count="1">
            <x v="4"/>
          </reference>
        </references>
      </pivotArea>
    </format>
    <format dxfId="1743">
      <pivotArea dataOnly="0" labelOnly="1" outline="0" fieldPosition="0">
        <references count="3">
          <reference field="0" count="1" selected="0">
            <x v="100"/>
          </reference>
          <reference field="1" count="1" selected="0">
            <x v="61"/>
          </reference>
          <reference field="2" count="1">
            <x v="0"/>
          </reference>
        </references>
      </pivotArea>
    </format>
    <format dxfId="1742">
      <pivotArea dataOnly="0" labelOnly="1" outline="0" fieldPosition="0">
        <references count="4">
          <reference field="0" count="1" selected="0">
            <x v="0"/>
          </reference>
          <reference field="1" count="1" selected="0">
            <x v="4"/>
          </reference>
          <reference field="2" count="1" selected="0">
            <x v="1"/>
          </reference>
          <reference field="3" count="1">
            <x v="2"/>
          </reference>
        </references>
      </pivotArea>
    </format>
    <format dxfId="1741">
      <pivotArea dataOnly="0" labelOnly="1" outline="0" fieldPosition="0">
        <references count="4">
          <reference field="0" count="1" selected="0">
            <x v="1"/>
          </reference>
          <reference field="1" count="1" selected="0">
            <x v="7"/>
          </reference>
          <reference field="2" count="1" selected="0">
            <x v="2"/>
          </reference>
          <reference field="3" count="1">
            <x v="18"/>
          </reference>
        </references>
      </pivotArea>
    </format>
    <format dxfId="1740">
      <pivotArea dataOnly="0" labelOnly="1" outline="0" fieldPosition="0">
        <references count="4">
          <reference field="0" count="1" selected="0">
            <x v="2"/>
          </reference>
          <reference field="1" count="1" selected="0">
            <x v="10"/>
          </reference>
          <reference field="2" count="1" selected="0">
            <x v="2"/>
          </reference>
          <reference field="3" count="1">
            <x v="7"/>
          </reference>
        </references>
      </pivotArea>
    </format>
    <format dxfId="1739">
      <pivotArea dataOnly="0" labelOnly="1" outline="0" fieldPosition="0">
        <references count="4">
          <reference field="0" count="1" selected="0">
            <x v="3"/>
          </reference>
          <reference field="1" count="1" selected="0">
            <x v="13"/>
          </reference>
          <reference field="2" count="1" selected="0">
            <x v="3"/>
          </reference>
          <reference field="3" count="1">
            <x v="31"/>
          </reference>
        </references>
      </pivotArea>
    </format>
    <format dxfId="1738">
      <pivotArea dataOnly="0" labelOnly="1" outline="0" fieldPosition="0">
        <references count="4">
          <reference field="0" count="1" selected="0">
            <x v="4"/>
          </reference>
          <reference field="1" count="1" selected="0">
            <x v="15"/>
          </reference>
          <reference field="2" count="1" selected="0">
            <x v="2"/>
          </reference>
          <reference field="3" count="1">
            <x v="5"/>
          </reference>
        </references>
      </pivotArea>
    </format>
    <format dxfId="1737">
      <pivotArea dataOnly="0" labelOnly="1" outline="0" fieldPosition="0">
        <references count="4">
          <reference field="0" count="1" selected="0">
            <x v="5"/>
          </reference>
          <reference field="1" count="1" selected="0">
            <x v="18"/>
          </reference>
          <reference field="2" count="1" selected="0">
            <x v="1"/>
          </reference>
          <reference field="3" count="1">
            <x v="3"/>
          </reference>
        </references>
      </pivotArea>
    </format>
    <format dxfId="1736">
      <pivotArea dataOnly="0" labelOnly="1" outline="0" fieldPosition="0">
        <references count="4">
          <reference field="0" count="1" selected="0">
            <x v="6"/>
          </reference>
          <reference field="1" count="1" selected="0">
            <x v="19"/>
          </reference>
          <reference field="2" count="1" selected="0">
            <x v="6"/>
          </reference>
          <reference field="3" count="1">
            <x v="4"/>
          </reference>
        </references>
      </pivotArea>
    </format>
    <format dxfId="1735">
      <pivotArea dataOnly="0" labelOnly="1" outline="0" fieldPosition="0">
        <references count="4">
          <reference field="0" count="1" selected="0">
            <x v="7"/>
          </reference>
          <reference field="1" count="1" selected="0">
            <x v="20"/>
          </reference>
          <reference field="2" count="1" selected="0">
            <x v="2"/>
          </reference>
          <reference field="3" count="1">
            <x v="6"/>
          </reference>
        </references>
      </pivotArea>
    </format>
    <format dxfId="1734">
      <pivotArea dataOnly="0" labelOnly="1" outline="0" fieldPosition="0">
        <references count="4">
          <reference field="0" count="1" selected="0">
            <x v="9"/>
          </reference>
          <reference field="1" count="1" selected="0">
            <x v="23"/>
          </reference>
          <reference field="2" count="1" selected="0">
            <x v="1"/>
          </reference>
          <reference field="3" count="1">
            <x v="2"/>
          </reference>
        </references>
      </pivotArea>
    </format>
    <format dxfId="1733">
      <pivotArea dataOnly="0" labelOnly="1" outline="0" fieldPosition="0">
        <references count="4">
          <reference field="0" count="1" selected="0">
            <x v="10"/>
          </reference>
          <reference field="1" count="1" selected="0">
            <x v="26"/>
          </reference>
          <reference field="2" count="1" selected="0">
            <x v="2"/>
          </reference>
          <reference field="3" count="1">
            <x v="8"/>
          </reference>
        </references>
      </pivotArea>
    </format>
    <format dxfId="1732">
      <pivotArea dataOnly="0" labelOnly="1" outline="0" fieldPosition="0">
        <references count="4">
          <reference field="0" count="1" selected="0">
            <x v="11"/>
          </reference>
          <reference field="1" count="1" selected="0">
            <x v="28"/>
          </reference>
          <reference field="2" count="1" selected="0">
            <x v="3"/>
          </reference>
          <reference field="3" count="1">
            <x v="10"/>
          </reference>
        </references>
      </pivotArea>
    </format>
    <format dxfId="1731">
      <pivotArea dataOnly="0" labelOnly="1" outline="0" fieldPosition="0">
        <references count="4">
          <reference field="0" count="1" selected="0">
            <x v="13"/>
          </reference>
          <reference field="1" count="1" selected="0">
            <x v="30"/>
          </reference>
          <reference field="2" count="1" selected="0">
            <x v="7"/>
          </reference>
          <reference field="3" count="1">
            <x v="11"/>
          </reference>
        </references>
      </pivotArea>
    </format>
    <format dxfId="1730">
      <pivotArea dataOnly="0" labelOnly="1" outline="0" fieldPosition="0">
        <references count="4">
          <reference field="0" count="1" selected="0">
            <x v="14"/>
          </reference>
          <reference field="1" count="1" selected="0">
            <x v="34"/>
          </reference>
          <reference field="2" count="1" selected="0">
            <x v="3"/>
          </reference>
          <reference field="3" count="1">
            <x v="12"/>
          </reference>
        </references>
      </pivotArea>
    </format>
    <format dxfId="1729">
      <pivotArea dataOnly="0" labelOnly="1" outline="0" fieldPosition="0">
        <references count="4">
          <reference field="0" count="1" selected="0">
            <x v="15"/>
          </reference>
          <reference field="1" count="1" selected="0">
            <x v="35"/>
          </reference>
          <reference field="2" count="1" selected="0">
            <x v="2"/>
          </reference>
          <reference field="3" count="1">
            <x v="13"/>
          </reference>
        </references>
      </pivotArea>
    </format>
    <format dxfId="1728">
      <pivotArea dataOnly="0" labelOnly="1" outline="0" fieldPosition="0">
        <references count="4">
          <reference field="0" count="1" selected="0">
            <x v="16"/>
          </reference>
          <reference field="1" count="1" selected="0">
            <x v="36"/>
          </reference>
          <reference field="2" count="1" selected="0">
            <x v="3"/>
          </reference>
          <reference field="3" count="1">
            <x v="28"/>
          </reference>
        </references>
      </pivotArea>
    </format>
    <format dxfId="1727">
      <pivotArea dataOnly="0" labelOnly="1" outline="0" fieldPosition="0">
        <references count="4">
          <reference field="0" count="1" selected="0">
            <x v="17"/>
          </reference>
          <reference field="1" count="1" selected="0">
            <x v="37"/>
          </reference>
          <reference field="2" count="1" selected="0">
            <x v="3"/>
          </reference>
          <reference field="3" count="1">
            <x v="15"/>
          </reference>
        </references>
      </pivotArea>
    </format>
    <format dxfId="1726">
      <pivotArea dataOnly="0" labelOnly="1" outline="0" fieldPosition="0">
        <references count="4">
          <reference field="0" count="1" selected="0">
            <x v="19"/>
          </reference>
          <reference field="1" count="1" selected="0">
            <x v="39"/>
          </reference>
          <reference field="2" count="1" selected="0">
            <x v="8"/>
          </reference>
          <reference field="3" count="1">
            <x v="16"/>
          </reference>
        </references>
      </pivotArea>
    </format>
    <format dxfId="1725">
      <pivotArea dataOnly="0" labelOnly="1" outline="0" fieldPosition="0">
        <references count="4">
          <reference field="0" count="1" selected="0">
            <x v="20"/>
          </reference>
          <reference field="1" count="1" selected="0">
            <x v="42"/>
          </reference>
          <reference field="2" count="1" selected="0">
            <x v="5"/>
          </reference>
          <reference field="3" count="1">
            <x v="17"/>
          </reference>
        </references>
      </pivotArea>
    </format>
    <format dxfId="1724">
      <pivotArea dataOnly="0" labelOnly="1" outline="0" fieldPosition="0">
        <references count="4">
          <reference field="0" count="1" selected="0">
            <x v="21"/>
          </reference>
          <reference field="1" count="1" selected="0">
            <x v="45"/>
          </reference>
          <reference field="2" count="1" selected="0">
            <x v="4"/>
          </reference>
          <reference field="3" count="1">
            <x v="19"/>
          </reference>
        </references>
      </pivotArea>
    </format>
    <format dxfId="1723">
      <pivotArea dataOnly="0" labelOnly="1" outline="0" fieldPosition="0">
        <references count="4">
          <reference field="0" count="1" selected="0">
            <x v="23"/>
          </reference>
          <reference field="1" count="1" selected="0">
            <x v="48"/>
          </reference>
          <reference field="2" count="1" selected="0">
            <x v="7"/>
          </reference>
          <reference field="3" count="1">
            <x v="21"/>
          </reference>
        </references>
      </pivotArea>
    </format>
    <format dxfId="1722">
      <pivotArea dataOnly="0" labelOnly="1" outline="0" fieldPosition="0">
        <references count="4">
          <reference field="0" count="1" selected="0">
            <x v="24"/>
          </reference>
          <reference field="1" count="1" selected="0">
            <x v="51"/>
          </reference>
          <reference field="2" count="1" selected="0">
            <x v="3"/>
          </reference>
          <reference field="3" count="1">
            <x v="24"/>
          </reference>
        </references>
      </pivotArea>
    </format>
    <format dxfId="1721">
      <pivotArea dataOnly="0" labelOnly="1" outline="0" fieldPosition="0">
        <references count="4">
          <reference field="0" count="1" selected="0">
            <x v="25"/>
          </reference>
          <reference field="1" count="1" selected="0">
            <x v="53"/>
          </reference>
          <reference field="2" count="1" selected="0">
            <x v="3"/>
          </reference>
          <reference field="3" count="1">
            <x v="26"/>
          </reference>
        </references>
      </pivotArea>
    </format>
    <format dxfId="1720">
      <pivotArea dataOnly="0" labelOnly="1" outline="0" fieldPosition="0">
        <references count="4">
          <reference field="0" count="1" selected="0">
            <x v="26"/>
          </reference>
          <reference field="1" count="1" selected="0">
            <x v="56"/>
          </reference>
          <reference field="2" count="1" selected="0">
            <x v="2"/>
          </reference>
          <reference field="3" count="1">
            <x v="7"/>
          </reference>
        </references>
      </pivotArea>
    </format>
    <format dxfId="1719">
      <pivotArea dataOnly="0" labelOnly="1" outline="0" fieldPosition="0">
        <references count="4">
          <reference field="0" count="1" selected="0">
            <x v="27"/>
          </reference>
          <reference field="1" count="1" selected="0">
            <x v="57"/>
          </reference>
          <reference field="2" count="1" selected="0">
            <x v="2"/>
          </reference>
          <reference field="3" count="1">
            <x v="8"/>
          </reference>
        </references>
      </pivotArea>
    </format>
    <format dxfId="1718">
      <pivotArea dataOnly="0" labelOnly="1" outline="0" fieldPosition="0">
        <references count="4">
          <reference field="0" count="1" selected="0">
            <x v="33"/>
          </reference>
          <reference field="1" count="1" selected="0">
            <x v="63"/>
          </reference>
          <reference field="2" count="1" selected="0">
            <x v="4"/>
          </reference>
          <reference field="3" count="1">
            <x v="1"/>
          </reference>
        </references>
      </pivotArea>
    </format>
    <format dxfId="1717">
      <pivotArea dataOnly="0" labelOnly="1" outline="0" fieldPosition="0">
        <references count="4">
          <reference field="0" count="1" selected="0">
            <x v="34"/>
          </reference>
          <reference field="1" count="1" selected="0">
            <x v="65"/>
          </reference>
          <reference field="2" count="1" selected="0">
            <x v="5"/>
          </reference>
          <reference field="3" count="1">
            <x v="29"/>
          </reference>
        </references>
      </pivotArea>
    </format>
    <format dxfId="1716">
      <pivotArea dataOnly="0" labelOnly="1" outline="0" fieldPosition="0">
        <references count="4">
          <reference field="0" count="1" selected="0">
            <x v="36"/>
          </reference>
          <reference field="1" count="1" selected="0">
            <x v="67"/>
          </reference>
          <reference field="2" count="1" selected="0">
            <x v="2"/>
          </reference>
          <reference field="3" count="1">
            <x v="8"/>
          </reference>
        </references>
      </pivotArea>
    </format>
    <format dxfId="1715">
      <pivotArea dataOnly="0" labelOnly="1" outline="0" fieldPosition="0">
        <references count="4">
          <reference field="0" count="1" selected="0">
            <x v="37"/>
          </reference>
          <reference field="1" count="1" selected="0">
            <x v="68"/>
          </reference>
          <reference field="2" count="1" selected="0">
            <x v="3"/>
          </reference>
          <reference field="3" count="1">
            <x v="31"/>
          </reference>
        </references>
      </pivotArea>
    </format>
    <format dxfId="1714">
      <pivotArea dataOnly="0" labelOnly="1" outline="0" fieldPosition="0">
        <references count="4">
          <reference field="0" count="1" selected="0">
            <x v="39"/>
          </reference>
          <reference field="1" count="1" selected="0">
            <x v="71"/>
          </reference>
          <reference field="2" count="1" selected="0">
            <x v="6"/>
          </reference>
          <reference field="3" count="1">
            <x v="33"/>
          </reference>
        </references>
      </pivotArea>
    </format>
    <format dxfId="1713">
      <pivotArea dataOnly="0" labelOnly="1" outline="0" fieldPosition="0">
        <references count="4">
          <reference field="0" count="1" selected="0">
            <x v="41"/>
          </reference>
          <reference field="1" count="1" selected="0">
            <x v="73"/>
          </reference>
          <reference field="2" count="1" selected="0">
            <x v="3"/>
          </reference>
          <reference field="3" count="1">
            <x v="10"/>
          </reference>
        </references>
      </pivotArea>
    </format>
    <format dxfId="1712">
      <pivotArea dataOnly="0" labelOnly="1" outline="0" fieldPosition="0">
        <references count="4">
          <reference field="0" count="1" selected="0">
            <x v="42"/>
          </reference>
          <reference field="1" count="1" selected="0">
            <x v="74"/>
          </reference>
          <reference field="2" count="1" selected="0">
            <x v="5"/>
          </reference>
          <reference field="3" count="1">
            <x v="34"/>
          </reference>
        </references>
      </pivotArea>
    </format>
    <format dxfId="1711">
      <pivotArea dataOnly="0" labelOnly="1" outline="0" fieldPosition="0">
        <references count="4">
          <reference field="0" count="1" selected="0">
            <x v="43"/>
          </reference>
          <reference field="1" count="1" selected="0">
            <x v="75"/>
          </reference>
          <reference field="2" count="1" selected="0">
            <x v="7"/>
          </reference>
          <reference field="3" count="1">
            <x v="35"/>
          </reference>
        </references>
      </pivotArea>
    </format>
    <format dxfId="1710">
      <pivotArea dataOnly="0" labelOnly="1" outline="0" fieldPosition="0">
        <references count="4">
          <reference field="0" count="1" selected="0">
            <x v="44"/>
          </reference>
          <reference field="1" count="1" selected="0">
            <x v="76"/>
          </reference>
          <reference field="2" count="1" selected="0">
            <x v="2"/>
          </reference>
          <reference field="3" count="1">
            <x v="36"/>
          </reference>
        </references>
      </pivotArea>
    </format>
    <format dxfId="1709">
      <pivotArea dataOnly="0" labelOnly="1" outline="0" fieldPosition="0">
        <references count="4">
          <reference field="0" count="1" selected="0">
            <x v="45"/>
          </reference>
          <reference field="1" count="1" selected="0">
            <x v="70"/>
          </reference>
          <reference field="2" count="1" selected="0">
            <x v="3"/>
          </reference>
          <reference field="3" count="1">
            <x v="32"/>
          </reference>
        </references>
      </pivotArea>
    </format>
    <format dxfId="1708">
      <pivotArea dataOnly="0" labelOnly="1" outline="0" fieldPosition="0">
        <references count="4">
          <reference field="0" count="1" selected="0">
            <x v="46"/>
          </reference>
          <reference field="1" count="1" selected="0">
            <x v="77"/>
          </reference>
          <reference field="2" count="1" selected="0">
            <x v="6"/>
          </reference>
          <reference field="3" count="1">
            <x v="37"/>
          </reference>
        </references>
      </pivotArea>
    </format>
    <format dxfId="1707">
      <pivotArea dataOnly="0" labelOnly="1" outline="0" fieldPosition="0">
        <references count="4">
          <reference field="0" count="1" selected="0">
            <x v="47"/>
          </reference>
          <reference field="1" count="1" selected="0">
            <x v="78"/>
          </reference>
          <reference field="2" count="1" selected="0">
            <x v="7"/>
          </reference>
          <reference field="3" count="1">
            <x v="38"/>
          </reference>
        </references>
      </pivotArea>
    </format>
    <format dxfId="1706">
      <pivotArea dataOnly="0" labelOnly="1" outline="0" fieldPosition="0">
        <references count="4">
          <reference field="0" count="1" selected="0">
            <x v="48"/>
          </reference>
          <reference field="1" count="1" selected="0">
            <x v="79"/>
          </reference>
          <reference field="2" count="1" selected="0">
            <x v="2"/>
          </reference>
          <reference field="3" count="1">
            <x v="7"/>
          </reference>
        </references>
      </pivotArea>
    </format>
    <format dxfId="1705">
      <pivotArea dataOnly="0" labelOnly="1" outline="0" fieldPosition="0">
        <references count="4">
          <reference field="0" count="1" selected="0">
            <x v="49"/>
          </reference>
          <reference field="1" count="1" selected="0">
            <x v="80"/>
          </reference>
          <reference field="2" count="1" selected="0">
            <x v="6"/>
          </reference>
          <reference field="3" count="1">
            <x v="39"/>
          </reference>
        </references>
      </pivotArea>
    </format>
    <format dxfId="1704">
      <pivotArea dataOnly="0" labelOnly="1" outline="0" fieldPosition="0">
        <references count="4">
          <reference field="0" count="1" selected="0">
            <x v="50"/>
          </reference>
          <reference field="1" count="1" selected="0">
            <x v="81"/>
          </reference>
          <reference field="2" count="1" selected="0">
            <x v="4"/>
          </reference>
          <reference field="3" count="1">
            <x v="1"/>
          </reference>
        </references>
      </pivotArea>
    </format>
    <format dxfId="1703">
      <pivotArea dataOnly="0" labelOnly="1" outline="0" fieldPosition="0">
        <references count="4">
          <reference field="0" count="1" selected="0">
            <x v="51"/>
          </reference>
          <reference field="1" count="1" selected="0">
            <x v="82"/>
          </reference>
          <reference field="2" count="1" selected="0">
            <x v="2"/>
          </reference>
          <reference field="3" count="1">
            <x v="8"/>
          </reference>
        </references>
      </pivotArea>
    </format>
    <format dxfId="1702">
      <pivotArea dataOnly="0" labelOnly="1" outline="0" fieldPosition="0">
        <references count="4">
          <reference field="0" count="1" selected="0">
            <x v="52"/>
          </reference>
          <reference field="1" count="1" selected="0">
            <x v="83"/>
          </reference>
          <reference field="2" count="1" selected="0">
            <x v="2"/>
          </reference>
          <reference field="3" count="1">
            <x v="7"/>
          </reference>
        </references>
      </pivotArea>
    </format>
    <format dxfId="1701">
      <pivotArea dataOnly="0" labelOnly="1" outline="0" fieldPosition="0">
        <references count="4">
          <reference field="0" count="1" selected="0">
            <x v="53"/>
          </reference>
          <reference field="1" count="1" selected="0">
            <x v="84"/>
          </reference>
          <reference field="2" count="1" selected="0">
            <x v="6"/>
          </reference>
          <reference field="3" count="1">
            <x v="30"/>
          </reference>
        </references>
      </pivotArea>
    </format>
    <format dxfId="1700">
      <pivotArea dataOnly="0" labelOnly="1" outline="0" fieldPosition="0">
        <references count="4">
          <reference field="0" count="1" selected="0">
            <x v="54"/>
          </reference>
          <reference field="1" count="1" selected="0">
            <x v="86"/>
          </reference>
          <reference field="2" count="1" selected="0">
            <x v="3"/>
          </reference>
          <reference field="3" count="1">
            <x v="41"/>
          </reference>
        </references>
      </pivotArea>
    </format>
    <format dxfId="1699">
      <pivotArea dataOnly="0" labelOnly="1" outline="0" fieldPosition="0">
        <references count="4">
          <reference field="0" count="1" selected="0">
            <x v="57"/>
          </reference>
          <reference field="1" count="1" selected="0">
            <x v="89"/>
          </reference>
          <reference field="2" count="1" selected="0">
            <x v="8"/>
          </reference>
          <reference field="3" count="1">
            <x v="27"/>
          </reference>
        </references>
      </pivotArea>
    </format>
    <format dxfId="1698">
      <pivotArea dataOnly="0" labelOnly="1" outline="0" fieldPosition="0">
        <references count="4">
          <reference field="0" count="1" selected="0">
            <x v="58"/>
          </reference>
          <reference field="1" count="1" selected="0">
            <x v="90"/>
          </reference>
          <reference field="2" count="1" selected="0">
            <x v="3"/>
          </reference>
          <reference field="3" count="1">
            <x v="14"/>
          </reference>
        </references>
      </pivotArea>
    </format>
    <format dxfId="1697">
      <pivotArea dataOnly="0" labelOnly="1" outline="0" fieldPosition="0">
        <references count="4">
          <reference field="0" count="1" selected="0">
            <x v="59"/>
          </reference>
          <reference field="1" count="1" selected="0">
            <x v="92"/>
          </reference>
          <reference field="2" count="1" selected="0">
            <x v="2"/>
          </reference>
          <reference field="3" count="1">
            <x v="7"/>
          </reference>
        </references>
      </pivotArea>
    </format>
    <format dxfId="1696">
      <pivotArea dataOnly="0" labelOnly="1" outline="0" fieldPosition="0">
        <references count="4">
          <reference field="0" count="1" selected="0">
            <x v="60"/>
          </reference>
          <reference field="1" count="1" selected="0">
            <x v="96"/>
          </reference>
          <reference field="2" count="1" selected="0">
            <x v="8"/>
          </reference>
          <reference field="3" count="1">
            <x v="44"/>
          </reference>
        </references>
      </pivotArea>
    </format>
    <format dxfId="1695">
      <pivotArea dataOnly="0" labelOnly="1" outline="0" fieldPosition="0">
        <references count="4">
          <reference field="0" count="1" selected="0">
            <x v="61"/>
          </reference>
          <reference field="1" count="1" selected="0">
            <x v="97"/>
          </reference>
          <reference field="2" count="1" selected="0">
            <x v="4"/>
          </reference>
          <reference field="3" count="1">
            <x v="1"/>
          </reference>
        </references>
      </pivotArea>
    </format>
    <format dxfId="1694">
      <pivotArea dataOnly="0" labelOnly="1" outline="0" fieldPosition="0">
        <references count="4">
          <reference field="0" count="1" selected="0">
            <x v="62"/>
          </reference>
          <reference field="1" count="1" selected="0">
            <x v="98"/>
          </reference>
          <reference field="2" count="1" selected="0">
            <x v="8"/>
          </reference>
          <reference field="3" count="1">
            <x v="45"/>
          </reference>
        </references>
      </pivotArea>
    </format>
    <format dxfId="1693">
      <pivotArea dataOnly="0" labelOnly="1" outline="0" fieldPosition="0">
        <references count="4">
          <reference field="0" count="1" selected="0">
            <x v="63"/>
          </reference>
          <reference field="1" count="1" selected="0">
            <x v="99"/>
          </reference>
          <reference field="2" count="1" selected="0">
            <x v="3"/>
          </reference>
          <reference field="3" count="1">
            <x v="46"/>
          </reference>
        </references>
      </pivotArea>
    </format>
    <format dxfId="1692">
      <pivotArea dataOnly="0" labelOnly="1" outline="0" fieldPosition="0">
        <references count="4">
          <reference field="0" count="1" selected="0">
            <x v="64"/>
          </reference>
          <reference field="1" count="1" selected="0">
            <x v="11"/>
          </reference>
          <reference field="2" count="1" selected="0">
            <x v="2"/>
          </reference>
          <reference field="3" count="1">
            <x v="7"/>
          </reference>
        </references>
      </pivotArea>
    </format>
    <format dxfId="1691">
      <pivotArea dataOnly="0" labelOnly="1" outline="0" fieldPosition="0">
        <references count="4">
          <reference field="0" count="1" selected="0">
            <x v="65"/>
          </reference>
          <reference field="1" count="1" selected="0">
            <x v="12"/>
          </reference>
          <reference field="2" count="1" selected="0">
            <x v="3"/>
          </reference>
          <reference field="3" count="1">
            <x v="31"/>
          </reference>
        </references>
      </pivotArea>
    </format>
    <format dxfId="1690">
      <pivotArea dataOnly="0" labelOnly="1" outline="0" fieldPosition="0">
        <references count="4">
          <reference field="0" count="1" selected="0">
            <x v="66"/>
          </reference>
          <reference field="1" count="1" selected="0">
            <x v="49"/>
          </reference>
          <reference field="2" count="1" selected="0">
            <x v="4"/>
          </reference>
          <reference field="3" count="1">
            <x v="22"/>
          </reference>
        </references>
      </pivotArea>
    </format>
    <format dxfId="1689">
      <pivotArea dataOnly="0" labelOnly="1" outline="0" fieldPosition="0">
        <references count="4">
          <reference field="0" count="1" selected="0">
            <x v="67"/>
          </reference>
          <reference field="1" count="1" selected="0">
            <x v="64"/>
          </reference>
          <reference field="2" count="1" selected="0">
            <x v="4"/>
          </reference>
          <reference field="3" count="1">
            <x v="1"/>
          </reference>
        </references>
      </pivotArea>
    </format>
    <format dxfId="1688">
      <pivotArea dataOnly="0" labelOnly="1" outline="0" fieldPosition="0">
        <references count="4">
          <reference field="0" count="1" selected="0">
            <x v="68"/>
          </reference>
          <reference field="1" count="1" selected="0">
            <x v="0"/>
          </reference>
          <reference field="2" count="1" selected="0">
            <x v="3"/>
          </reference>
          <reference field="3" count="1">
            <x v="28"/>
          </reference>
        </references>
      </pivotArea>
    </format>
    <format dxfId="1687">
      <pivotArea dataOnly="0" labelOnly="1" outline="0" fieldPosition="0">
        <references count="4">
          <reference field="0" count="1" selected="0">
            <x v="69"/>
          </reference>
          <reference field="1" count="1" selected="0">
            <x v="1"/>
          </reference>
          <reference field="2" count="1" selected="0">
            <x v="3"/>
          </reference>
          <reference field="3" count="1">
            <x v="32"/>
          </reference>
        </references>
      </pivotArea>
    </format>
    <format dxfId="1686">
      <pivotArea dataOnly="0" labelOnly="1" outline="0" fieldPosition="0">
        <references count="4">
          <reference field="0" count="1" selected="0">
            <x v="70"/>
          </reference>
          <reference field="1" count="1" selected="0">
            <x v="2"/>
          </reference>
          <reference field="2" count="1" selected="0">
            <x v="3"/>
          </reference>
          <reference field="3" count="1">
            <x v="28"/>
          </reference>
        </references>
      </pivotArea>
    </format>
    <format dxfId="1685">
      <pivotArea dataOnly="0" labelOnly="1" outline="0" fieldPosition="0">
        <references count="4">
          <reference field="0" count="1" selected="0">
            <x v="72"/>
          </reference>
          <reference field="1" count="1" selected="0">
            <x v="5"/>
          </reference>
          <reference field="2" count="1" selected="0">
            <x v="5"/>
          </reference>
          <reference field="3" count="1">
            <x v="29"/>
          </reference>
        </references>
      </pivotArea>
    </format>
    <format dxfId="1684">
      <pivotArea dataOnly="0" labelOnly="1" outline="0" fieldPosition="0">
        <references count="4">
          <reference field="0" count="1" selected="0">
            <x v="73"/>
          </reference>
          <reference field="1" count="1" selected="0">
            <x v="6"/>
          </reference>
          <reference field="2" count="1" selected="0">
            <x v="2"/>
          </reference>
          <reference field="3" count="1">
            <x v="9"/>
          </reference>
        </references>
      </pivotArea>
    </format>
    <format dxfId="1683">
      <pivotArea dataOnly="0" labelOnly="1" outline="0" fieldPosition="0">
        <references count="4">
          <reference field="0" count="1" selected="0">
            <x v="74"/>
          </reference>
          <reference field="1" count="1" selected="0">
            <x v="8"/>
          </reference>
          <reference field="2" count="1" selected="0">
            <x v="3"/>
          </reference>
          <reference field="3" count="1">
            <x v="31"/>
          </reference>
        </references>
      </pivotArea>
    </format>
    <format dxfId="1682">
      <pivotArea dataOnly="0" labelOnly="1" outline="0" fieldPosition="0">
        <references count="4">
          <reference field="0" count="1" selected="0">
            <x v="75"/>
          </reference>
          <reference field="1" count="1" selected="0">
            <x v="9"/>
          </reference>
          <reference field="2" count="1" selected="0">
            <x v="3"/>
          </reference>
          <reference field="3" count="1">
            <x v="28"/>
          </reference>
        </references>
      </pivotArea>
    </format>
    <format dxfId="1681">
      <pivotArea dataOnly="0" labelOnly="1" outline="0" fieldPosition="0">
        <references count="4">
          <reference field="0" count="1" selected="0">
            <x v="76"/>
          </reference>
          <reference field="1" count="1" selected="0">
            <x v="14"/>
          </reference>
          <reference field="2" count="1" selected="0">
            <x v="3"/>
          </reference>
          <reference field="3" count="1">
            <x v="10"/>
          </reference>
        </references>
      </pivotArea>
    </format>
    <format dxfId="1680">
      <pivotArea dataOnly="0" labelOnly="1" outline="0" fieldPosition="0">
        <references count="4">
          <reference field="0" count="1" selected="0">
            <x v="78"/>
          </reference>
          <reference field="1" count="1" selected="0">
            <x v="17"/>
          </reference>
          <reference field="2" count="1" selected="0">
            <x v="3"/>
          </reference>
          <reference field="3" count="1">
            <x v="14"/>
          </reference>
        </references>
      </pivotArea>
    </format>
    <format dxfId="1679">
      <pivotArea dataOnly="0" labelOnly="1" outline="0" fieldPosition="0">
        <references count="4">
          <reference field="0" count="1" selected="0">
            <x v="79"/>
          </reference>
          <reference field="1" count="1" selected="0">
            <x v="22"/>
          </reference>
          <reference field="2" count="1" selected="0">
            <x v="8"/>
          </reference>
          <reference field="3" count="1">
            <x v="44"/>
          </reference>
        </references>
      </pivotArea>
    </format>
    <format dxfId="1678">
      <pivotArea dataOnly="0" labelOnly="1" outline="0" fieldPosition="0">
        <references count="4">
          <reference field="0" count="1" selected="0">
            <x v="80"/>
          </reference>
          <reference field="1" count="1" selected="0">
            <x v="24"/>
          </reference>
          <reference field="2" count="1" selected="0">
            <x v="3"/>
          </reference>
          <reference field="3" count="1">
            <x v="31"/>
          </reference>
        </references>
      </pivotArea>
    </format>
    <format dxfId="1677">
      <pivotArea dataOnly="0" labelOnly="1" outline="0" fieldPosition="0">
        <references count="4">
          <reference field="0" count="1" selected="0">
            <x v="81"/>
          </reference>
          <reference field="1" count="1" selected="0">
            <x v="25"/>
          </reference>
          <reference field="2" count="1" selected="0">
            <x v="3"/>
          </reference>
          <reference field="3" count="1">
            <x v="10"/>
          </reference>
        </references>
      </pivotArea>
    </format>
    <format dxfId="1676">
      <pivotArea dataOnly="0" labelOnly="1" outline="0" fieldPosition="0">
        <references count="4">
          <reference field="0" count="1" selected="0">
            <x v="82"/>
          </reference>
          <reference field="1" count="1" selected="0">
            <x v="27"/>
          </reference>
          <reference field="2" count="1" selected="0">
            <x v="2"/>
          </reference>
          <reference field="3" count="1">
            <x v="9"/>
          </reference>
        </references>
      </pivotArea>
    </format>
    <format dxfId="1675">
      <pivotArea dataOnly="0" labelOnly="1" outline="0" fieldPosition="0">
        <references count="4">
          <reference field="0" count="1" selected="0">
            <x v="83"/>
          </reference>
          <reference field="1" count="1" selected="0">
            <x v="31"/>
          </reference>
          <reference field="2" count="1" selected="0">
            <x v="8"/>
          </reference>
          <reference field="3" count="1">
            <x v="16"/>
          </reference>
        </references>
      </pivotArea>
    </format>
    <format dxfId="1674">
      <pivotArea dataOnly="0" labelOnly="1" outline="0" fieldPosition="0">
        <references count="4">
          <reference field="0" count="1" selected="0">
            <x v="84"/>
          </reference>
          <reference field="1" count="1" selected="0">
            <x v="32"/>
          </reference>
          <reference field="2" count="1" selected="0">
            <x v="3"/>
          </reference>
          <reference field="3" count="1">
            <x v="10"/>
          </reference>
        </references>
      </pivotArea>
    </format>
    <format dxfId="1673">
      <pivotArea dataOnly="0" labelOnly="1" outline="0" fieldPosition="0">
        <references count="4">
          <reference field="0" count="1" selected="0">
            <x v="85"/>
          </reference>
          <reference field="1" count="1" selected="0">
            <x v="33"/>
          </reference>
          <reference field="2" count="1" selected="0">
            <x v="4"/>
          </reference>
          <reference field="3" count="1">
            <x v="1"/>
          </reference>
        </references>
      </pivotArea>
    </format>
    <format dxfId="1672">
      <pivotArea dataOnly="0" labelOnly="1" outline="0" fieldPosition="0">
        <references count="4">
          <reference field="0" count="1" selected="0">
            <x v="86"/>
          </reference>
          <reference field="1" count="1" selected="0">
            <x v="40"/>
          </reference>
          <reference field="2" count="1" selected="0">
            <x v="5"/>
          </reference>
          <reference field="3" count="1">
            <x v="29"/>
          </reference>
        </references>
      </pivotArea>
    </format>
    <format dxfId="1671">
      <pivotArea dataOnly="0" labelOnly="1" outline="0" fieldPosition="0">
        <references count="4">
          <reference field="0" count="1" selected="0">
            <x v="87"/>
          </reference>
          <reference field="1" count="1" selected="0">
            <x v="41"/>
          </reference>
          <reference field="2" count="1" selected="0">
            <x v="3"/>
          </reference>
          <reference field="3" count="1">
            <x v="28"/>
          </reference>
        </references>
      </pivotArea>
    </format>
    <format dxfId="1670">
      <pivotArea dataOnly="0" labelOnly="1" outline="0" fieldPosition="0">
        <references count="4">
          <reference field="0" count="1" selected="0">
            <x v="88"/>
          </reference>
          <reference field="1" count="1" selected="0">
            <x v="43"/>
          </reference>
          <reference field="2" count="1" selected="0">
            <x v="2"/>
          </reference>
          <reference field="3" count="1">
            <x v="7"/>
          </reference>
        </references>
      </pivotArea>
    </format>
    <format dxfId="1669">
      <pivotArea dataOnly="0" labelOnly="1" outline="0" fieldPosition="0">
        <references count="4">
          <reference field="0" count="1" selected="0">
            <x v="90"/>
          </reference>
          <reference field="1" count="1" selected="0">
            <x v="47"/>
          </reference>
          <reference field="2" count="1" selected="0">
            <x v="3"/>
          </reference>
          <reference field="3" count="1">
            <x v="20"/>
          </reference>
        </references>
      </pivotArea>
    </format>
    <format dxfId="1668">
      <pivotArea dataOnly="0" labelOnly="1" outline="0" fieldPosition="0">
        <references count="4">
          <reference field="0" count="1" selected="0">
            <x v="91"/>
          </reference>
          <reference field="1" count="1" selected="0">
            <x v="54"/>
          </reference>
          <reference field="2" count="1" selected="0">
            <x v="3"/>
          </reference>
          <reference field="3" count="1">
            <x v="31"/>
          </reference>
        </references>
      </pivotArea>
    </format>
    <format dxfId="1667">
      <pivotArea dataOnly="0" labelOnly="1" outline="0" fieldPosition="0">
        <references count="4">
          <reference field="0" count="1" selected="0">
            <x v="93"/>
          </reference>
          <reference field="1" count="1" selected="0">
            <x v="91"/>
          </reference>
          <reference field="2" count="1" selected="0">
            <x v="6"/>
          </reference>
          <reference field="3" count="1">
            <x v="43"/>
          </reference>
        </references>
      </pivotArea>
    </format>
    <format dxfId="1666">
      <pivotArea dataOnly="0" labelOnly="1" outline="0" fieldPosition="0">
        <references count="4">
          <reference field="0" count="1" selected="0">
            <x v="94"/>
          </reference>
          <reference field="1" count="1" selected="0">
            <x v="94"/>
          </reference>
          <reference field="2" count="1" selected="0">
            <x v="3"/>
          </reference>
          <reference field="3" count="1">
            <x v="31"/>
          </reference>
        </references>
      </pivotArea>
    </format>
    <format dxfId="1665">
      <pivotArea dataOnly="0" labelOnly="1" outline="0" fieldPosition="0">
        <references count="4">
          <reference field="0" count="1" selected="0">
            <x v="95"/>
          </reference>
          <reference field="1" count="1" selected="0">
            <x v="95"/>
          </reference>
          <reference field="2" count="1" selected="0">
            <x v="3"/>
          </reference>
          <reference field="3" count="1">
            <x v="28"/>
          </reference>
        </references>
      </pivotArea>
    </format>
    <format dxfId="1664">
      <pivotArea dataOnly="0" labelOnly="1" outline="0" fieldPosition="0">
        <references count="4">
          <reference field="0" count="1" selected="0">
            <x v="96"/>
          </reference>
          <reference field="1" count="1" selected="0">
            <x v="100"/>
          </reference>
          <reference field="2" count="1" selected="0">
            <x v="3"/>
          </reference>
          <reference field="3" count="1">
            <x v="10"/>
          </reference>
        </references>
      </pivotArea>
    </format>
    <format dxfId="1663">
      <pivotArea dataOnly="0" labelOnly="1" outline="0" fieldPosition="0">
        <references count="4">
          <reference field="0" count="1" selected="0">
            <x v="97"/>
          </reference>
          <reference field="1" count="1" selected="0">
            <x v="50"/>
          </reference>
          <reference field="2" count="1" selected="0">
            <x v="2"/>
          </reference>
          <reference field="3" count="1">
            <x v="23"/>
          </reference>
        </references>
      </pivotArea>
    </format>
    <format dxfId="1662">
      <pivotArea dataOnly="0" labelOnly="1" outline="0" fieldPosition="0">
        <references count="4">
          <reference field="0" count="1" selected="0">
            <x v="98"/>
          </reference>
          <reference field="1" count="1" selected="0">
            <x v="52"/>
          </reference>
          <reference field="2" count="1" selected="0">
            <x v="4"/>
          </reference>
          <reference field="3" count="1">
            <x v="25"/>
          </reference>
        </references>
      </pivotArea>
    </format>
    <format dxfId="1661">
      <pivotArea dataOnly="0" labelOnly="1" outline="0" fieldPosition="0">
        <references count="4">
          <reference field="0" count="1" selected="0">
            <x v="99"/>
          </reference>
          <reference field="1" count="1" selected="0">
            <x v="85"/>
          </reference>
          <reference field="2" count="1" selected="0">
            <x v="4"/>
          </reference>
          <reference field="3" count="1">
            <x v="40"/>
          </reference>
        </references>
      </pivotArea>
    </format>
    <format dxfId="1660">
      <pivotArea dataOnly="0" labelOnly="1" outline="0" fieldPosition="0">
        <references count="4">
          <reference field="0" count="1" selected="0">
            <x v="100"/>
          </reference>
          <reference field="1" count="1" selected="0">
            <x v="61"/>
          </reference>
          <reference field="2" count="1" selected="0">
            <x v="0"/>
          </reference>
          <reference field="3" count="1">
            <x v="0"/>
          </reference>
        </references>
      </pivotArea>
    </format>
    <format dxfId="1659">
      <pivotArea dataOnly="0" labelOnly="1" outline="0" fieldPosition="0">
        <references count="5">
          <reference field="0" count="1" selected="0">
            <x v="0"/>
          </reference>
          <reference field="1" count="1" selected="0">
            <x v="4"/>
          </reference>
          <reference field="2" count="1" selected="0">
            <x v="1"/>
          </reference>
          <reference field="3" count="1" selected="0">
            <x v="2"/>
          </reference>
          <reference field="4" count="1">
            <x v="2"/>
          </reference>
        </references>
      </pivotArea>
    </format>
    <format dxfId="1658">
      <pivotArea dataOnly="0" labelOnly="1" outline="0" fieldPosition="0">
        <references count="5">
          <reference field="0" count="1" selected="0">
            <x v="1"/>
          </reference>
          <reference field="1" count="1" selected="0">
            <x v="7"/>
          </reference>
          <reference field="2" count="1" selected="0">
            <x v="2"/>
          </reference>
          <reference field="3" count="1" selected="0">
            <x v="18"/>
          </reference>
          <reference field="4" count="1">
            <x v="38"/>
          </reference>
        </references>
      </pivotArea>
    </format>
    <format dxfId="1657">
      <pivotArea dataOnly="0" labelOnly="1" outline="0" fieldPosition="0">
        <references count="5">
          <reference field="0" count="1" selected="0">
            <x v="2"/>
          </reference>
          <reference field="1" count="1" selected="0">
            <x v="10"/>
          </reference>
          <reference field="2" count="1" selected="0">
            <x v="2"/>
          </reference>
          <reference field="3" count="1" selected="0">
            <x v="7"/>
          </reference>
          <reference field="4" count="1">
            <x v="3"/>
          </reference>
        </references>
      </pivotArea>
    </format>
    <format dxfId="1656">
      <pivotArea dataOnly="0" labelOnly="1" outline="0" fieldPosition="0">
        <references count="5">
          <reference field="0" count="1" selected="0">
            <x v="3"/>
          </reference>
          <reference field="1" count="1" selected="0">
            <x v="13"/>
          </reference>
          <reference field="2" count="1" selected="0">
            <x v="3"/>
          </reference>
          <reference field="3" count="1" selected="0">
            <x v="31"/>
          </reference>
          <reference field="4" count="1">
            <x v="4"/>
          </reference>
        </references>
      </pivotArea>
    </format>
    <format dxfId="1655">
      <pivotArea dataOnly="0" labelOnly="1" outline="0" fieldPosition="0">
        <references count="5">
          <reference field="0" count="1" selected="0">
            <x v="4"/>
          </reference>
          <reference field="1" count="1" selected="0">
            <x v="15"/>
          </reference>
          <reference field="2" count="1" selected="0">
            <x v="2"/>
          </reference>
          <reference field="3" count="1" selected="0">
            <x v="5"/>
          </reference>
          <reference field="4" count="1">
            <x v="5"/>
          </reference>
        </references>
      </pivotArea>
    </format>
    <format dxfId="1654">
      <pivotArea dataOnly="0" labelOnly="1" outline="0" fieldPosition="0">
        <references count="5">
          <reference field="0" count="1" selected="0">
            <x v="5"/>
          </reference>
          <reference field="1" count="1" selected="0">
            <x v="18"/>
          </reference>
          <reference field="2" count="1" selected="0">
            <x v="1"/>
          </reference>
          <reference field="3" count="1" selected="0">
            <x v="3"/>
          </reference>
          <reference field="4" count="1">
            <x v="11"/>
          </reference>
        </references>
      </pivotArea>
    </format>
    <format dxfId="1653">
      <pivotArea dataOnly="0" labelOnly="1" outline="0" fieldPosition="0">
        <references count="5">
          <reference field="0" count="1" selected="0">
            <x v="6"/>
          </reference>
          <reference field="1" count="1" selected="0">
            <x v="19"/>
          </reference>
          <reference field="2" count="1" selected="0">
            <x v="6"/>
          </reference>
          <reference field="3" count="1" selected="0">
            <x v="4"/>
          </reference>
          <reference field="4" count="1">
            <x v="61"/>
          </reference>
        </references>
      </pivotArea>
    </format>
    <format dxfId="1652">
      <pivotArea dataOnly="0" labelOnly="1" outline="0" fieldPosition="0">
        <references count="5">
          <reference field="0" count="1" selected="0">
            <x v="7"/>
          </reference>
          <reference field="1" count="1" selected="0">
            <x v="20"/>
          </reference>
          <reference field="2" count="1" selected="0">
            <x v="2"/>
          </reference>
          <reference field="3" count="1" selected="0">
            <x v="6"/>
          </reference>
          <reference field="4" count="1">
            <x v="39"/>
          </reference>
        </references>
      </pivotArea>
    </format>
    <format dxfId="1651">
      <pivotArea dataOnly="0" labelOnly="1" outline="0" fieldPosition="0">
        <references count="5">
          <reference field="0" count="1" selected="0">
            <x v="8"/>
          </reference>
          <reference field="1" count="1" selected="0">
            <x v="21"/>
          </reference>
          <reference field="2" count="1" selected="0">
            <x v="2"/>
          </reference>
          <reference field="3" count="1" selected="0">
            <x v="6"/>
          </reference>
          <reference field="4" count="1">
            <x v="27"/>
          </reference>
        </references>
      </pivotArea>
    </format>
    <format dxfId="1650">
      <pivotArea dataOnly="0" labelOnly="1" outline="0" fieldPosition="0">
        <references count="5">
          <reference field="0" count="1" selected="0">
            <x v="9"/>
          </reference>
          <reference field="1" count="1" selected="0">
            <x v="23"/>
          </reference>
          <reference field="2" count="1" selected="0">
            <x v="1"/>
          </reference>
          <reference field="3" count="1" selected="0">
            <x v="2"/>
          </reference>
          <reference field="4" count="1">
            <x v="28"/>
          </reference>
        </references>
      </pivotArea>
    </format>
    <format dxfId="1649">
      <pivotArea dataOnly="0" labelOnly="1" outline="0" fieldPosition="0">
        <references count="5">
          <reference field="0" count="1" selected="0">
            <x v="10"/>
          </reference>
          <reference field="1" count="1" selected="0">
            <x v="26"/>
          </reference>
          <reference field="2" count="1" selected="0">
            <x v="2"/>
          </reference>
          <reference field="3" count="1" selected="0">
            <x v="8"/>
          </reference>
          <reference field="4" count="1">
            <x v="42"/>
          </reference>
        </references>
      </pivotArea>
    </format>
    <format dxfId="1648">
      <pivotArea dataOnly="0" labelOnly="1" outline="0" fieldPosition="0">
        <references count="5">
          <reference field="0" count="1" selected="0">
            <x v="11"/>
          </reference>
          <reference field="1" count="1" selected="0">
            <x v="28"/>
          </reference>
          <reference field="2" count="1" selected="0">
            <x v="3"/>
          </reference>
          <reference field="3" count="1" selected="0">
            <x v="10"/>
          </reference>
          <reference field="4" count="1">
            <x v="21"/>
          </reference>
        </references>
      </pivotArea>
    </format>
    <format dxfId="1647">
      <pivotArea dataOnly="0" labelOnly="1" outline="0" fieldPosition="0">
        <references count="5">
          <reference field="0" count="1" selected="0">
            <x v="12"/>
          </reference>
          <reference field="1" count="1" selected="0">
            <x v="29"/>
          </reference>
          <reference field="2" count="1" selected="0">
            <x v="3"/>
          </reference>
          <reference field="3" count="1" selected="0">
            <x v="10"/>
          </reference>
          <reference field="4" count="1">
            <x v="33"/>
          </reference>
        </references>
      </pivotArea>
    </format>
    <format dxfId="1646">
      <pivotArea dataOnly="0" labelOnly="1" outline="0" fieldPosition="0">
        <references count="5">
          <reference field="0" count="1" selected="0">
            <x v="13"/>
          </reference>
          <reference field="1" count="1" selected="0">
            <x v="30"/>
          </reference>
          <reference field="2" count="1" selected="0">
            <x v="7"/>
          </reference>
          <reference field="3" count="1" selected="0">
            <x v="11"/>
          </reference>
          <reference field="4" count="1">
            <x v="20"/>
          </reference>
        </references>
      </pivotArea>
    </format>
    <format dxfId="1645">
      <pivotArea dataOnly="0" labelOnly="1" outline="0" fieldPosition="0">
        <references count="5">
          <reference field="0" count="1" selected="0">
            <x v="14"/>
          </reference>
          <reference field="1" count="1" selected="0">
            <x v="34"/>
          </reference>
          <reference field="2" count="1" selected="0">
            <x v="3"/>
          </reference>
          <reference field="3" count="1" selected="0">
            <x v="12"/>
          </reference>
          <reference field="4" count="1">
            <x v="22"/>
          </reference>
        </references>
      </pivotArea>
    </format>
    <format dxfId="1644">
      <pivotArea dataOnly="0" labelOnly="1" outline="0" fieldPosition="0">
        <references count="5">
          <reference field="0" count="1" selected="0">
            <x v="15"/>
          </reference>
          <reference field="1" count="1" selected="0">
            <x v="35"/>
          </reference>
          <reference field="2" count="1" selected="0">
            <x v="2"/>
          </reference>
          <reference field="3" count="1" selected="0">
            <x v="13"/>
          </reference>
          <reference field="4" count="1">
            <x v="68"/>
          </reference>
        </references>
      </pivotArea>
    </format>
    <format dxfId="1643">
      <pivotArea dataOnly="0" labelOnly="1" outline="0" fieldPosition="0">
        <references count="5">
          <reference field="0" count="1" selected="0">
            <x v="16"/>
          </reference>
          <reference field="1" count="1" selected="0">
            <x v="36"/>
          </reference>
          <reference field="2" count="1" selected="0">
            <x v="3"/>
          </reference>
          <reference field="3" count="1" selected="0">
            <x v="28"/>
          </reference>
          <reference field="4" count="1">
            <x v="23"/>
          </reference>
        </references>
      </pivotArea>
    </format>
    <format dxfId="1642">
      <pivotArea dataOnly="0" labelOnly="1" outline="0" fieldPosition="0">
        <references count="5">
          <reference field="0" count="1" selected="0">
            <x v="17"/>
          </reference>
          <reference field="1" count="1" selected="0">
            <x v="37"/>
          </reference>
          <reference field="2" count="1" selected="0">
            <x v="3"/>
          </reference>
          <reference field="3" count="1" selected="0">
            <x v="15"/>
          </reference>
          <reference field="4" count="1">
            <x v="35"/>
          </reference>
        </references>
      </pivotArea>
    </format>
    <format dxfId="1641">
      <pivotArea dataOnly="0" labelOnly="1" outline="0" fieldPosition="0">
        <references count="5">
          <reference field="0" count="1" selected="0">
            <x v="18"/>
          </reference>
          <reference field="1" count="1" selected="0">
            <x v="38"/>
          </reference>
          <reference field="2" count="1" selected="0">
            <x v="3"/>
          </reference>
          <reference field="3" count="1" selected="0">
            <x v="15"/>
          </reference>
          <reference field="4" count="1">
            <x v="24"/>
          </reference>
        </references>
      </pivotArea>
    </format>
    <format dxfId="1640">
      <pivotArea dataOnly="0" labelOnly="1" outline="0" fieldPosition="0">
        <references count="5">
          <reference field="0" count="1" selected="0">
            <x v="19"/>
          </reference>
          <reference field="1" count="1" selected="0">
            <x v="39"/>
          </reference>
          <reference field="2" count="1" selected="0">
            <x v="8"/>
          </reference>
          <reference field="3" count="1" selected="0">
            <x v="16"/>
          </reference>
          <reference field="4" count="1">
            <x v="15"/>
          </reference>
        </references>
      </pivotArea>
    </format>
    <format dxfId="1639">
      <pivotArea dataOnly="0" labelOnly="1" outline="0" fieldPosition="0">
        <references count="5">
          <reference field="0" count="1" selected="0">
            <x v="20"/>
          </reference>
          <reference field="1" count="1" selected="0">
            <x v="42"/>
          </reference>
          <reference field="2" count="1" selected="0">
            <x v="5"/>
          </reference>
          <reference field="3" count="1" selected="0">
            <x v="17"/>
          </reference>
          <reference field="4" count="1">
            <x v="31"/>
          </reference>
        </references>
      </pivotArea>
    </format>
    <format dxfId="1638">
      <pivotArea dataOnly="0" labelOnly="1" outline="0" fieldPosition="0">
        <references count="5">
          <reference field="0" count="1" selected="0">
            <x v="21"/>
          </reference>
          <reference field="1" count="1" selected="0">
            <x v="45"/>
          </reference>
          <reference field="2" count="1" selected="0">
            <x v="4"/>
          </reference>
          <reference field="3" count="1" selected="0">
            <x v="19"/>
          </reference>
          <reference field="4" count="1">
            <x v="8"/>
          </reference>
        </references>
      </pivotArea>
    </format>
    <format dxfId="1637">
      <pivotArea dataOnly="0" labelOnly="1" outline="0" fieldPosition="0">
        <references count="5">
          <reference field="0" count="1" selected="0">
            <x v="22"/>
          </reference>
          <reference field="1" count="1" selected="0">
            <x v="46"/>
          </reference>
          <reference field="2" count="1" selected="0">
            <x v="4"/>
          </reference>
          <reference field="3" count="1" selected="0">
            <x v="19"/>
          </reference>
          <reference field="4" count="1">
            <x v="71"/>
          </reference>
        </references>
      </pivotArea>
    </format>
    <format dxfId="1636">
      <pivotArea dataOnly="0" labelOnly="1" outline="0" fieldPosition="0">
        <references count="5">
          <reference field="0" count="1" selected="0">
            <x v="23"/>
          </reference>
          <reference field="1" count="1" selected="0">
            <x v="48"/>
          </reference>
          <reference field="2" count="1" selected="0">
            <x v="7"/>
          </reference>
          <reference field="3" count="1" selected="0">
            <x v="21"/>
          </reference>
          <reference field="4" count="1">
            <x v="36"/>
          </reference>
        </references>
      </pivotArea>
    </format>
    <format dxfId="1635">
      <pivotArea dataOnly="0" labelOnly="1" outline="0" fieldPosition="0">
        <references count="5">
          <reference field="0" count="1" selected="0">
            <x v="24"/>
          </reference>
          <reference field="1" count="1" selected="0">
            <x v="51"/>
          </reference>
          <reference field="2" count="1" selected="0">
            <x v="3"/>
          </reference>
          <reference field="3" count="1" selected="0">
            <x v="24"/>
          </reference>
          <reference field="4" count="1">
            <x v="55"/>
          </reference>
        </references>
      </pivotArea>
    </format>
    <format dxfId="1634">
      <pivotArea dataOnly="0" labelOnly="1" outline="0" fieldPosition="0">
        <references count="5">
          <reference field="0" count="1" selected="0">
            <x v="25"/>
          </reference>
          <reference field="1" count="1" selected="0">
            <x v="53"/>
          </reference>
          <reference field="2" count="1" selected="0">
            <x v="3"/>
          </reference>
          <reference field="3" count="1" selected="0">
            <x v="26"/>
          </reference>
          <reference field="4" count="1">
            <x v="64"/>
          </reference>
        </references>
      </pivotArea>
    </format>
    <format dxfId="1633">
      <pivotArea dataOnly="0" labelOnly="1" outline="0" fieldPosition="0">
        <references count="5">
          <reference field="0" count="1" selected="0">
            <x v="26"/>
          </reference>
          <reference field="1" count="1" selected="0">
            <x v="56"/>
          </reference>
          <reference field="2" count="1" selected="0">
            <x v="2"/>
          </reference>
          <reference field="3" count="1" selected="0">
            <x v="7"/>
          </reference>
          <reference field="4" count="1">
            <x v="41"/>
          </reference>
        </references>
      </pivotArea>
    </format>
    <format dxfId="1632">
      <pivotArea dataOnly="0" labelOnly="1" outline="0" fieldPosition="0">
        <references count="5">
          <reference field="0" count="1" selected="0">
            <x v="27"/>
          </reference>
          <reference field="1" count="1" selected="0">
            <x v="57"/>
          </reference>
          <reference field="2" count="1" selected="0">
            <x v="2"/>
          </reference>
          <reference field="3" count="1" selected="0">
            <x v="8"/>
          </reference>
          <reference field="4" count="1">
            <x v="42"/>
          </reference>
        </references>
      </pivotArea>
    </format>
    <format dxfId="1631">
      <pivotArea dataOnly="0" labelOnly="1" outline="0" fieldPosition="0">
        <references count="5">
          <reference field="0" count="1" selected="0">
            <x v="30"/>
          </reference>
          <reference field="1" count="1" selected="0">
            <x v="60"/>
          </reference>
          <reference field="2" count="1" selected="0">
            <x v="2"/>
          </reference>
          <reference field="3" count="1" selected="0">
            <x v="8"/>
          </reference>
          <reference field="4" count="1">
            <x v="32"/>
          </reference>
        </references>
      </pivotArea>
    </format>
    <format dxfId="1630">
      <pivotArea dataOnly="0" labelOnly="1" outline="0" fieldPosition="0">
        <references count="5">
          <reference field="0" count="1" selected="0">
            <x v="31"/>
          </reference>
          <reference field="1" count="1" selected="0">
            <x v="62"/>
          </reference>
          <reference field="2" count="1" selected="0">
            <x v="2"/>
          </reference>
          <reference field="3" count="1" selected="0">
            <x v="8"/>
          </reference>
          <reference field="4" count="1">
            <x v="42"/>
          </reference>
        </references>
      </pivotArea>
    </format>
    <format dxfId="1629">
      <pivotArea dataOnly="0" labelOnly="1" outline="0" fieldPosition="0">
        <references count="5">
          <reference field="0" count="1" selected="0">
            <x v="33"/>
          </reference>
          <reference field="1" count="1" selected="0">
            <x v="63"/>
          </reference>
          <reference field="2" count="1" selected="0">
            <x v="4"/>
          </reference>
          <reference field="3" count="1" selected="0">
            <x v="1"/>
          </reference>
          <reference field="4" count="1">
            <x v="43"/>
          </reference>
        </references>
      </pivotArea>
    </format>
    <format dxfId="1628">
      <pivotArea dataOnly="0" labelOnly="1" outline="0" fieldPosition="0">
        <references count="5">
          <reference field="0" count="1" selected="0">
            <x v="34"/>
          </reference>
          <reference field="1" count="1" selected="0">
            <x v="65"/>
          </reference>
          <reference field="2" count="1" selected="0">
            <x v="5"/>
          </reference>
          <reference field="3" count="1" selected="0">
            <x v="29"/>
          </reference>
          <reference field="4" count="1">
            <x v="45"/>
          </reference>
        </references>
      </pivotArea>
    </format>
    <format dxfId="1627">
      <pivotArea dataOnly="0" labelOnly="1" outline="0" fieldPosition="0">
        <references count="5">
          <reference field="0" count="1" selected="0">
            <x v="35"/>
          </reference>
          <reference field="1" count="1" selected="0">
            <x v="66"/>
          </reference>
          <reference field="2" count="1" selected="0">
            <x v="5"/>
          </reference>
          <reference field="3" count="1" selected="0">
            <x v="29"/>
          </reference>
          <reference field="4" count="1">
            <x v="29"/>
          </reference>
        </references>
      </pivotArea>
    </format>
    <format dxfId="1626">
      <pivotArea dataOnly="0" labelOnly="1" outline="0" fieldPosition="0">
        <references count="5">
          <reference field="0" count="1" selected="0">
            <x v="36"/>
          </reference>
          <reference field="1" count="1" selected="0">
            <x v="67"/>
          </reference>
          <reference field="2" count="1" selected="0">
            <x v="2"/>
          </reference>
          <reference field="3" count="1" selected="0">
            <x v="8"/>
          </reference>
          <reference field="4" count="1">
            <x v="70"/>
          </reference>
        </references>
      </pivotArea>
    </format>
    <format dxfId="1625">
      <pivotArea dataOnly="0" labelOnly="1" outline="0" fieldPosition="0">
        <references count="5">
          <reference field="0" count="1" selected="0">
            <x v="37"/>
          </reference>
          <reference field="1" count="1" selected="0">
            <x v="68"/>
          </reference>
          <reference field="2" count="1" selected="0">
            <x v="3"/>
          </reference>
          <reference field="3" count="1" selected="0">
            <x v="31"/>
          </reference>
          <reference field="4" count="1">
            <x v="7"/>
          </reference>
        </references>
      </pivotArea>
    </format>
    <format dxfId="1624">
      <pivotArea dataOnly="0" labelOnly="1" outline="0" fieldPosition="0">
        <references count="5">
          <reference field="0" count="1" selected="0">
            <x v="38"/>
          </reference>
          <reference field="1" count="1" selected="0">
            <x v="69"/>
          </reference>
          <reference field="2" count="1" selected="0">
            <x v="3"/>
          </reference>
          <reference field="3" count="1" selected="0">
            <x v="31"/>
          </reference>
          <reference field="4" count="1">
            <x v="69"/>
          </reference>
        </references>
      </pivotArea>
    </format>
    <format dxfId="1623">
      <pivotArea dataOnly="0" labelOnly="1" outline="0" fieldPosition="0">
        <references count="5">
          <reference field="0" count="1" selected="0">
            <x v="39"/>
          </reference>
          <reference field="1" count="1" selected="0">
            <x v="71"/>
          </reference>
          <reference field="2" count="1" selected="0">
            <x v="6"/>
          </reference>
          <reference field="3" count="1" selected="0">
            <x v="33"/>
          </reference>
          <reference field="4" count="1">
            <x v="37"/>
          </reference>
        </references>
      </pivotArea>
    </format>
    <format dxfId="1622">
      <pivotArea dataOnly="0" labelOnly="1" outline="0" fieldPosition="0">
        <references count="5">
          <reference field="0" count="1" selected="0">
            <x v="40"/>
          </reference>
          <reference field="1" count="1" selected="0">
            <x v="72"/>
          </reference>
          <reference field="2" count="1" selected="0">
            <x v="6"/>
          </reference>
          <reference field="3" count="1" selected="0">
            <x v="33"/>
          </reference>
          <reference field="4" count="1">
            <x v="47"/>
          </reference>
        </references>
      </pivotArea>
    </format>
    <format dxfId="1621">
      <pivotArea dataOnly="0" labelOnly="1" outline="0" fieldPosition="0">
        <references count="5">
          <reference field="0" count="1" selected="0">
            <x v="41"/>
          </reference>
          <reference field="1" count="1" selected="0">
            <x v="73"/>
          </reference>
          <reference field="2" count="1" selected="0">
            <x v="3"/>
          </reference>
          <reference field="3" count="1" selected="0">
            <x v="10"/>
          </reference>
          <reference field="4" count="1">
            <x v="48"/>
          </reference>
        </references>
      </pivotArea>
    </format>
    <format dxfId="1620">
      <pivotArea dataOnly="0" labelOnly="1" outline="0" fieldPosition="0">
        <references count="5">
          <reference field="0" count="1" selected="0">
            <x v="42"/>
          </reference>
          <reference field="1" count="1" selected="0">
            <x v="74"/>
          </reference>
          <reference field="2" count="1" selected="0">
            <x v="5"/>
          </reference>
          <reference field="3" count="1" selected="0">
            <x v="34"/>
          </reference>
          <reference field="4" count="1">
            <x v="49"/>
          </reference>
        </references>
      </pivotArea>
    </format>
    <format dxfId="1619">
      <pivotArea dataOnly="0" labelOnly="1" outline="0" fieldPosition="0">
        <references count="5">
          <reference field="0" count="1" selected="0">
            <x v="43"/>
          </reference>
          <reference field="1" count="1" selected="0">
            <x v="75"/>
          </reference>
          <reference field="2" count="1" selected="0">
            <x v="7"/>
          </reference>
          <reference field="3" count="1" selected="0">
            <x v="35"/>
          </reference>
          <reference field="4" count="1">
            <x v="50"/>
          </reference>
        </references>
      </pivotArea>
    </format>
    <format dxfId="1618">
      <pivotArea dataOnly="0" labelOnly="1" outline="0" fieldPosition="0">
        <references count="5">
          <reference field="0" count="1" selected="0">
            <x v="44"/>
          </reference>
          <reference field="1" count="1" selected="0">
            <x v="76"/>
          </reference>
          <reference field="2" count="1" selected="0">
            <x v="2"/>
          </reference>
          <reference field="3" count="1" selected="0">
            <x v="36"/>
          </reference>
          <reference field="4" count="1">
            <x v="16"/>
          </reference>
        </references>
      </pivotArea>
    </format>
    <format dxfId="1617">
      <pivotArea dataOnly="0" labelOnly="1" outline="0" fieldPosition="0">
        <references count="5">
          <reference field="0" count="1" selected="0">
            <x v="45"/>
          </reference>
          <reference field="1" count="1" selected="0">
            <x v="70"/>
          </reference>
          <reference field="2" count="1" selected="0">
            <x v="3"/>
          </reference>
          <reference field="3" count="1" selected="0">
            <x v="32"/>
          </reference>
          <reference field="4" count="1">
            <x v="46"/>
          </reference>
        </references>
      </pivotArea>
    </format>
    <format dxfId="1616">
      <pivotArea dataOnly="0" labelOnly="1" outline="0" fieldPosition="0">
        <references count="5">
          <reference field="0" count="1" selected="0">
            <x v="46"/>
          </reference>
          <reference field="1" count="1" selected="0">
            <x v="77"/>
          </reference>
          <reference field="2" count="1" selected="0">
            <x v="6"/>
          </reference>
          <reference field="3" count="1" selected="0">
            <x v="37"/>
          </reference>
          <reference field="4" count="1">
            <x v="9"/>
          </reference>
        </references>
      </pivotArea>
    </format>
    <format dxfId="1615">
      <pivotArea dataOnly="0" labelOnly="1" outline="0" fieldPosition="0">
        <references count="5">
          <reference field="0" count="1" selected="0">
            <x v="47"/>
          </reference>
          <reference field="1" count="1" selected="0">
            <x v="78"/>
          </reference>
          <reference field="2" count="1" selected="0">
            <x v="7"/>
          </reference>
          <reference field="3" count="1" selected="0">
            <x v="38"/>
          </reference>
          <reference field="4" count="1">
            <x v="18"/>
          </reference>
        </references>
      </pivotArea>
    </format>
    <format dxfId="1614">
      <pivotArea dataOnly="0" labelOnly="1" outline="0" fieldPosition="0">
        <references count="5">
          <reference field="0" count="1" selected="0">
            <x v="48"/>
          </reference>
          <reference field="1" count="1" selected="0">
            <x v="79"/>
          </reference>
          <reference field="2" count="1" selected="0">
            <x v="2"/>
          </reference>
          <reference field="3" count="1" selected="0">
            <x v="7"/>
          </reference>
          <reference field="4" count="1">
            <x v="54"/>
          </reference>
        </references>
      </pivotArea>
    </format>
    <format dxfId="1613">
      <pivotArea dataOnly="0" labelOnly="1" outline="0" fieldPosition="0">
        <references count="5">
          <reference field="0" count="1" selected="0">
            <x v="49"/>
          </reference>
          <reference field="1" count="1" selected="0">
            <x v="80"/>
          </reference>
          <reference field="2" count="1" selected="0">
            <x v="6"/>
          </reference>
          <reference field="3" count="1" selected="0">
            <x v="39"/>
          </reference>
          <reference field="4" count="1">
            <x v="51"/>
          </reference>
        </references>
      </pivotArea>
    </format>
    <format dxfId="1612">
      <pivotArea dataOnly="0" labelOnly="1" outline="0" fieldPosition="0">
        <references count="5">
          <reference field="0" count="1" selected="0">
            <x v="50"/>
          </reference>
          <reference field="1" count="1" selected="0">
            <x v="81"/>
          </reference>
          <reference field="2" count="1" selected="0">
            <x v="4"/>
          </reference>
          <reference field="3" count="1" selected="0">
            <x v="1"/>
          </reference>
          <reference field="4" count="1">
            <x v="56"/>
          </reference>
        </references>
      </pivotArea>
    </format>
    <format dxfId="1611">
      <pivotArea dataOnly="0" labelOnly="1" outline="0" fieldPosition="0">
        <references count="5">
          <reference field="0" count="1" selected="0">
            <x v="51"/>
          </reference>
          <reference field="1" count="1" selected="0">
            <x v="82"/>
          </reference>
          <reference field="2" count="1" selected="0">
            <x v="2"/>
          </reference>
          <reference field="3" count="1" selected="0">
            <x v="8"/>
          </reference>
          <reference field="4" count="1">
            <x v="70"/>
          </reference>
        </references>
      </pivotArea>
    </format>
    <format dxfId="1610">
      <pivotArea dataOnly="0" labelOnly="1" outline="0" fieldPosition="0">
        <references count="5">
          <reference field="0" count="1" selected="0">
            <x v="52"/>
          </reference>
          <reference field="1" count="1" selected="0">
            <x v="83"/>
          </reference>
          <reference field="2" count="1" selected="0">
            <x v="2"/>
          </reference>
          <reference field="3" count="1" selected="0">
            <x v="7"/>
          </reference>
          <reference field="4" count="1">
            <x v="58"/>
          </reference>
        </references>
      </pivotArea>
    </format>
    <format dxfId="1609">
      <pivotArea dataOnly="0" labelOnly="1" outline="0" fieldPosition="0">
        <references count="5">
          <reference field="0" count="1" selected="0">
            <x v="53"/>
          </reference>
          <reference field="1" count="1" selected="0">
            <x v="84"/>
          </reference>
          <reference field="2" count="1" selected="0">
            <x v="6"/>
          </reference>
          <reference field="3" count="1" selected="0">
            <x v="30"/>
          </reference>
          <reference field="4" count="1">
            <x v="59"/>
          </reference>
        </references>
      </pivotArea>
    </format>
    <format dxfId="1608">
      <pivotArea dataOnly="0" labelOnly="1" outline="0" fieldPosition="0">
        <references count="5">
          <reference field="0" count="1" selected="0">
            <x v="54"/>
          </reference>
          <reference field="1" count="1" selected="0">
            <x v="86"/>
          </reference>
          <reference field="2" count="1" selected="0">
            <x v="3"/>
          </reference>
          <reference field="3" count="1" selected="0">
            <x v="41"/>
          </reference>
          <reference field="4" count="1">
            <x v="25"/>
          </reference>
        </references>
      </pivotArea>
    </format>
    <format dxfId="1607">
      <pivotArea dataOnly="0" labelOnly="1" outline="0" fieldPosition="0">
        <references count="5">
          <reference field="0" count="1" selected="0">
            <x v="55"/>
          </reference>
          <reference field="1" count="1" selected="0">
            <x v="87"/>
          </reference>
          <reference field="2" count="1" selected="0">
            <x v="3"/>
          </reference>
          <reference field="3" count="1" selected="0">
            <x v="41"/>
          </reference>
          <reference field="4" count="1">
            <x v="30"/>
          </reference>
        </references>
      </pivotArea>
    </format>
    <format dxfId="1606">
      <pivotArea dataOnly="0" labelOnly="1" outline="0" fieldPosition="0">
        <references count="5">
          <reference field="0" count="1" selected="0">
            <x v="57"/>
          </reference>
          <reference field="1" count="1" selected="0">
            <x v="89"/>
          </reference>
          <reference field="2" count="1" selected="0">
            <x v="8"/>
          </reference>
          <reference field="3" count="1" selected="0">
            <x v="27"/>
          </reference>
          <reference field="4" count="1">
            <x v="44"/>
          </reference>
        </references>
      </pivotArea>
    </format>
    <format dxfId="1605">
      <pivotArea dataOnly="0" labelOnly="1" outline="0" fieldPosition="0">
        <references count="5">
          <reference field="0" count="1" selected="0">
            <x v="58"/>
          </reference>
          <reference field="1" count="1" selected="0">
            <x v="90"/>
          </reference>
          <reference field="2" count="1" selected="0">
            <x v="3"/>
          </reference>
          <reference field="3" count="1" selected="0">
            <x v="14"/>
          </reference>
          <reference field="4" count="1">
            <x v="65"/>
          </reference>
        </references>
      </pivotArea>
    </format>
    <format dxfId="1604">
      <pivotArea dataOnly="0" labelOnly="1" outline="0" fieldPosition="0">
        <references count="5">
          <reference field="0" count="1" selected="0">
            <x v="59"/>
          </reference>
          <reference field="1" count="1" selected="0">
            <x v="92"/>
          </reference>
          <reference field="2" count="1" selected="0">
            <x v="2"/>
          </reference>
          <reference field="3" count="1" selected="0">
            <x v="7"/>
          </reference>
          <reference field="4" count="1">
            <x v="67"/>
          </reference>
        </references>
      </pivotArea>
    </format>
    <format dxfId="1603">
      <pivotArea dataOnly="0" labelOnly="1" outline="0" fieldPosition="0">
        <references count="5">
          <reference field="0" count="1" selected="0">
            <x v="60"/>
          </reference>
          <reference field="1" count="1" selected="0">
            <x v="96"/>
          </reference>
          <reference field="2" count="1" selected="0">
            <x v="8"/>
          </reference>
          <reference field="3" count="1" selected="0">
            <x v="44"/>
          </reference>
          <reference field="4" count="1">
            <x v="1"/>
          </reference>
        </references>
      </pivotArea>
    </format>
    <format dxfId="1602">
      <pivotArea dataOnly="0" labelOnly="1" outline="0" fieldPosition="0">
        <references count="5">
          <reference field="0" count="1" selected="0">
            <x v="61"/>
          </reference>
          <reference field="1" count="1" selected="0">
            <x v="97"/>
          </reference>
          <reference field="2" count="1" selected="0">
            <x v="4"/>
          </reference>
          <reference field="3" count="1" selected="0">
            <x v="1"/>
          </reference>
          <reference field="4" count="1">
            <x v="62"/>
          </reference>
        </references>
      </pivotArea>
    </format>
    <format dxfId="1601">
      <pivotArea dataOnly="0" labelOnly="1" outline="0" fieldPosition="0">
        <references count="5">
          <reference field="0" count="1" selected="0">
            <x v="62"/>
          </reference>
          <reference field="1" count="1" selected="0">
            <x v="98"/>
          </reference>
          <reference field="2" count="1" selected="0">
            <x v="8"/>
          </reference>
          <reference field="3" count="1" selected="0">
            <x v="45"/>
          </reference>
          <reference field="4" count="1">
            <x v="26"/>
          </reference>
        </references>
      </pivotArea>
    </format>
    <format dxfId="1600">
      <pivotArea dataOnly="0" labelOnly="1" outline="0" fieldPosition="0">
        <references count="5">
          <reference field="0" count="1" selected="0">
            <x v="63"/>
          </reference>
          <reference field="1" count="1" selected="0">
            <x v="99"/>
          </reference>
          <reference field="2" count="1" selected="0">
            <x v="3"/>
          </reference>
          <reference field="3" count="1" selected="0">
            <x v="46"/>
          </reference>
          <reference field="4" count="1">
            <x v="12"/>
          </reference>
        </references>
      </pivotArea>
    </format>
    <format dxfId="1599">
      <pivotArea dataOnly="0" labelOnly="1" outline="0" fieldPosition="0">
        <references count="5">
          <reference field="0" count="1" selected="0">
            <x v="64"/>
          </reference>
          <reference field="1" count="1" selected="0">
            <x v="11"/>
          </reference>
          <reference field="2" count="1" selected="0">
            <x v="2"/>
          </reference>
          <reference field="3" count="1" selected="0">
            <x v="7"/>
          </reference>
          <reference field="4" count="1">
            <x v="3"/>
          </reference>
        </references>
      </pivotArea>
    </format>
    <format dxfId="1598">
      <pivotArea dataOnly="0" labelOnly="1" outline="0" fieldPosition="0">
        <references count="5">
          <reference field="0" count="1" selected="0">
            <x v="65"/>
          </reference>
          <reference field="1" count="1" selected="0">
            <x v="12"/>
          </reference>
          <reference field="2" count="1" selected="0">
            <x v="3"/>
          </reference>
          <reference field="3" count="1" selected="0">
            <x v="31"/>
          </reference>
          <reference field="4" count="1">
            <x v="4"/>
          </reference>
        </references>
      </pivotArea>
    </format>
    <format dxfId="1597">
      <pivotArea dataOnly="0" labelOnly="1" outline="0" fieldPosition="0">
        <references count="5">
          <reference field="0" count="1" selected="0">
            <x v="66"/>
          </reference>
          <reference field="1" count="1" selected="0">
            <x v="49"/>
          </reference>
          <reference field="2" count="1" selected="0">
            <x v="4"/>
          </reference>
          <reference field="3" count="1" selected="0">
            <x v="22"/>
          </reference>
          <reference field="4" count="1">
            <x v="10"/>
          </reference>
        </references>
      </pivotArea>
    </format>
    <format dxfId="1596">
      <pivotArea dataOnly="0" labelOnly="1" outline="0" fieldPosition="0">
        <references count="5">
          <reference field="0" count="1" selected="0">
            <x v="67"/>
          </reference>
          <reference field="1" count="1" selected="0">
            <x v="64"/>
          </reference>
          <reference field="2" count="1" selected="0">
            <x v="4"/>
          </reference>
          <reference field="3" count="1" selected="0">
            <x v="1"/>
          </reference>
          <reference field="4" count="1">
            <x v="43"/>
          </reference>
        </references>
      </pivotArea>
    </format>
    <format dxfId="1595">
      <pivotArea dataOnly="0" labelOnly="1" outline="0" fieldPosition="0">
        <references count="5">
          <reference field="0" count="1" selected="0">
            <x v="68"/>
          </reference>
          <reference field="1" count="1" selected="0">
            <x v="0"/>
          </reference>
          <reference field="2" count="1" selected="0">
            <x v="3"/>
          </reference>
          <reference field="3" count="1" selected="0">
            <x v="28"/>
          </reference>
          <reference field="4" count="1">
            <x v="23"/>
          </reference>
        </references>
      </pivotArea>
    </format>
    <format dxfId="1594">
      <pivotArea dataOnly="0" labelOnly="1" outline="0" fieldPosition="0">
        <references count="5">
          <reference field="0" count="1" selected="0">
            <x v="69"/>
          </reference>
          <reference field="1" count="1" selected="0">
            <x v="1"/>
          </reference>
          <reference field="2" count="1" selected="0">
            <x v="3"/>
          </reference>
          <reference field="3" count="1" selected="0">
            <x v="32"/>
          </reference>
          <reference field="4" count="1">
            <x v="53"/>
          </reference>
        </references>
      </pivotArea>
    </format>
    <format dxfId="1593">
      <pivotArea dataOnly="0" labelOnly="1" outline="0" fieldPosition="0">
        <references count="5">
          <reference field="0" count="1" selected="0">
            <x v="70"/>
          </reference>
          <reference field="1" count="1" selected="0">
            <x v="2"/>
          </reference>
          <reference field="2" count="1" selected="0">
            <x v="3"/>
          </reference>
          <reference field="3" count="1" selected="0">
            <x v="28"/>
          </reference>
          <reference field="4" count="1">
            <x v="23"/>
          </reference>
        </references>
      </pivotArea>
    </format>
    <format dxfId="1592">
      <pivotArea dataOnly="0" labelOnly="1" outline="0" fieldPosition="0">
        <references count="5">
          <reference field="0" count="1" selected="0">
            <x v="72"/>
          </reference>
          <reference field="1" count="1" selected="0">
            <x v="5"/>
          </reference>
          <reference field="2" count="1" selected="0">
            <x v="5"/>
          </reference>
          <reference field="3" count="1" selected="0">
            <x v="29"/>
          </reference>
          <reference field="4" count="1">
            <x v="72"/>
          </reference>
        </references>
      </pivotArea>
    </format>
    <format dxfId="1591">
      <pivotArea dataOnly="0" labelOnly="1" outline="0" fieldPosition="0">
        <references count="5">
          <reference field="0" count="1" selected="0">
            <x v="73"/>
          </reference>
          <reference field="1" count="1" selected="0">
            <x v="6"/>
          </reference>
          <reference field="2" count="1" selected="0">
            <x v="2"/>
          </reference>
          <reference field="3" count="1" selected="0">
            <x v="9"/>
          </reference>
          <reference field="4" count="1">
            <x v="17"/>
          </reference>
        </references>
      </pivotArea>
    </format>
    <format dxfId="1590">
      <pivotArea dataOnly="0" labelOnly="1" outline="0" fieldPosition="0">
        <references count="5">
          <reference field="0" count="1" selected="0">
            <x v="74"/>
          </reference>
          <reference field="1" count="1" selected="0">
            <x v="8"/>
          </reference>
          <reference field="2" count="1" selected="0">
            <x v="3"/>
          </reference>
          <reference field="3" count="1" selected="0">
            <x v="31"/>
          </reference>
          <reference field="4" count="1">
            <x v="69"/>
          </reference>
        </references>
      </pivotArea>
    </format>
    <format dxfId="1589">
      <pivotArea dataOnly="0" labelOnly="1" outline="0" fieldPosition="0">
        <references count="5">
          <reference field="0" count="1" selected="0">
            <x v="75"/>
          </reference>
          <reference field="1" count="1" selected="0">
            <x v="9"/>
          </reference>
          <reference field="2" count="1" selected="0">
            <x v="3"/>
          </reference>
          <reference field="3" count="1" selected="0">
            <x v="28"/>
          </reference>
          <reference field="4" count="1">
            <x v="23"/>
          </reference>
        </references>
      </pivotArea>
    </format>
    <format dxfId="1588">
      <pivotArea dataOnly="0" labelOnly="1" outline="0" fieldPosition="0">
        <references count="5">
          <reference field="0" count="1" selected="0">
            <x v="76"/>
          </reference>
          <reference field="1" count="1" selected="0">
            <x v="14"/>
          </reference>
          <reference field="2" count="1" selected="0">
            <x v="3"/>
          </reference>
          <reference field="3" count="1" selected="0">
            <x v="10"/>
          </reference>
          <reference field="4" count="1">
            <x v="60"/>
          </reference>
        </references>
      </pivotArea>
    </format>
    <format dxfId="1587">
      <pivotArea dataOnly="0" labelOnly="1" outline="0" fieldPosition="0">
        <references count="5">
          <reference field="0" count="1" selected="0">
            <x v="77"/>
          </reference>
          <reference field="1" count="1" selected="0">
            <x v="16"/>
          </reference>
          <reference field="2" count="1" selected="0">
            <x v="3"/>
          </reference>
          <reference field="3" count="1" selected="0">
            <x v="10"/>
          </reference>
          <reference field="4" count="1">
            <x v="33"/>
          </reference>
        </references>
      </pivotArea>
    </format>
    <format dxfId="1586">
      <pivotArea dataOnly="0" labelOnly="1" outline="0" fieldPosition="0">
        <references count="5">
          <reference field="0" count="1" selected="0">
            <x v="78"/>
          </reference>
          <reference field="1" count="1" selected="0">
            <x v="17"/>
          </reference>
          <reference field="2" count="1" selected="0">
            <x v="3"/>
          </reference>
          <reference field="3" count="1" selected="0">
            <x v="14"/>
          </reference>
          <reference field="4" count="1">
            <x v="34"/>
          </reference>
        </references>
      </pivotArea>
    </format>
    <format dxfId="1585">
      <pivotArea dataOnly="0" labelOnly="1" outline="0" fieldPosition="0">
        <references count="5">
          <reference field="0" count="1" selected="0">
            <x v="79"/>
          </reference>
          <reference field="1" count="1" selected="0">
            <x v="22"/>
          </reference>
          <reference field="2" count="1" selected="0">
            <x v="8"/>
          </reference>
          <reference field="3" count="1" selected="0">
            <x v="44"/>
          </reference>
          <reference field="4" count="1">
            <x v="14"/>
          </reference>
        </references>
      </pivotArea>
    </format>
    <format dxfId="1584">
      <pivotArea dataOnly="0" labelOnly="1" outline="0" fieldPosition="0">
        <references count="5">
          <reference field="0" count="1" selected="0">
            <x v="80"/>
          </reference>
          <reference field="1" count="1" selected="0">
            <x v="24"/>
          </reference>
          <reference field="2" count="1" selected="0">
            <x v="3"/>
          </reference>
          <reference field="3" count="1" selected="0">
            <x v="31"/>
          </reference>
          <reference field="4" count="1">
            <x v="57"/>
          </reference>
        </references>
      </pivotArea>
    </format>
    <format dxfId="1583">
      <pivotArea dataOnly="0" labelOnly="1" outline="0" fieldPosition="0">
        <references count="5">
          <reference field="0" count="1" selected="0">
            <x v="81"/>
          </reference>
          <reference field="1" count="1" selected="0">
            <x v="25"/>
          </reference>
          <reference field="2" count="1" selected="0">
            <x v="3"/>
          </reference>
          <reference field="3" count="1" selected="0">
            <x v="10"/>
          </reference>
          <reference field="4" count="1">
            <x v="19"/>
          </reference>
        </references>
      </pivotArea>
    </format>
    <format dxfId="1582">
      <pivotArea dataOnly="0" labelOnly="1" outline="0" fieldPosition="0">
        <references count="5">
          <reference field="0" count="1" selected="0">
            <x v="82"/>
          </reference>
          <reference field="1" count="1" selected="0">
            <x v="27"/>
          </reference>
          <reference field="2" count="1" selected="0">
            <x v="2"/>
          </reference>
          <reference field="3" count="1" selected="0">
            <x v="9"/>
          </reference>
          <reference field="4" count="1">
            <x v="40"/>
          </reference>
        </references>
      </pivotArea>
    </format>
    <format dxfId="1581">
      <pivotArea dataOnly="0" labelOnly="1" outline="0" fieldPosition="0">
        <references count="5">
          <reference field="0" count="1" selected="0">
            <x v="83"/>
          </reference>
          <reference field="1" count="1" selected="0">
            <x v="31"/>
          </reference>
          <reference field="2" count="1" selected="0">
            <x v="8"/>
          </reference>
          <reference field="3" count="1" selected="0">
            <x v="16"/>
          </reference>
          <reference field="4" count="1">
            <x v="6"/>
          </reference>
        </references>
      </pivotArea>
    </format>
    <format dxfId="1580">
      <pivotArea dataOnly="0" labelOnly="1" outline="0" fieldPosition="0">
        <references count="5">
          <reference field="0" count="1" selected="0">
            <x v="84"/>
          </reference>
          <reference field="1" count="1" selected="0">
            <x v="32"/>
          </reference>
          <reference field="2" count="1" selected="0">
            <x v="3"/>
          </reference>
          <reference field="3" count="1" selected="0">
            <x v="10"/>
          </reference>
          <reference field="4" count="1">
            <x v="33"/>
          </reference>
        </references>
      </pivotArea>
    </format>
    <format dxfId="1579">
      <pivotArea dataOnly="0" labelOnly="1" outline="0" fieldPosition="0">
        <references count="5">
          <reference field="0" count="1" selected="0">
            <x v="85"/>
          </reference>
          <reference field="1" count="1" selected="0">
            <x v="33"/>
          </reference>
          <reference field="2" count="1" selected="0">
            <x v="4"/>
          </reference>
          <reference field="3" count="1" selected="0">
            <x v="1"/>
          </reference>
          <reference field="4" count="1">
            <x v="56"/>
          </reference>
        </references>
      </pivotArea>
    </format>
    <format dxfId="1578">
      <pivotArea dataOnly="0" labelOnly="1" outline="0" fieldPosition="0">
        <references count="5">
          <reference field="0" count="1" selected="0">
            <x v="86"/>
          </reference>
          <reference field="1" count="1" selected="0">
            <x v="40"/>
          </reference>
          <reference field="2" count="1" selected="0">
            <x v="5"/>
          </reference>
          <reference field="3" count="1" selected="0">
            <x v="29"/>
          </reference>
          <reference field="4" count="1">
            <x v="72"/>
          </reference>
        </references>
      </pivotArea>
    </format>
    <format dxfId="1577">
      <pivotArea dataOnly="0" labelOnly="1" outline="0" fieldPosition="0">
        <references count="5">
          <reference field="0" count="1" selected="0">
            <x v="87"/>
          </reference>
          <reference field="1" count="1" selected="0">
            <x v="41"/>
          </reference>
          <reference field="2" count="1" selected="0">
            <x v="3"/>
          </reference>
          <reference field="3" count="1" selected="0">
            <x v="28"/>
          </reference>
          <reference field="4" count="1">
            <x v="23"/>
          </reference>
        </references>
      </pivotArea>
    </format>
    <format dxfId="1576">
      <pivotArea dataOnly="0" labelOnly="1" outline="0" fieldPosition="0">
        <references count="5">
          <reference field="0" count="1" selected="0">
            <x v="88"/>
          </reference>
          <reference field="1" count="1" selected="0">
            <x v="43"/>
          </reference>
          <reference field="2" count="1" selected="0">
            <x v="2"/>
          </reference>
          <reference field="3" count="1" selected="0">
            <x v="7"/>
          </reference>
          <reference field="4" count="1">
            <x v="3"/>
          </reference>
        </references>
      </pivotArea>
    </format>
    <format dxfId="1575">
      <pivotArea dataOnly="0" labelOnly="1" outline="0" fieldPosition="0">
        <references count="5">
          <reference field="0" count="1" selected="0">
            <x v="89"/>
          </reference>
          <reference field="1" count="1" selected="0">
            <x v="44"/>
          </reference>
          <reference field="2" count="1" selected="0">
            <x v="2"/>
          </reference>
          <reference field="3" count="1" selected="0">
            <x v="7"/>
          </reference>
          <reference field="4" count="1">
            <x v="13"/>
          </reference>
        </references>
      </pivotArea>
    </format>
    <format dxfId="1574">
      <pivotArea dataOnly="0" labelOnly="1" outline="0" fieldPosition="0">
        <references count="5">
          <reference field="0" count="1" selected="0">
            <x v="90"/>
          </reference>
          <reference field="1" count="1" selected="0">
            <x v="47"/>
          </reference>
          <reference field="2" count="1" selected="0">
            <x v="3"/>
          </reference>
          <reference field="3" count="1" selected="0">
            <x v="20"/>
          </reference>
          <reference field="4" count="1">
            <x v="52"/>
          </reference>
        </references>
      </pivotArea>
    </format>
    <format dxfId="1573">
      <pivotArea dataOnly="0" labelOnly="1" outline="0" fieldPosition="0">
        <references count="5">
          <reference field="0" count="1" selected="0">
            <x v="91"/>
          </reference>
          <reference field="1" count="1" selected="0">
            <x v="54"/>
          </reference>
          <reference field="2" count="1" selected="0">
            <x v="3"/>
          </reference>
          <reference field="3" count="1" selected="0">
            <x v="31"/>
          </reference>
          <reference field="4" count="1">
            <x v="69"/>
          </reference>
        </references>
      </pivotArea>
    </format>
    <format dxfId="1572">
      <pivotArea dataOnly="0" labelOnly="1" outline="0" fieldPosition="0">
        <references count="5">
          <reference field="0" count="1" selected="0">
            <x v="93"/>
          </reference>
          <reference field="1" count="1" selected="0">
            <x v="91"/>
          </reference>
          <reference field="2" count="1" selected="0">
            <x v="6"/>
          </reference>
          <reference field="3" count="1" selected="0">
            <x v="43"/>
          </reference>
          <reference field="4" count="1">
            <x v="66"/>
          </reference>
        </references>
      </pivotArea>
    </format>
    <format dxfId="1571">
      <pivotArea dataOnly="0" labelOnly="1" outline="0" fieldPosition="0">
        <references count="5">
          <reference field="0" count="1" selected="0">
            <x v="94"/>
          </reference>
          <reference field="1" count="1" selected="0">
            <x v="94"/>
          </reference>
          <reference field="2" count="1" selected="0">
            <x v="3"/>
          </reference>
          <reference field="3" count="1" selected="0">
            <x v="31"/>
          </reference>
          <reference field="4" count="1">
            <x v="69"/>
          </reference>
        </references>
      </pivotArea>
    </format>
    <format dxfId="1570">
      <pivotArea dataOnly="0" labelOnly="1" outline="0" fieldPosition="0">
        <references count="5">
          <reference field="0" count="1" selected="0">
            <x v="95"/>
          </reference>
          <reference field="1" count="1" selected="0">
            <x v="95"/>
          </reference>
          <reference field="2" count="1" selected="0">
            <x v="3"/>
          </reference>
          <reference field="3" count="1" selected="0">
            <x v="28"/>
          </reference>
          <reference field="4" count="1">
            <x v="23"/>
          </reference>
        </references>
      </pivotArea>
    </format>
    <format dxfId="1569">
      <pivotArea dataOnly="0" labelOnly="1" outline="0" fieldPosition="0">
        <references count="5">
          <reference field="0" count="1" selected="0">
            <x v="96"/>
          </reference>
          <reference field="1" count="1" selected="0">
            <x v="100"/>
          </reference>
          <reference field="2" count="1" selected="0">
            <x v="3"/>
          </reference>
          <reference field="3" count="1" selected="0">
            <x v="10"/>
          </reference>
          <reference field="4" count="1">
            <x v="73"/>
          </reference>
        </references>
      </pivotArea>
    </format>
    <format dxfId="1568">
      <pivotArea dataOnly="0" labelOnly="1" outline="0" fieldPosition="0">
        <references count="5">
          <reference field="0" count="1" selected="0">
            <x v="97"/>
          </reference>
          <reference field="1" count="1" selected="0">
            <x v="50"/>
          </reference>
          <reference field="2" count="1" selected="0">
            <x v="2"/>
          </reference>
          <reference field="3" count="1" selected="0">
            <x v="23"/>
          </reference>
          <reference field="4" count="1">
            <x v="0"/>
          </reference>
        </references>
      </pivotArea>
    </format>
    <format dxfId="1567">
      <pivotArea dataOnly="0" labelOnly="1" outline="0" fieldPosition="0">
        <references count="6">
          <reference field="0" count="1" selected="0">
            <x v="0"/>
          </reference>
          <reference field="1" count="1" selected="0">
            <x v="4"/>
          </reference>
          <reference field="2" count="1" selected="0">
            <x v="1"/>
          </reference>
          <reference field="3" count="1" selected="0">
            <x v="2"/>
          </reference>
          <reference field="4" count="1" selected="0">
            <x v="2"/>
          </reference>
          <reference field="5" count="1">
            <x v="1"/>
          </reference>
        </references>
      </pivotArea>
    </format>
    <format dxfId="1566">
      <pivotArea dataOnly="0" labelOnly="1" outline="0" fieldPosition="0">
        <references count="6">
          <reference field="0" count="1" selected="0">
            <x v="64"/>
          </reference>
          <reference field="1" count="1" selected="0">
            <x v="11"/>
          </reference>
          <reference field="2" count="1" selected="0">
            <x v="2"/>
          </reference>
          <reference field="3" count="1" selected="0">
            <x v="7"/>
          </reference>
          <reference field="4" count="1" selected="0">
            <x v="3"/>
          </reference>
          <reference field="5" count="1">
            <x v="0"/>
          </reference>
        </references>
      </pivotArea>
    </format>
    <format dxfId="1565">
      <pivotArea dataOnly="0" labelOnly="1" outline="0" fieldPosition="0">
        <references count="6">
          <reference field="0" count="1" selected="0">
            <x v="68"/>
          </reference>
          <reference field="1" count="1" selected="0">
            <x v="0"/>
          </reference>
          <reference field="2" count="1" selected="0">
            <x v="3"/>
          </reference>
          <reference field="3" count="1" selected="0">
            <x v="28"/>
          </reference>
          <reference field="4" count="1" selected="0">
            <x v="23"/>
          </reference>
          <reference field="5" count="1">
            <x v="2"/>
          </reference>
        </references>
      </pivotArea>
    </format>
    <format dxfId="1564">
      <pivotArea dataOnly="0" labelOnly="1" outline="0" fieldPosition="0">
        <references count="6">
          <reference field="0" count="1" selected="0">
            <x v="97"/>
          </reference>
          <reference field="1" count="1" selected="0">
            <x v="50"/>
          </reference>
          <reference field="2" count="1" selected="0">
            <x v="2"/>
          </reference>
          <reference field="3" count="1" selected="0">
            <x v="23"/>
          </reference>
          <reference field="4" count="1" selected="0">
            <x v="0"/>
          </reference>
          <reference field="5" count="1">
            <x v="3"/>
          </reference>
        </references>
      </pivotArea>
    </format>
    <format dxfId="1563">
      <pivotArea field="5" type="button" dataOnly="0" labelOnly="1" outline="0" axis="axisRow" fieldPosition="5"/>
    </format>
    <format dxfId="1562">
      <pivotArea field="5" type="button" dataOnly="0" labelOnly="1" outline="0" axis="axisRow" fieldPosition="5"/>
    </format>
    <format dxfId="1561">
      <pivotArea field="0" type="button" dataOnly="0" labelOnly="1" outline="0" axis="axisRow" fieldPosition="0"/>
    </format>
    <format dxfId="1560">
      <pivotArea field="1" type="button" dataOnly="0" labelOnly="1" outline="0" axis="axisRow" fieldPosition="1"/>
    </format>
    <format dxfId="1559">
      <pivotArea field="2" type="button" dataOnly="0" labelOnly="1" outline="0" axis="axisRow" fieldPosition="2"/>
    </format>
    <format dxfId="1558">
      <pivotArea field="3" type="button" dataOnly="0" labelOnly="1" outline="0" axis="axisRow" fieldPosition="3"/>
    </format>
    <format dxfId="1557">
      <pivotArea field="4" type="button" dataOnly="0" labelOnly="1" outline="0" axis="axisRow" fieldPosition="4"/>
    </format>
    <format dxfId="1556">
      <pivotArea field="5" type="button" dataOnly="0" labelOnly="1" outline="0" axis="axisRow" fieldPosition="5"/>
    </format>
    <format dxfId="1555">
      <pivotArea field="0" type="button" dataOnly="0" labelOnly="1" outline="0" axis="axisRow" fieldPosition="0"/>
    </format>
    <format dxfId="1554">
      <pivotArea field="1" type="button" dataOnly="0" labelOnly="1" outline="0" axis="axisRow" fieldPosition="1"/>
    </format>
    <format dxfId="1553">
      <pivotArea field="2" type="button" dataOnly="0" labelOnly="1" outline="0" axis="axisRow" fieldPosition="2"/>
    </format>
    <format dxfId="1552">
      <pivotArea field="3" type="button" dataOnly="0" labelOnly="1" outline="0" axis="axisRow" fieldPosition="3"/>
    </format>
    <format dxfId="1551">
      <pivotArea field="4" type="button" dataOnly="0" labelOnly="1" outline="0" axis="axisRow" fieldPosition="4"/>
    </format>
    <format dxfId="1550">
      <pivotArea field="5" type="button" dataOnly="0" labelOnly="1" outline="0" axis="axisRow" fieldPosition="5"/>
    </format>
    <format dxfId="1549">
      <pivotArea outline="0" collapsedLevelsAreSubtotals="1" fieldPosition="0"/>
    </format>
    <format dxfId="1548">
      <pivotArea type="all" dataOnly="0" outline="0" fieldPosition="0"/>
    </format>
    <format dxfId="1547">
      <pivotArea outline="0" collapsedLevelsAreSubtotals="1" fieldPosition="0"/>
    </format>
    <format dxfId="1546">
      <pivotArea field="0" type="button" dataOnly="0" labelOnly="1" outline="0" axis="axisRow" fieldPosition="0"/>
    </format>
    <format dxfId="1545">
      <pivotArea field="1" type="button" dataOnly="0" labelOnly="1" outline="0" axis="axisRow" fieldPosition="1"/>
    </format>
    <format dxfId="1544">
      <pivotArea dataOnly="0" labelOnly="1" outline="0" fieldPosition="0">
        <references count="1">
          <reference field="0" count="50">
            <x v="0"/>
            <x v="2"/>
            <x v="5"/>
            <x v="6"/>
            <x v="7"/>
            <x v="9"/>
            <x v="11"/>
            <x v="12"/>
            <x v="15"/>
            <x v="17"/>
            <x v="20"/>
            <x v="25"/>
            <x v="26"/>
            <x v="27"/>
            <x v="29"/>
            <x v="32"/>
            <x v="33"/>
            <x v="34"/>
            <x v="36"/>
            <x v="37"/>
            <x v="39"/>
            <x v="41"/>
            <x v="42"/>
            <x v="43"/>
            <x v="47"/>
            <x v="51"/>
            <x v="55"/>
            <x v="56"/>
            <x v="57"/>
            <x v="59"/>
            <x v="62"/>
            <x v="63"/>
            <x v="64"/>
            <x v="65"/>
            <x v="66"/>
            <x v="70"/>
            <x v="74"/>
            <x v="76"/>
            <x v="78"/>
            <x v="80"/>
            <x v="81"/>
            <x v="82"/>
            <x v="84"/>
            <x v="86"/>
            <x v="87"/>
            <x v="88"/>
            <x v="89"/>
            <x v="91"/>
            <x v="92"/>
            <x v="94"/>
          </reference>
        </references>
      </pivotArea>
    </format>
    <format dxfId="1543">
      <pivotArea dataOnly="0" labelOnly="1" outline="0" fieldPosition="0">
        <references count="1">
          <reference field="0" count="50">
            <x v="1"/>
            <x v="3"/>
            <x v="8"/>
            <x v="10"/>
            <x v="13"/>
            <x v="14"/>
            <x v="16"/>
            <x v="18"/>
            <x v="19"/>
            <x v="21"/>
            <x v="22"/>
            <x v="23"/>
            <x v="24"/>
            <x v="28"/>
            <x v="30"/>
            <x v="31"/>
            <x v="35"/>
            <x v="38"/>
            <x v="40"/>
            <x v="44"/>
            <x v="45"/>
            <x v="46"/>
            <x v="48"/>
            <x v="49"/>
            <x v="50"/>
            <x v="52"/>
            <x v="53"/>
            <x v="54"/>
            <x v="58"/>
            <x v="60"/>
            <x v="61"/>
            <x v="67"/>
            <x v="68"/>
            <x v="69"/>
            <x v="71"/>
            <x v="72"/>
            <x v="73"/>
            <x v="75"/>
            <x v="77"/>
            <x v="79"/>
            <x v="83"/>
            <x v="85"/>
            <x v="90"/>
            <x v="93"/>
            <x v="95"/>
            <x v="96"/>
            <x v="97"/>
            <x v="98"/>
            <x v="99"/>
            <x v="100"/>
          </reference>
        </references>
      </pivotArea>
    </format>
    <format dxfId="1542">
      <pivotArea dataOnly="0" labelOnly="1" outline="0" fieldPosition="0">
        <references count="1">
          <reference field="0" count="1">
            <x v="4"/>
          </reference>
        </references>
      </pivotArea>
    </format>
    <format dxfId="1541">
      <pivotArea dataOnly="0" labelOnly="1" outline="0" fieldPosition="0">
        <references count="2">
          <reference field="0" count="1" selected="0">
            <x v="65"/>
          </reference>
          <reference field="1" count="1">
            <x v="12"/>
          </reference>
        </references>
      </pivotArea>
    </format>
    <format dxfId="1540">
      <pivotArea dataOnly="0" labelOnly="1" outline="0" fieldPosition="0">
        <references count="2">
          <reference field="0" count="1" selected="0">
            <x v="51"/>
          </reference>
          <reference field="1" count="1">
            <x v="82"/>
          </reference>
        </references>
      </pivotArea>
    </format>
    <format dxfId="1539">
      <pivotArea dataOnly="0" labelOnly="1" outline="0" fieldPosition="0">
        <references count="2">
          <reference field="0" count="1" selected="0">
            <x v="26"/>
          </reference>
          <reference field="1" count="1">
            <x v="56"/>
          </reference>
        </references>
      </pivotArea>
    </format>
    <format dxfId="1538">
      <pivotArea dataOnly="0" labelOnly="1" outline="0" fieldPosition="0">
        <references count="2">
          <reference field="0" count="1" selected="0">
            <x v="41"/>
          </reference>
          <reference field="1" count="1">
            <x v="73"/>
          </reference>
        </references>
      </pivotArea>
    </format>
    <format dxfId="1537">
      <pivotArea dataOnly="0" labelOnly="1" outline="0" fieldPosition="0">
        <references count="2">
          <reference field="0" count="1" selected="0">
            <x v="29"/>
          </reference>
          <reference field="1" count="1">
            <x v="59"/>
          </reference>
        </references>
      </pivotArea>
    </format>
    <format dxfId="1536">
      <pivotArea dataOnly="0" labelOnly="1" outline="0" fieldPosition="0">
        <references count="2">
          <reference field="0" count="1" selected="0">
            <x v="17"/>
          </reference>
          <reference field="1" count="1">
            <x v="37"/>
          </reference>
        </references>
      </pivotArea>
    </format>
    <format dxfId="1535">
      <pivotArea dataOnly="0" labelOnly="1" outline="0" fieldPosition="0">
        <references count="2">
          <reference field="0" count="1" selected="0">
            <x v="2"/>
          </reference>
          <reference field="1" count="1">
            <x v="10"/>
          </reference>
        </references>
      </pivotArea>
    </format>
    <format dxfId="1534">
      <pivotArea dataOnly="0" labelOnly="1" outline="0" fieldPosition="0">
        <references count="2">
          <reference field="0" count="1" selected="0">
            <x v="12"/>
          </reference>
          <reference field="1" count="1">
            <x v="29"/>
          </reference>
        </references>
      </pivotArea>
    </format>
    <format dxfId="1533">
      <pivotArea dataOnly="0" labelOnly="1" outline="0" fieldPosition="0">
        <references count="2">
          <reference field="0" count="1" selected="0">
            <x v="32"/>
          </reference>
          <reference field="1" count="1">
            <x v="93"/>
          </reference>
        </references>
      </pivotArea>
    </format>
    <format dxfId="1532">
      <pivotArea dataOnly="0" labelOnly="1" outline="0" fieldPosition="0">
        <references count="2">
          <reference field="0" count="1" selected="0">
            <x v="37"/>
          </reference>
          <reference field="1" count="1">
            <x v="68"/>
          </reference>
        </references>
      </pivotArea>
    </format>
    <format dxfId="1531">
      <pivotArea dataOnly="0" labelOnly="1" outline="0" fieldPosition="0">
        <references count="2">
          <reference field="0" count="1" selected="0">
            <x v="59"/>
          </reference>
          <reference field="1" count="1">
            <x v="92"/>
          </reference>
        </references>
      </pivotArea>
    </format>
    <format dxfId="1530">
      <pivotArea dataOnly="0" labelOnly="1" outline="0" fieldPosition="0">
        <references count="2">
          <reference field="0" count="1" selected="0">
            <x v="36"/>
          </reference>
          <reference field="1" count="1">
            <x v="67"/>
          </reference>
        </references>
      </pivotArea>
    </format>
    <format dxfId="1529">
      <pivotArea dataOnly="0" labelOnly="1" outline="0" fieldPosition="0">
        <references count="2">
          <reference field="0" count="1" selected="0">
            <x v="33"/>
          </reference>
          <reference field="1" count="1">
            <x v="63"/>
          </reference>
        </references>
      </pivotArea>
    </format>
    <format dxfId="1528">
      <pivotArea dataOnly="0" labelOnly="1" outline="0" fieldPosition="0">
        <references count="2">
          <reference field="0" count="1" selected="0">
            <x v="15"/>
          </reference>
          <reference field="1" count="1">
            <x v="35"/>
          </reference>
        </references>
      </pivotArea>
    </format>
    <format dxfId="1527">
      <pivotArea dataOnly="0" labelOnly="1" outline="0" fieldPosition="0">
        <references count="2">
          <reference field="0" count="1" selected="0">
            <x v="63"/>
          </reference>
          <reference field="1" count="1">
            <x v="99"/>
          </reference>
        </references>
      </pivotArea>
    </format>
    <format dxfId="1526">
      <pivotArea dataOnly="0" labelOnly="1" outline="0" fieldPosition="0">
        <references count="2">
          <reference field="0" count="1" selected="0">
            <x v="11"/>
          </reference>
          <reference field="1" count="1">
            <x v="28"/>
          </reference>
        </references>
      </pivotArea>
    </format>
    <format dxfId="1525">
      <pivotArea dataOnly="0" labelOnly="1" outline="0" fieldPosition="0">
        <references count="2">
          <reference field="0" count="1" selected="0">
            <x v="66"/>
          </reference>
          <reference field="1" count="1">
            <x v="49"/>
          </reference>
        </references>
      </pivotArea>
    </format>
    <format dxfId="1524">
      <pivotArea dataOnly="0" labelOnly="1" outline="0" fieldPosition="0">
        <references count="2">
          <reference field="0" count="1" selected="0">
            <x v="88"/>
          </reference>
          <reference field="1" count="1">
            <x v="43"/>
          </reference>
        </references>
      </pivotArea>
    </format>
    <format dxfId="1523">
      <pivotArea dataOnly="0" labelOnly="1" outline="0" fieldPosition="0">
        <references count="2">
          <reference field="0" count="1" selected="0">
            <x v="84"/>
          </reference>
          <reference field="1" count="1">
            <x v="32"/>
          </reference>
        </references>
      </pivotArea>
    </format>
    <format dxfId="1522">
      <pivotArea dataOnly="0" labelOnly="1" outline="0" fieldPosition="0">
        <references count="2">
          <reference field="0" count="1" selected="0">
            <x v="57"/>
          </reference>
          <reference field="1" count="1">
            <x v="89"/>
          </reference>
        </references>
      </pivotArea>
    </format>
    <format dxfId="1521">
      <pivotArea dataOnly="0" labelOnly="1" outline="0" fieldPosition="0">
        <references count="2">
          <reference field="0" count="1" selected="0">
            <x v="74"/>
          </reference>
          <reference field="1" count="1">
            <x v="8"/>
          </reference>
        </references>
      </pivotArea>
    </format>
    <format dxfId="1520">
      <pivotArea dataOnly="0" labelOnly="1" outline="0" fieldPosition="0">
        <references count="2">
          <reference field="0" count="1" selected="0">
            <x v="6"/>
          </reference>
          <reference field="1" count="1">
            <x v="19"/>
          </reference>
        </references>
      </pivotArea>
    </format>
    <format dxfId="1519">
      <pivotArea dataOnly="0" labelOnly="1" outline="0" fieldPosition="0">
        <references count="2">
          <reference field="0" count="1" selected="0">
            <x v="92"/>
          </reference>
          <reference field="1" count="1">
            <x v="55"/>
          </reference>
        </references>
      </pivotArea>
    </format>
    <format dxfId="1518">
      <pivotArea dataOnly="0" labelOnly="1" outline="0" fieldPosition="0">
        <references count="2">
          <reference field="0" count="1" selected="0">
            <x v="91"/>
          </reference>
          <reference field="1" count="1">
            <x v="54"/>
          </reference>
        </references>
      </pivotArea>
    </format>
    <format dxfId="1517">
      <pivotArea dataOnly="0" labelOnly="1" outline="0" fieldPosition="0">
        <references count="2">
          <reference field="0" count="1" selected="0">
            <x v="80"/>
          </reference>
          <reference field="1" count="1">
            <x v="24"/>
          </reference>
        </references>
      </pivotArea>
    </format>
    <format dxfId="1516">
      <pivotArea dataOnly="0" labelOnly="1" outline="0" fieldPosition="0">
        <references count="2">
          <reference field="0" count="1" selected="0">
            <x v="78"/>
          </reference>
          <reference field="1" count="1">
            <x v="17"/>
          </reference>
        </references>
      </pivotArea>
    </format>
    <format dxfId="1515">
      <pivotArea dataOnly="0" labelOnly="1" outline="0" fieldPosition="0">
        <references count="2">
          <reference field="0" count="1" selected="0">
            <x v="20"/>
          </reference>
          <reference field="1" count="1">
            <x v="42"/>
          </reference>
        </references>
      </pivotArea>
    </format>
    <format dxfId="1514">
      <pivotArea dataOnly="0" labelOnly="1" outline="0" fieldPosition="0">
        <references count="2">
          <reference field="0" count="1" selected="0">
            <x v="89"/>
          </reference>
          <reference field="1" count="1">
            <x v="44"/>
          </reference>
        </references>
      </pivotArea>
    </format>
    <format dxfId="1513">
      <pivotArea dataOnly="0" labelOnly="1" outline="0" fieldPosition="0">
        <references count="2">
          <reference field="0" count="1" selected="0">
            <x v="0"/>
          </reference>
          <reference field="1" count="1">
            <x v="4"/>
          </reference>
        </references>
      </pivotArea>
    </format>
    <format dxfId="1512">
      <pivotArea dataOnly="0" labelOnly="1" outline="0" fieldPosition="0">
        <references count="2">
          <reference field="0" count="1" selected="0">
            <x v="64"/>
          </reference>
          <reference field="1" count="1">
            <x v="11"/>
          </reference>
        </references>
      </pivotArea>
    </format>
    <format dxfId="1511">
      <pivotArea dataOnly="0" labelOnly="1" outline="0" fieldPosition="0">
        <references count="2">
          <reference field="0" count="1" selected="0">
            <x v="86"/>
          </reference>
          <reference field="1" count="1">
            <x v="40"/>
          </reference>
        </references>
      </pivotArea>
    </format>
    <format dxfId="1510">
      <pivotArea dataOnly="0" labelOnly="1" outline="0" fieldPosition="0">
        <references count="2">
          <reference field="0" count="1" selected="0">
            <x v="82"/>
          </reference>
          <reference field="1" count="1">
            <x v="27"/>
          </reference>
        </references>
      </pivotArea>
    </format>
    <format dxfId="1509">
      <pivotArea dataOnly="0" labelOnly="1" outline="0" fieldPosition="0">
        <references count="2">
          <reference field="0" count="1" selected="0">
            <x v="81"/>
          </reference>
          <reference field="1" count="1">
            <x v="25"/>
          </reference>
        </references>
      </pivotArea>
    </format>
    <format dxfId="1508">
      <pivotArea dataOnly="0" labelOnly="1" outline="0" fieldPosition="0">
        <references count="2">
          <reference field="0" count="1" selected="0">
            <x v="62"/>
          </reference>
          <reference field="1" count="1">
            <x v="98"/>
          </reference>
        </references>
      </pivotArea>
    </format>
    <format dxfId="1507">
      <pivotArea dataOnly="0" labelOnly="1" outline="0" fieldPosition="0">
        <references count="2">
          <reference field="0" count="1" selected="0">
            <x v="94"/>
          </reference>
          <reference field="1" count="1">
            <x v="94"/>
          </reference>
        </references>
      </pivotArea>
    </format>
    <format dxfId="1506">
      <pivotArea dataOnly="0" labelOnly="1" outline="0" fieldPosition="0">
        <references count="2">
          <reference field="0" count="1" selected="0">
            <x v="70"/>
          </reference>
          <reference field="1" count="1">
            <x v="2"/>
          </reference>
        </references>
      </pivotArea>
    </format>
    <format dxfId="1505">
      <pivotArea dataOnly="0" labelOnly="1" outline="0" fieldPosition="0">
        <references count="2">
          <reference field="0" count="1" selected="0">
            <x v="25"/>
          </reference>
          <reference field="1" count="1">
            <x v="53"/>
          </reference>
        </references>
      </pivotArea>
    </format>
    <format dxfId="1504">
      <pivotArea dataOnly="0" labelOnly="1" outline="0" fieldPosition="0">
        <references count="2">
          <reference field="0" count="1" selected="0">
            <x v="7"/>
          </reference>
          <reference field="1" count="1">
            <x v="20"/>
          </reference>
        </references>
      </pivotArea>
    </format>
    <format dxfId="1503">
      <pivotArea dataOnly="0" labelOnly="1" outline="0" fieldPosition="0">
        <references count="2">
          <reference field="0" count="1" selected="0">
            <x v="42"/>
          </reference>
          <reference field="1" count="1">
            <x v="74"/>
          </reference>
        </references>
      </pivotArea>
    </format>
    <format dxfId="1502">
      <pivotArea dataOnly="0" labelOnly="1" outline="0" fieldPosition="0">
        <references count="2">
          <reference field="0" count="1" selected="0">
            <x v="87"/>
          </reference>
          <reference field="1" count="1">
            <x v="41"/>
          </reference>
        </references>
      </pivotArea>
    </format>
    <format dxfId="1501">
      <pivotArea dataOnly="0" labelOnly="1" outline="0" fieldPosition="0">
        <references count="2">
          <reference field="0" count="1" selected="0">
            <x v="55"/>
          </reference>
          <reference field="1" count="1">
            <x v="87"/>
          </reference>
        </references>
      </pivotArea>
    </format>
    <format dxfId="1500">
      <pivotArea dataOnly="0" labelOnly="1" outline="0" fieldPosition="0">
        <references count="2">
          <reference field="0" count="1" selected="0">
            <x v="27"/>
          </reference>
          <reference field="1" count="1">
            <x v="57"/>
          </reference>
        </references>
      </pivotArea>
    </format>
    <format dxfId="1499">
      <pivotArea dataOnly="0" labelOnly="1" outline="0" fieldPosition="0">
        <references count="2">
          <reference field="0" count="1" selected="0">
            <x v="43"/>
          </reference>
          <reference field="1" count="1">
            <x v="75"/>
          </reference>
        </references>
      </pivotArea>
    </format>
    <format dxfId="1498">
      <pivotArea dataOnly="0" labelOnly="1" outline="0" fieldPosition="0">
        <references count="2">
          <reference field="0" count="1" selected="0">
            <x v="47"/>
          </reference>
          <reference field="1" count="1">
            <x v="78"/>
          </reference>
        </references>
      </pivotArea>
    </format>
    <format dxfId="1497">
      <pivotArea dataOnly="0" labelOnly="1" outline="0" fieldPosition="0">
        <references count="2">
          <reference field="0" count="1" selected="0">
            <x v="39"/>
          </reference>
          <reference field="1" count="1">
            <x v="71"/>
          </reference>
        </references>
      </pivotArea>
    </format>
    <format dxfId="1496">
      <pivotArea dataOnly="0" labelOnly="1" outline="0" fieldPosition="0">
        <references count="2">
          <reference field="0" count="1" selected="0">
            <x v="5"/>
          </reference>
          <reference field="1" count="1">
            <x v="18"/>
          </reference>
        </references>
      </pivotArea>
    </format>
    <format dxfId="1495">
      <pivotArea dataOnly="0" labelOnly="1" outline="0" fieldPosition="0">
        <references count="2">
          <reference field="0" count="1" selected="0">
            <x v="34"/>
          </reference>
          <reference field="1" count="1">
            <x v="65"/>
          </reference>
        </references>
      </pivotArea>
    </format>
    <format dxfId="1494">
      <pivotArea dataOnly="0" labelOnly="1" outline="0" fieldPosition="0">
        <references count="2">
          <reference field="0" count="1" selected="0">
            <x v="9"/>
          </reference>
          <reference field="1" count="1">
            <x v="23"/>
          </reference>
        </references>
      </pivotArea>
    </format>
    <format dxfId="1493">
      <pivotArea dataOnly="0" labelOnly="1" outline="0" fieldPosition="0">
        <references count="2">
          <reference field="0" count="1" selected="0">
            <x v="76"/>
          </reference>
          <reference field="1" count="1">
            <x v="14"/>
          </reference>
        </references>
      </pivotArea>
    </format>
    <format dxfId="1492">
      <pivotArea dataOnly="0" labelOnly="1" outline="0" fieldPosition="0">
        <references count="2">
          <reference field="0" count="1" selected="0">
            <x v="35"/>
          </reference>
          <reference field="1" count="1">
            <x v="66"/>
          </reference>
        </references>
      </pivotArea>
    </format>
    <format dxfId="1491">
      <pivotArea dataOnly="0" labelOnly="1" outline="0" fieldPosition="0">
        <references count="2">
          <reference field="0" count="1" selected="0">
            <x v="3"/>
          </reference>
          <reference field="1" count="1">
            <x v="13"/>
          </reference>
        </references>
      </pivotArea>
    </format>
    <format dxfId="1490">
      <pivotArea dataOnly="0" labelOnly="1" outline="0" fieldPosition="0">
        <references count="2">
          <reference field="0" count="1" selected="0">
            <x v="40"/>
          </reference>
          <reference field="1" count="1">
            <x v="72"/>
          </reference>
        </references>
      </pivotArea>
    </format>
    <format dxfId="1489">
      <pivotArea dataOnly="0" labelOnly="1" outline="0" fieldPosition="0">
        <references count="2">
          <reference field="0" count="1" selected="0">
            <x v="21"/>
          </reference>
          <reference field="1" count="1">
            <x v="45"/>
          </reference>
        </references>
      </pivotArea>
    </format>
    <format dxfId="1488">
      <pivotArea dataOnly="0" labelOnly="1" outline="0" fieldPosition="0">
        <references count="2">
          <reference field="0" count="1" selected="0">
            <x v="52"/>
          </reference>
          <reference field="1" count="1">
            <x v="83"/>
          </reference>
        </references>
      </pivotArea>
    </format>
    <format dxfId="1487">
      <pivotArea dataOnly="0" labelOnly="1" outline="0" fieldPosition="0">
        <references count="2">
          <reference field="0" count="1" selected="0">
            <x v="95"/>
          </reference>
          <reference field="1" count="1">
            <x v="95"/>
          </reference>
        </references>
      </pivotArea>
    </format>
    <format dxfId="1486">
      <pivotArea dataOnly="0" labelOnly="1" outline="0" fieldPosition="0">
        <references count="2">
          <reference field="0" count="1" selected="0">
            <x v="75"/>
          </reference>
          <reference field="1" count="1">
            <x v="9"/>
          </reference>
        </references>
      </pivotArea>
    </format>
    <format dxfId="1485">
      <pivotArea dataOnly="0" labelOnly="1" outline="0" fieldPosition="0">
        <references count="2">
          <reference field="0" count="1" selected="0">
            <x v="93"/>
          </reference>
          <reference field="1" count="1">
            <x v="91"/>
          </reference>
        </references>
      </pivotArea>
    </format>
    <format dxfId="1484">
      <pivotArea dataOnly="0" labelOnly="1" outline="0" fieldPosition="0">
        <references count="2">
          <reference field="0" count="1" selected="0">
            <x v="54"/>
          </reference>
          <reference field="1" count="1">
            <x v="86"/>
          </reference>
        </references>
      </pivotArea>
    </format>
    <format dxfId="1483">
      <pivotArea dataOnly="0" labelOnly="1" outline="0" fieldPosition="0">
        <references count="2">
          <reference field="0" count="1" selected="0">
            <x v="24"/>
          </reference>
          <reference field="1" count="1">
            <x v="51"/>
          </reference>
        </references>
      </pivotArea>
    </format>
    <format dxfId="1482">
      <pivotArea dataOnly="0" labelOnly="1" outline="0" fieldPosition="0">
        <references count="2">
          <reference field="0" count="1" selected="0">
            <x v="44"/>
          </reference>
          <reference field="1" count="1">
            <x v="76"/>
          </reference>
        </references>
      </pivotArea>
    </format>
    <format dxfId="1481">
      <pivotArea dataOnly="0" labelOnly="1" outline="0" fieldPosition="0">
        <references count="2">
          <reference field="0" count="1" selected="0">
            <x v="90"/>
          </reference>
          <reference field="1" count="1">
            <x v="47"/>
          </reference>
        </references>
      </pivotArea>
    </format>
    <format dxfId="1480">
      <pivotArea dataOnly="0" labelOnly="1" outline="0" fieldPosition="0">
        <references count="2">
          <reference field="0" count="1" selected="0">
            <x v="14"/>
          </reference>
          <reference field="1" count="1">
            <x v="34"/>
          </reference>
        </references>
      </pivotArea>
    </format>
    <format dxfId="1479">
      <pivotArea dataOnly="0" labelOnly="1" outline="0" fieldPosition="0">
        <references count="2">
          <reference field="0" count="1" selected="0">
            <x v="19"/>
          </reference>
          <reference field="1" count="1">
            <x v="39"/>
          </reference>
        </references>
      </pivotArea>
    </format>
    <format dxfId="1478">
      <pivotArea dataOnly="0" labelOnly="1" outline="0" fieldPosition="0">
        <references count="2">
          <reference field="0" count="1" selected="0">
            <x v="8"/>
          </reference>
          <reference field="1" count="1">
            <x v="21"/>
          </reference>
        </references>
      </pivotArea>
    </format>
    <format dxfId="1477">
      <pivotArea dataOnly="0" labelOnly="1" outline="0" fieldPosition="0">
        <references count="2">
          <reference field="0" count="1" selected="0">
            <x v="67"/>
          </reference>
          <reference field="1" count="1">
            <x v="64"/>
          </reference>
        </references>
      </pivotArea>
    </format>
    <format dxfId="1476">
      <pivotArea dataOnly="0" labelOnly="1" outline="0" fieldPosition="0">
        <references count="2">
          <reference field="0" count="1" selected="0">
            <x v="69"/>
          </reference>
          <reference field="1" count="1">
            <x v="1"/>
          </reference>
        </references>
      </pivotArea>
    </format>
    <format dxfId="1475">
      <pivotArea dataOnly="0" labelOnly="1" outline="0" fieldPosition="0">
        <references count="2">
          <reference field="0" count="1" selected="0">
            <x v="72"/>
          </reference>
          <reference field="1" count="1">
            <x v="5"/>
          </reference>
        </references>
      </pivotArea>
    </format>
    <format dxfId="1474">
      <pivotArea dataOnly="0" labelOnly="1" outline="0" fieldPosition="0">
        <references count="2">
          <reference field="0" count="1" selected="0">
            <x v="38"/>
          </reference>
          <reference field="1" count="1">
            <x v="69"/>
          </reference>
        </references>
      </pivotArea>
    </format>
    <format dxfId="1473">
      <pivotArea dataOnly="0" labelOnly="1" outline="0" fieldPosition="0">
        <references count="2">
          <reference field="0" count="1" selected="0">
            <x v="22"/>
          </reference>
          <reference field="1" count="1">
            <x v="46"/>
          </reference>
        </references>
      </pivotArea>
    </format>
    <format dxfId="1472">
      <pivotArea dataOnly="0" labelOnly="1" outline="0" fieldPosition="0">
        <references count="2">
          <reference field="0" count="1" selected="0">
            <x v="99"/>
          </reference>
          <reference field="1" count="1">
            <x v="85"/>
          </reference>
        </references>
      </pivotArea>
    </format>
    <format dxfId="1471">
      <pivotArea dataOnly="0" labelOnly="1" outline="0" fieldPosition="0">
        <references count="2">
          <reference field="0" count="1" selected="0">
            <x v="98"/>
          </reference>
          <reference field="1" count="1">
            <x v="52"/>
          </reference>
        </references>
      </pivotArea>
    </format>
    <format dxfId="1470">
      <pivotArea dataOnly="0" labelOnly="1" outline="0" fieldPosition="0">
        <references count="2">
          <reference field="0" count="1" selected="0">
            <x v="96"/>
          </reference>
          <reference field="1" count="1">
            <x v="100"/>
          </reference>
        </references>
      </pivotArea>
    </format>
    <format dxfId="1469">
      <pivotArea dataOnly="0" labelOnly="1" outline="0" fieldPosition="0">
        <references count="2">
          <reference field="0" count="1" selected="0">
            <x v="77"/>
          </reference>
          <reference field="1" count="1">
            <x v="16"/>
          </reference>
        </references>
      </pivotArea>
    </format>
    <format dxfId="1468">
      <pivotArea dataOnly="0" labelOnly="1" outline="0" fieldPosition="0">
        <references count="2">
          <reference field="0" count="1" selected="0">
            <x v="13"/>
          </reference>
          <reference field="1" count="1">
            <x v="30"/>
          </reference>
        </references>
      </pivotArea>
    </format>
    <format dxfId="1467">
      <pivotArea dataOnly="0" labelOnly="1" outline="0" fieldPosition="0">
        <references count="2">
          <reference field="0" count="1" selected="0">
            <x v="46"/>
          </reference>
          <reference field="1" count="1">
            <x v="77"/>
          </reference>
        </references>
      </pivotArea>
    </format>
    <format dxfId="1466">
      <pivotArea dataOnly="0" labelOnly="1" outline="0" fieldPosition="0">
        <references count="2">
          <reference field="0" count="1" selected="0">
            <x v="58"/>
          </reference>
          <reference field="1" count="1">
            <x v="90"/>
          </reference>
        </references>
      </pivotArea>
    </format>
    <format dxfId="1465">
      <pivotArea dataOnly="0" labelOnly="1" outline="0" fieldPosition="0">
        <references count="2">
          <reference field="0" count="1" selected="0">
            <x v="83"/>
          </reference>
          <reference field="1" count="1">
            <x v="31"/>
          </reference>
        </references>
      </pivotArea>
    </format>
    <format dxfId="1464">
      <pivotArea dataOnly="0" labelOnly="1" outline="0" fieldPosition="0">
        <references count="2">
          <reference field="0" count="1" selected="0">
            <x v="49"/>
          </reference>
          <reference field="1" count="1">
            <x v="80"/>
          </reference>
        </references>
      </pivotArea>
    </format>
    <format dxfId="1463">
      <pivotArea dataOnly="0" labelOnly="1" outline="0" fieldPosition="0">
        <references count="2">
          <reference field="0" count="1" selected="0">
            <x v="48"/>
          </reference>
          <reference field="1" count="1">
            <x v="79"/>
          </reference>
        </references>
      </pivotArea>
    </format>
    <format dxfId="1462">
      <pivotArea dataOnly="0" labelOnly="1" outline="0" fieldPosition="0">
        <references count="2">
          <reference field="0" count="1" selected="0">
            <x v="68"/>
          </reference>
          <reference field="1" count="1">
            <x v="0"/>
          </reference>
        </references>
      </pivotArea>
    </format>
    <format dxfId="1461">
      <pivotArea dataOnly="0" labelOnly="1" outline="0" fieldPosition="0">
        <references count="2">
          <reference field="0" count="1" selected="0">
            <x v="71"/>
          </reference>
          <reference field="1" count="1">
            <x v="3"/>
          </reference>
        </references>
      </pivotArea>
    </format>
    <format dxfId="1460">
      <pivotArea dataOnly="0" labelOnly="1" outline="0" fieldPosition="0">
        <references count="2">
          <reference field="0" count="1" selected="0">
            <x v="73"/>
          </reference>
          <reference field="1" count="1">
            <x v="6"/>
          </reference>
        </references>
      </pivotArea>
    </format>
    <format dxfId="1459">
      <pivotArea dataOnly="0" labelOnly="1" outline="0" fieldPosition="0">
        <references count="2">
          <reference field="0" count="1" selected="0">
            <x v="30"/>
          </reference>
          <reference field="1" count="1">
            <x v="60"/>
          </reference>
        </references>
      </pivotArea>
    </format>
    <format dxfId="1458">
      <pivotArea dataOnly="0" labelOnly="1" outline="0" fieldPosition="0">
        <references count="2">
          <reference field="0" count="1" selected="0">
            <x v="31"/>
          </reference>
          <reference field="1" count="1">
            <x v="62"/>
          </reference>
        </references>
      </pivotArea>
    </format>
    <format dxfId="1457">
      <pivotArea dataOnly="0" labelOnly="1" outline="0" fieldPosition="0">
        <references count="2">
          <reference field="0" count="1" selected="0">
            <x v="28"/>
          </reference>
          <reference field="1" count="1">
            <x v="58"/>
          </reference>
        </references>
      </pivotArea>
    </format>
    <format dxfId="1456">
      <pivotArea dataOnly="0" labelOnly="1" outline="0" fieldPosition="0">
        <references count="2">
          <reference field="0" count="1" selected="0">
            <x v="10"/>
          </reference>
          <reference field="1" count="1">
            <x v="26"/>
          </reference>
        </references>
      </pivotArea>
    </format>
    <format dxfId="1455">
      <pivotArea dataOnly="0" labelOnly="1" outline="0" fieldPosition="0">
        <references count="2">
          <reference field="0" count="1" selected="0">
            <x v="79"/>
          </reference>
          <reference field="1" count="1">
            <x v="22"/>
          </reference>
        </references>
      </pivotArea>
    </format>
    <format dxfId="1454">
      <pivotArea dataOnly="0" labelOnly="1" outline="0" fieldPosition="0">
        <references count="2">
          <reference field="0" count="1" selected="0">
            <x v="18"/>
          </reference>
          <reference field="1" count="1">
            <x v="38"/>
          </reference>
        </references>
      </pivotArea>
    </format>
    <format dxfId="1453">
      <pivotArea dataOnly="0" labelOnly="1" outline="0" fieldPosition="0">
        <references count="2">
          <reference field="0" count="1" selected="0">
            <x v="100"/>
          </reference>
          <reference field="1" count="1">
            <x v="61"/>
          </reference>
        </references>
      </pivotArea>
    </format>
    <format dxfId="1452">
      <pivotArea dataOnly="0" labelOnly="1" outline="0" fieldPosition="0">
        <references count="2">
          <reference field="0" count="1" selected="0">
            <x v="85"/>
          </reference>
          <reference field="1" count="1">
            <x v="33"/>
          </reference>
        </references>
      </pivotArea>
    </format>
    <format dxfId="1451">
      <pivotArea dataOnly="0" labelOnly="1" outline="0" fieldPosition="0">
        <references count="2">
          <reference field="0" count="1" selected="0">
            <x v="16"/>
          </reference>
          <reference field="1" count="1">
            <x v="36"/>
          </reference>
        </references>
      </pivotArea>
    </format>
    <format dxfId="1450">
      <pivotArea dataOnly="0" labelOnly="1" outline="0" fieldPosition="0">
        <references count="2">
          <reference field="0" count="1" selected="0">
            <x v="60"/>
          </reference>
          <reference field="1" count="1">
            <x v="96"/>
          </reference>
        </references>
      </pivotArea>
    </format>
    <format dxfId="1449">
      <pivotArea dataOnly="0" labelOnly="1" outline="0" fieldPosition="0">
        <references count="2">
          <reference field="0" count="1" selected="0">
            <x v="1"/>
          </reference>
          <reference field="1" count="1">
            <x v="7"/>
          </reference>
        </references>
      </pivotArea>
    </format>
    <format dxfId="1448">
      <pivotArea dataOnly="0" labelOnly="1" outline="0" fieldPosition="0">
        <references count="2">
          <reference field="0" count="1" selected="0">
            <x v="61"/>
          </reference>
          <reference field="1" count="1">
            <x v="97"/>
          </reference>
        </references>
      </pivotArea>
    </format>
    <format dxfId="1447">
      <pivotArea dataOnly="0" labelOnly="1" outline="0" fieldPosition="0">
        <references count="2">
          <reference field="0" count="1" selected="0">
            <x v="45"/>
          </reference>
          <reference field="1" count="1">
            <x v="70"/>
          </reference>
        </references>
      </pivotArea>
    </format>
    <format dxfId="1446">
      <pivotArea dataOnly="0" labelOnly="1" outline="0" fieldPosition="0">
        <references count="2">
          <reference field="0" count="1" selected="0">
            <x v="23"/>
          </reference>
          <reference field="1" count="1">
            <x v="48"/>
          </reference>
        </references>
      </pivotArea>
    </format>
    <format dxfId="1445">
      <pivotArea dataOnly="0" labelOnly="1" outline="0" fieldPosition="0">
        <references count="2">
          <reference field="0" count="1" selected="0">
            <x v="50"/>
          </reference>
          <reference field="1" count="1">
            <x v="81"/>
          </reference>
        </references>
      </pivotArea>
    </format>
    <format dxfId="1444">
      <pivotArea dataOnly="0" labelOnly="1" outline="0" fieldPosition="0">
        <references count="2">
          <reference field="0" count="1" selected="0">
            <x v="97"/>
          </reference>
          <reference field="1" count="1">
            <x v="50"/>
          </reference>
        </references>
      </pivotArea>
    </format>
    <format dxfId="1443">
      <pivotArea dataOnly="0" labelOnly="1" outline="0" fieldPosition="0">
        <references count="2">
          <reference field="0" count="1" selected="0">
            <x v="53"/>
          </reference>
          <reference field="1" count="1">
            <x v="84"/>
          </reference>
        </references>
      </pivotArea>
    </format>
    <format dxfId="1442">
      <pivotArea dataOnly="0" labelOnly="1" outline="0" fieldPosition="0">
        <references count="2">
          <reference field="0" count="1" selected="0">
            <x v="4"/>
          </reference>
          <reference field="1" count="1">
            <x v="15"/>
          </reference>
        </references>
      </pivotArea>
    </format>
    <format dxfId="1441">
      <pivotArea field="2" type="button" dataOnly="0" labelOnly="1" outline="0" axis="axisRow" fieldPosition="2"/>
    </format>
    <format dxfId="1440">
      <pivotArea field="3" type="button" dataOnly="0" labelOnly="1" outline="0" axis="axisRow" fieldPosition="3"/>
    </format>
    <format dxfId="1439">
      <pivotArea field="4" type="button" dataOnly="0" labelOnly="1" outline="0" axis="axisRow" fieldPosition="4"/>
    </format>
    <format dxfId="1438">
      <pivotArea field="5" type="button" dataOnly="0" labelOnly="1" outline="0" axis="axisRow" fieldPosition="5"/>
    </format>
    <format dxfId="1437">
      <pivotArea dataOnly="0" labelOnly="1" outline="0" fieldPosition="0">
        <references count="3">
          <reference field="0" count="1" selected="0">
            <x v="65"/>
          </reference>
          <reference field="1" count="1" selected="0">
            <x v="12"/>
          </reference>
          <reference field="2" count="1">
            <x v="3"/>
          </reference>
        </references>
      </pivotArea>
    </format>
    <format dxfId="1436">
      <pivotArea dataOnly="0" labelOnly="1" outline="0" fieldPosition="0">
        <references count="3">
          <reference field="0" count="1" selected="0">
            <x v="51"/>
          </reference>
          <reference field="1" count="1" selected="0">
            <x v="82"/>
          </reference>
          <reference field="2" count="1">
            <x v="2"/>
          </reference>
        </references>
      </pivotArea>
    </format>
    <format dxfId="1435">
      <pivotArea dataOnly="0" labelOnly="1" outline="0" fieldPosition="0">
        <references count="3">
          <reference field="0" count="1" selected="0">
            <x v="41"/>
          </reference>
          <reference field="1" count="1" selected="0">
            <x v="73"/>
          </reference>
          <reference field="2" count="1">
            <x v="3"/>
          </reference>
        </references>
      </pivotArea>
    </format>
    <format dxfId="1434">
      <pivotArea dataOnly="0" labelOnly="1" outline="0" fieldPosition="0">
        <references count="3">
          <reference field="0" count="1" selected="0">
            <x v="29"/>
          </reference>
          <reference field="1" count="1" selected="0">
            <x v="59"/>
          </reference>
          <reference field="2" count="1">
            <x v="2"/>
          </reference>
        </references>
      </pivotArea>
    </format>
    <format dxfId="1433">
      <pivotArea dataOnly="0" labelOnly="1" outline="0" fieldPosition="0">
        <references count="3">
          <reference field="0" count="1" selected="0">
            <x v="17"/>
          </reference>
          <reference field="1" count="1" selected="0">
            <x v="37"/>
          </reference>
          <reference field="2" count="1">
            <x v="3"/>
          </reference>
        </references>
      </pivotArea>
    </format>
    <format dxfId="1432">
      <pivotArea dataOnly="0" labelOnly="1" outline="0" fieldPosition="0">
        <references count="3">
          <reference field="0" count="1" selected="0">
            <x v="2"/>
          </reference>
          <reference field="1" count="1" selected="0">
            <x v="10"/>
          </reference>
          <reference field="2" count="1">
            <x v="2"/>
          </reference>
        </references>
      </pivotArea>
    </format>
    <format dxfId="1431">
      <pivotArea dataOnly="0" labelOnly="1" outline="0" fieldPosition="0">
        <references count="3">
          <reference field="0" count="1" selected="0">
            <x v="12"/>
          </reference>
          <reference field="1" count="1" selected="0">
            <x v="29"/>
          </reference>
          <reference field="2" count="1">
            <x v="3"/>
          </reference>
        </references>
      </pivotArea>
    </format>
    <format dxfId="1430">
      <pivotArea dataOnly="0" labelOnly="1" outline="0" fieldPosition="0">
        <references count="3">
          <reference field="0" count="1" selected="0">
            <x v="32"/>
          </reference>
          <reference field="1" count="1" selected="0">
            <x v="93"/>
          </reference>
          <reference field="2" count="1">
            <x v="2"/>
          </reference>
        </references>
      </pivotArea>
    </format>
    <format dxfId="1429">
      <pivotArea dataOnly="0" labelOnly="1" outline="0" fieldPosition="0">
        <references count="3">
          <reference field="0" count="1" selected="0">
            <x v="37"/>
          </reference>
          <reference field="1" count="1" selected="0">
            <x v="68"/>
          </reference>
          <reference field="2" count="1">
            <x v="3"/>
          </reference>
        </references>
      </pivotArea>
    </format>
    <format dxfId="1428">
      <pivotArea dataOnly="0" labelOnly="1" outline="0" fieldPosition="0">
        <references count="3">
          <reference field="0" count="1" selected="0">
            <x v="59"/>
          </reference>
          <reference field="1" count="1" selected="0">
            <x v="92"/>
          </reference>
          <reference field="2" count="1">
            <x v="2"/>
          </reference>
        </references>
      </pivotArea>
    </format>
    <format dxfId="1427">
      <pivotArea dataOnly="0" labelOnly="1" outline="0" fieldPosition="0">
        <references count="3">
          <reference field="0" count="1" selected="0">
            <x v="33"/>
          </reference>
          <reference field="1" count="1" selected="0">
            <x v="63"/>
          </reference>
          <reference field="2" count="1">
            <x v="4"/>
          </reference>
        </references>
      </pivotArea>
    </format>
    <format dxfId="1426">
      <pivotArea dataOnly="0" labelOnly="1" outline="0" fieldPosition="0">
        <references count="3">
          <reference field="0" count="1" selected="0">
            <x v="15"/>
          </reference>
          <reference field="1" count="1" selected="0">
            <x v="35"/>
          </reference>
          <reference field="2" count="1">
            <x v="2"/>
          </reference>
        </references>
      </pivotArea>
    </format>
    <format dxfId="1425">
      <pivotArea dataOnly="0" labelOnly="1" outline="0" fieldPosition="0">
        <references count="3">
          <reference field="0" count="1" selected="0">
            <x v="63"/>
          </reference>
          <reference field="1" count="1" selected="0">
            <x v="99"/>
          </reference>
          <reference field="2" count="1">
            <x v="3"/>
          </reference>
        </references>
      </pivotArea>
    </format>
    <format dxfId="1424">
      <pivotArea dataOnly="0" labelOnly="1" outline="0" fieldPosition="0">
        <references count="3">
          <reference field="0" count="1" selected="0">
            <x v="66"/>
          </reference>
          <reference field="1" count="1" selected="0">
            <x v="49"/>
          </reference>
          <reference field="2" count="1">
            <x v="4"/>
          </reference>
        </references>
      </pivotArea>
    </format>
    <format dxfId="1423">
      <pivotArea dataOnly="0" labelOnly="1" outline="0" fieldPosition="0">
        <references count="3">
          <reference field="0" count="1" selected="0">
            <x v="88"/>
          </reference>
          <reference field="1" count="1" selected="0">
            <x v="43"/>
          </reference>
          <reference field="2" count="1">
            <x v="2"/>
          </reference>
        </references>
      </pivotArea>
    </format>
    <format dxfId="1422">
      <pivotArea dataOnly="0" labelOnly="1" outline="0" fieldPosition="0">
        <references count="3">
          <reference field="0" count="1" selected="0">
            <x v="84"/>
          </reference>
          <reference field="1" count="1" selected="0">
            <x v="32"/>
          </reference>
          <reference field="2" count="1">
            <x v="3"/>
          </reference>
        </references>
      </pivotArea>
    </format>
    <format dxfId="1421">
      <pivotArea dataOnly="0" labelOnly="1" outline="0" fieldPosition="0">
        <references count="3">
          <reference field="0" count="1" selected="0">
            <x v="57"/>
          </reference>
          <reference field="1" count="1" selected="0">
            <x v="89"/>
          </reference>
          <reference field="2" count="1">
            <x v="8"/>
          </reference>
        </references>
      </pivotArea>
    </format>
    <format dxfId="1420">
      <pivotArea dataOnly="0" labelOnly="1" outline="0" fieldPosition="0">
        <references count="3">
          <reference field="0" count="1" selected="0">
            <x v="74"/>
          </reference>
          <reference field="1" count="1" selected="0">
            <x v="8"/>
          </reference>
          <reference field="2" count="1">
            <x v="3"/>
          </reference>
        </references>
      </pivotArea>
    </format>
    <format dxfId="1419">
      <pivotArea dataOnly="0" labelOnly="1" outline="0" fieldPosition="0">
        <references count="3">
          <reference field="0" count="1" selected="0">
            <x v="6"/>
          </reference>
          <reference field="1" count="1" selected="0">
            <x v="19"/>
          </reference>
          <reference field="2" count="1">
            <x v="6"/>
          </reference>
        </references>
      </pivotArea>
    </format>
    <format dxfId="1418">
      <pivotArea dataOnly="0" labelOnly="1" outline="0" fieldPosition="0">
        <references count="3">
          <reference field="0" count="1" selected="0">
            <x v="92"/>
          </reference>
          <reference field="1" count="1" selected="0">
            <x v="55"/>
          </reference>
          <reference field="2" count="1">
            <x v="3"/>
          </reference>
        </references>
      </pivotArea>
    </format>
    <format dxfId="1417">
      <pivotArea dataOnly="0" labelOnly="1" outline="0" fieldPosition="0">
        <references count="3">
          <reference field="0" count="1" selected="0">
            <x v="20"/>
          </reference>
          <reference field="1" count="1" selected="0">
            <x v="42"/>
          </reference>
          <reference field="2" count="1">
            <x v="5"/>
          </reference>
        </references>
      </pivotArea>
    </format>
    <format dxfId="1416">
      <pivotArea dataOnly="0" labelOnly="1" outline="0" fieldPosition="0">
        <references count="3">
          <reference field="0" count="1" selected="0">
            <x v="89"/>
          </reference>
          <reference field="1" count="1" selected="0">
            <x v="44"/>
          </reference>
          <reference field="2" count="1">
            <x v="2"/>
          </reference>
        </references>
      </pivotArea>
    </format>
    <format dxfId="1415">
      <pivotArea dataOnly="0" labelOnly="1" outline="0" fieldPosition="0">
        <references count="3">
          <reference field="0" count="1" selected="0">
            <x v="0"/>
          </reference>
          <reference field="1" count="1" selected="0">
            <x v="4"/>
          </reference>
          <reference field="2" count="1">
            <x v="1"/>
          </reference>
        </references>
      </pivotArea>
    </format>
    <format dxfId="1414">
      <pivotArea dataOnly="0" labelOnly="1" outline="0" fieldPosition="0">
        <references count="3">
          <reference field="0" count="1" selected="0">
            <x v="64"/>
          </reference>
          <reference field="1" count="1" selected="0">
            <x v="11"/>
          </reference>
          <reference field="2" count="1">
            <x v="2"/>
          </reference>
        </references>
      </pivotArea>
    </format>
    <format dxfId="1413">
      <pivotArea dataOnly="0" labelOnly="1" outline="0" fieldPosition="0">
        <references count="3">
          <reference field="0" count="1" selected="0">
            <x v="86"/>
          </reference>
          <reference field="1" count="1" selected="0">
            <x v="40"/>
          </reference>
          <reference field="2" count="1">
            <x v="5"/>
          </reference>
        </references>
      </pivotArea>
    </format>
    <format dxfId="1412">
      <pivotArea dataOnly="0" labelOnly="1" outline="0" fieldPosition="0">
        <references count="3">
          <reference field="0" count="1" selected="0">
            <x v="82"/>
          </reference>
          <reference field="1" count="1" selected="0">
            <x v="27"/>
          </reference>
          <reference field="2" count="1">
            <x v="2"/>
          </reference>
        </references>
      </pivotArea>
    </format>
    <format dxfId="1411">
      <pivotArea dataOnly="0" labelOnly="1" outline="0" fieldPosition="0">
        <references count="3">
          <reference field="0" count="1" selected="0">
            <x v="81"/>
          </reference>
          <reference field="1" count="1" selected="0">
            <x v="25"/>
          </reference>
          <reference field="2" count="1">
            <x v="3"/>
          </reference>
        </references>
      </pivotArea>
    </format>
    <format dxfId="1410">
      <pivotArea dataOnly="0" labelOnly="1" outline="0" fieldPosition="0">
        <references count="3">
          <reference field="0" count="1" selected="0">
            <x v="62"/>
          </reference>
          <reference field="1" count="1" selected="0">
            <x v="98"/>
          </reference>
          <reference field="2" count="1">
            <x v="8"/>
          </reference>
        </references>
      </pivotArea>
    </format>
    <format dxfId="1409">
      <pivotArea dataOnly="0" labelOnly="1" outline="0" fieldPosition="0">
        <references count="3">
          <reference field="0" count="1" selected="0">
            <x v="94"/>
          </reference>
          <reference field="1" count="1" selected="0">
            <x v="94"/>
          </reference>
          <reference field="2" count="1">
            <x v="3"/>
          </reference>
        </references>
      </pivotArea>
    </format>
    <format dxfId="1408">
      <pivotArea dataOnly="0" labelOnly="1" outline="0" fieldPosition="0">
        <references count="3">
          <reference field="0" count="1" selected="0">
            <x v="7"/>
          </reference>
          <reference field="1" count="1" selected="0">
            <x v="20"/>
          </reference>
          <reference field="2" count="1">
            <x v="2"/>
          </reference>
        </references>
      </pivotArea>
    </format>
    <format dxfId="1407">
      <pivotArea dataOnly="0" labelOnly="1" outline="0" fieldPosition="0">
        <references count="3">
          <reference field="0" count="1" selected="0">
            <x v="42"/>
          </reference>
          <reference field="1" count="1" selected="0">
            <x v="74"/>
          </reference>
          <reference field="2" count="1">
            <x v="5"/>
          </reference>
        </references>
      </pivotArea>
    </format>
    <format dxfId="1406">
      <pivotArea dataOnly="0" labelOnly="1" outline="0" fieldPosition="0">
        <references count="3">
          <reference field="0" count="1" selected="0">
            <x v="87"/>
          </reference>
          <reference field="1" count="1" selected="0">
            <x v="41"/>
          </reference>
          <reference field="2" count="1">
            <x v="3"/>
          </reference>
        </references>
      </pivotArea>
    </format>
    <format dxfId="1405">
      <pivotArea dataOnly="0" labelOnly="1" outline="0" fieldPosition="0">
        <references count="3">
          <reference field="0" count="1" selected="0">
            <x v="27"/>
          </reference>
          <reference field="1" count="1" selected="0">
            <x v="57"/>
          </reference>
          <reference field="2" count="1">
            <x v="2"/>
          </reference>
        </references>
      </pivotArea>
    </format>
    <format dxfId="1404">
      <pivotArea dataOnly="0" labelOnly="1" outline="0" fieldPosition="0">
        <references count="3">
          <reference field="0" count="1" selected="0">
            <x v="43"/>
          </reference>
          <reference field="1" count="1" selected="0">
            <x v="75"/>
          </reference>
          <reference field="2" count="1">
            <x v="7"/>
          </reference>
        </references>
      </pivotArea>
    </format>
    <format dxfId="1403">
      <pivotArea dataOnly="0" labelOnly="1" outline="0" fieldPosition="0">
        <references count="3">
          <reference field="0" count="1" selected="0">
            <x v="39"/>
          </reference>
          <reference field="1" count="1" selected="0">
            <x v="71"/>
          </reference>
          <reference field="2" count="1">
            <x v="6"/>
          </reference>
        </references>
      </pivotArea>
    </format>
    <format dxfId="1402">
      <pivotArea dataOnly="0" labelOnly="1" outline="0" fieldPosition="0">
        <references count="3">
          <reference field="0" count="1" selected="0">
            <x v="5"/>
          </reference>
          <reference field="1" count="1" selected="0">
            <x v="18"/>
          </reference>
          <reference field="2" count="1">
            <x v="1"/>
          </reference>
        </references>
      </pivotArea>
    </format>
    <format dxfId="1401">
      <pivotArea dataOnly="0" labelOnly="1" outline="0" fieldPosition="0">
        <references count="3">
          <reference field="0" count="1" selected="0">
            <x v="34"/>
          </reference>
          <reference field="1" count="1" selected="0">
            <x v="65"/>
          </reference>
          <reference field="2" count="1">
            <x v="5"/>
          </reference>
        </references>
      </pivotArea>
    </format>
    <format dxfId="1400">
      <pivotArea dataOnly="0" labelOnly="1" outline="0" fieldPosition="0">
        <references count="3">
          <reference field="0" count="1" selected="0">
            <x v="9"/>
          </reference>
          <reference field="1" count="1" selected="0">
            <x v="23"/>
          </reference>
          <reference field="2" count="1">
            <x v="1"/>
          </reference>
        </references>
      </pivotArea>
    </format>
    <format dxfId="1399">
      <pivotArea dataOnly="0" labelOnly="1" outline="0" fieldPosition="0">
        <references count="3">
          <reference field="0" count="1" selected="0">
            <x v="76"/>
          </reference>
          <reference field="1" count="1" selected="0">
            <x v="14"/>
          </reference>
          <reference field="2" count="1">
            <x v="3"/>
          </reference>
        </references>
      </pivotArea>
    </format>
    <format dxfId="1398">
      <pivotArea dataOnly="0" labelOnly="1" outline="0" fieldPosition="0">
        <references count="3">
          <reference field="0" count="1" selected="0">
            <x v="35"/>
          </reference>
          <reference field="1" count="1" selected="0">
            <x v="66"/>
          </reference>
          <reference field="2" count="1">
            <x v="5"/>
          </reference>
        </references>
      </pivotArea>
    </format>
    <format dxfId="1397">
      <pivotArea dataOnly="0" labelOnly="1" outline="0" fieldPosition="0">
        <references count="3">
          <reference field="0" count="1" selected="0">
            <x v="3"/>
          </reference>
          <reference field="1" count="1" selected="0">
            <x v="13"/>
          </reference>
          <reference field="2" count="1">
            <x v="3"/>
          </reference>
        </references>
      </pivotArea>
    </format>
    <format dxfId="1396">
      <pivotArea dataOnly="0" labelOnly="1" outline="0" fieldPosition="0">
        <references count="3">
          <reference field="0" count="1" selected="0">
            <x v="40"/>
          </reference>
          <reference field="1" count="1" selected="0">
            <x v="72"/>
          </reference>
          <reference field="2" count="1">
            <x v="6"/>
          </reference>
        </references>
      </pivotArea>
    </format>
    <format dxfId="1395">
      <pivotArea dataOnly="0" labelOnly="1" outline="0" fieldPosition="0">
        <references count="3">
          <reference field="0" count="1" selected="0">
            <x v="21"/>
          </reference>
          <reference field="1" count="1" selected="0">
            <x v="45"/>
          </reference>
          <reference field="2" count="1">
            <x v="4"/>
          </reference>
        </references>
      </pivotArea>
    </format>
    <format dxfId="1394">
      <pivotArea dataOnly="0" labelOnly="1" outline="0" fieldPosition="0">
        <references count="3">
          <reference field="0" count="1" selected="0">
            <x v="52"/>
          </reference>
          <reference field="1" count="1" selected="0">
            <x v="83"/>
          </reference>
          <reference field="2" count="1">
            <x v="2"/>
          </reference>
        </references>
      </pivotArea>
    </format>
    <format dxfId="1393">
      <pivotArea dataOnly="0" labelOnly="1" outline="0" fieldPosition="0">
        <references count="3">
          <reference field="0" count="1" selected="0">
            <x v="95"/>
          </reference>
          <reference field="1" count="1" selected="0">
            <x v="95"/>
          </reference>
          <reference field="2" count="1">
            <x v="3"/>
          </reference>
        </references>
      </pivotArea>
    </format>
    <format dxfId="1392">
      <pivotArea dataOnly="0" labelOnly="1" outline="0" fieldPosition="0">
        <references count="3">
          <reference field="0" count="1" selected="0">
            <x v="93"/>
          </reference>
          <reference field="1" count="1" selected="0">
            <x v="91"/>
          </reference>
          <reference field="2" count="1">
            <x v="6"/>
          </reference>
        </references>
      </pivotArea>
    </format>
    <format dxfId="1391">
      <pivotArea dataOnly="0" labelOnly="1" outline="0" fieldPosition="0">
        <references count="3">
          <reference field="0" count="1" selected="0">
            <x v="54"/>
          </reference>
          <reference field="1" count="1" selected="0">
            <x v="86"/>
          </reference>
          <reference field="2" count="1">
            <x v="3"/>
          </reference>
        </references>
      </pivotArea>
    </format>
    <format dxfId="1390">
      <pivotArea dataOnly="0" labelOnly="1" outline="0" fieldPosition="0">
        <references count="3">
          <reference field="0" count="1" selected="0">
            <x v="44"/>
          </reference>
          <reference field="1" count="1" selected="0">
            <x v="76"/>
          </reference>
          <reference field="2" count="1">
            <x v="2"/>
          </reference>
        </references>
      </pivotArea>
    </format>
    <format dxfId="1389">
      <pivotArea dataOnly="0" labelOnly="1" outline="0" fieldPosition="0">
        <references count="3">
          <reference field="0" count="1" selected="0">
            <x v="90"/>
          </reference>
          <reference field="1" count="1" selected="0">
            <x v="47"/>
          </reference>
          <reference field="2" count="1">
            <x v="3"/>
          </reference>
        </references>
      </pivotArea>
    </format>
    <format dxfId="1388">
      <pivotArea dataOnly="0" labelOnly="1" outline="0" fieldPosition="0">
        <references count="3">
          <reference field="0" count="1" selected="0">
            <x v="19"/>
          </reference>
          <reference field="1" count="1" selected="0">
            <x v="39"/>
          </reference>
          <reference field="2" count="1">
            <x v="8"/>
          </reference>
        </references>
      </pivotArea>
    </format>
    <format dxfId="1387">
      <pivotArea dataOnly="0" labelOnly="1" outline="0" fieldPosition="0">
        <references count="3">
          <reference field="0" count="1" selected="0">
            <x v="8"/>
          </reference>
          <reference field="1" count="1" selected="0">
            <x v="21"/>
          </reference>
          <reference field="2" count="1">
            <x v="2"/>
          </reference>
        </references>
      </pivotArea>
    </format>
    <format dxfId="1386">
      <pivotArea dataOnly="0" labelOnly="1" outline="0" fieldPosition="0">
        <references count="3">
          <reference field="0" count="1" selected="0">
            <x v="67"/>
          </reference>
          <reference field="1" count="1" selected="0">
            <x v="64"/>
          </reference>
          <reference field="2" count="1">
            <x v="4"/>
          </reference>
        </references>
      </pivotArea>
    </format>
    <format dxfId="1385">
      <pivotArea dataOnly="0" labelOnly="1" outline="0" fieldPosition="0">
        <references count="3">
          <reference field="0" count="1" selected="0">
            <x v="69"/>
          </reference>
          <reference field="1" count="1" selected="0">
            <x v="1"/>
          </reference>
          <reference field="2" count="1">
            <x v="3"/>
          </reference>
        </references>
      </pivotArea>
    </format>
    <format dxfId="1384">
      <pivotArea dataOnly="0" labelOnly="1" outline="0" fieldPosition="0">
        <references count="3">
          <reference field="0" count="1" selected="0">
            <x v="72"/>
          </reference>
          <reference field="1" count="1" selected="0">
            <x v="5"/>
          </reference>
          <reference field="2" count="1">
            <x v="5"/>
          </reference>
        </references>
      </pivotArea>
    </format>
    <format dxfId="1383">
      <pivotArea dataOnly="0" labelOnly="1" outline="0" fieldPosition="0">
        <references count="3">
          <reference field="0" count="1" selected="0">
            <x v="38"/>
          </reference>
          <reference field="1" count="1" selected="0">
            <x v="69"/>
          </reference>
          <reference field="2" count="1">
            <x v="3"/>
          </reference>
        </references>
      </pivotArea>
    </format>
    <format dxfId="1382">
      <pivotArea dataOnly="0" labelOnly="1" outline="0" fieldPosition="0">
        <references count="3">
          <reference field="0" count="1" selected="0">
            <x v="22"/>
          </reference>
          <reference field="1" count="1" selected="0">
            <x v="46"/>
          </reference>
          <reference field="2" count="1">
            <x v="4"/>
          </reference>
        </references>
      </pivotArea>
    </format>
    <format dxfId="1381">
      <pivotArea dataOnly="0" labelOnly="1" outline="0" fieldPosition="0">
        <references count="3">
          <reference field="0" count="1" selected="0">
            <x v="96"/>
          </reference>
          <reference field="1" count="1" selected="0">
            <x v="100"/>
          </reference>
          <reference field="2" count="1">
            <x v="3"/>
          </reference>
        </references>
      </pivotArea>
    </format>
    <format dxfId="1380">
      <pivotArea dataOnly="0" labelOnly="1" outline="0" fieldPosition="0">
        <references count="3">
          <reference field="0" count="1" selected="0">
            <x v="13"/>
          </reference>
          <reference field="1" count="1" selected="0">
            <x v="30"/>
          </reference>
          <reference field="2" count="1">
            <x v="7"/>
          </reference>
        </references>
      </pivotArea>
    </format>
    <format dxfId="1379">
      <pivotArea dataOnly="0" labelOnly="1" outline="0" fieldPosition="0">
        <references count="3">
          <reference field="0" count="1" selected="0">
            <x v="46"/>
          </reference>
          <reference field="1" count="1" selected="0">
            <x v="77"/>
          </reference>
          <reference field="2" count="1">
            <x v="6"/>
          </reference>
        </references>
      </pivotArea>
    </format>
    <format dxfId="1378">
      <pivotArea dataOnly="0" labelOnly="1" outline="0" fieldPosition="0">
        <references count="3">
          <reference field="0" count="1" selected="0">
            <x v="58"/>
          </reference>
          <reference field="1" count="1" selected="0">
            <x v="90"/>
          </reference>
          <reference field="2" count="1">
            <x v="3"/>
          </reference>
        </references>
      </pivotArea>
    </format>
    <format dxfId="1377">
      <pivotArea dataOnly="0" labelOnly="1" outline="0" fieldPosition="0">
        <references count="3">
          <reference field="0" count="1" selected="0">
            <x v="83"/>
          </reference>
          <reference field="1" count="1" selected="0">
            <x v="31"/>
          </reference>
          <reference field="2" count="1">
            <x v="8"/>
          </reference>
        </references>
      </pivotArea>
    </format>
    <format dxfId="1376">
      <pivotArea dataOnly="0" labelOnly="1" outline="0" fieldPosition="0">
        <references count="3">
          <reference field="0" count="1" selected="0">
            <x v="49"/>
          </reference>
          <reference field="1" count="1" selected="0">
            <x v="80"/>
          </reference>
          <reference field="2" count="1">
            <x v="6"/>
          </reference>
        </references>
      </pivotArea>
    </format>
    <format dxfId="1375">
      <pivotArea dataOnly="0" labelOnly="1" outline="0" fieldPosition="0">
        <references count="3">
          <reference field="0" count="1" selected="0">
            <x v="48"/>
          </reference>
          <reference field="1" count="1" selected="0">
            <x v="79"/>
          </reference>
          <reference field="2" count="1">
            <x v="2"/>
          </reference>
        </references>
      </pivotArea>
    </format>
    <format dxfId="1374">
      <pivotArea dataOnly="0" labelOnly="1" outline="0" fieldPosition="0">
        <references count="3">
          <reference field="0" count="1" selected="0">
            <x v="68"/>
          </reference>
          <reference field="1" count="1" selected="0">
            <x v="0"/>
          </reference>
          <reference field="2" count="1">
            <x v="3"/>
          </reference>
        </references>
      </pivotArea>
    </format>
    <format dxfId="1373">
      <pivotArea dataOnly="0" labelOnly="1" outline="0" fieldPosition="0">
        <references count="3">
          <reference field="0" count="1" selected="0">
            <x v="73"/>
          </reference>
          <reference field="1" count="1" selected="0">
            <x v="6"/>
          </reference>
          <reference field="2" count="1">
            <x v="2"/>
          </reference>
        </references>
      </pivotArea>
    </format>
    <format dxfId="1372">
      <pivotArea dataOnly="0" labelOnly="1" outline="0" fieldPosition="0">
        <references count="3">
          <reference field="0" count="1" selected="0">
            <x v="79"/>
          </reference>
          <reference field="1" count="1" selected="0">
            <x v="22"/>
          </reference>
          <reference field="2" count="1">
            <x v="8"/>
          </reference>
        </references>
      </pivotArea>
    </format>
    <format dxfId="1371">
      <pivotArea dataOnly="0" labelOnly="1" outline="0" fieldPosition="0">
        <references count="3">
          <reference field="0" count="1" selected="0">
            <x v="18"/>
          </reference>
          <reference field="1" count="1" selected="0">
            <x v="38"/>
          </reference>
          <reference field="2" count="1">
            <x v="3"/>
          </reference>
        </references>
      </pivotArea>
    </format>
    <format dxfId="1370">
      <pivotArea dataOnly="0" labelOnly="1" outline="0" fieldPosition="0">
        <references count="3">
          <reference field="0" count="1" selected="0">
            <x v="100"/>
          </reference>
          <reference field="1" count="1" selected="0">
            <x v="61"/>
          </reference>
          <reference field="2" count="1">
            <x v="0"/>
          </reference>
        </references>
      </pivotArea>
    </format>
    <format dxfId="1369">
      <pivotArea dataOnly="0" labelOnly="1" outline="0" fieldPosition="0">
        <references count="3">
          <reference field="0" count="1" selected="0">
            <x v="85"/>
          </reference>
          <reference field="1" count="1" selected="0">
            <x v="33"/>
          </reference>
          <reference field="2" count="1">
            <x v="4"/>
          </reference>
        </references>
      </pivotArea>
    </format>
    <format dxfId="1368">
      <pivotArea dataOnly="0" labelOnly="1" outline="0" fieldPosition="0">
        <references count="3">
          <reference field="0" count="1" selected="0">
            <x v="16"/>
          </reference>
          <reference field="1" count="1" selected="0">
            <x v="36"/>
          </reference>
          <reference field="2" count="1">
            <x v="3"/>
          </reference>
        </references>
      </pivotArea>
    </format>
    <format dxfId="1367">
      <pivotArea dataOnly="0" labelOnly="1" outline="0" fieldPosition="0">
        <references count="3">
          <reference field="0" count="1" selected="0">
            <x v="60"/>
          </reference>
          <reference field="1" count="1" selected="0">
            <x v="96"/>
          </reference>
          <reference field="2" count="1">
            <x v="8"/>
          </reference>
        </references>
      </pivotArea>
    </format>
    <format dxfId="1366">
      <pivotArea dataOnly="0" labelOnly="1" outline="0" fieldPosition="0">
        <references count="3">
          <reference field="0" count="1" selected="0">
            <x v="1"/>
          </reference>
          <reference field="1" count="1" selected="0">
            <x v="7"/>
          </reference>
          <reference field="2" count="1">
            <x v="2"/>
          </reference>
        </references>
      </pivotArea>
    </format>
    <format dxfId="1365">
      <pivotArea dataOnly="0" labelOnly="1" outline="0" fieldPosition="0">
        <references count="3">
          <reference field="0" count="1" selected="0">
            <x v="61"/>
          </reference>
          <reference field="1" count="1" selected="0">
            <x v="97"/>
          </reference>
          <reference field="2" count="1">
            <x v="4"/>
          </reference>
        </references>
      </pivotArea>
    </format>
    <format dxfId="1364">
      <pivotArea dataOnly="0" labelOnly="1" outline="0" fieldPosition="0">
        <references count="3">
          <reference field="0" count="1" selected="0">
            <x v="45"/>
          </reference>
          <reference field="1" count="1" selected="0">
            <x v="70"/>
          </reference>
          <reference field="2" count="1">
            <x v="3"/>
          </reference>
        </references>
      </pivotArea>
    </format>
    <format dxfId="1363">
      <pivotArea dataOnly="0" labelOnly="1" outline="0" fieldPosition="0">
        <references count="3">
          <reference field="0" count="1" selected="0">
            <x v="23"/>
          </reference>
          <reference field="1" count="1" selected="0">
            <x v="48"/>
          </reference>
          <reference field="2" count="1">
            <x v="7"/>
          </reference>
        </references>
      </pivotArea>
    </format>
    <format dxfId="1362">
      <pivotArea dataOnly="0" labelOnly="1" outline="0" fieldPosition="0">
        <references count="3">
          <reference field="0" count="1" selected="0">
            <x v="50"/>
          </reference>
          <reference field="1" count="1" selected="0">
            <x v="81"/>
          </reference>
          <reference field="2" count="1">
            <x v="4"/>
          </reference>
        </references>
      </pivotArea>
    </format>
    <format dxfId="1361">
      <pivotArea dataOnly="0" labelOnly="1" outline="0" fieldPosition="0">
        <references count="3">
          <reference field="0" count="1" selected="0">
            <x v="97"/>
          </reference>
          <reference field="1" count="1" selected="0">
            <x v="50"/>
          </reference>
          <reference field="2" count="1">
            <x v="2"/>
          </reference>
        </references>
      </pivotArea>
    </format>
    <format dxfId="1360">
      <pivotArea dataOnly="0" labelOnly="1" outline="0" fieldPosition="0">
        <references count="3">
          <reference field="0" count="1" selected="0">
            <x v="53"/>
          </reference>
          <reference field="1" count="1" selected="0">
            <x v="84"/>
          </reference>
          <reference field="2" count="1">
            <x v="6"/>
          </reference>
        </references>
      </pivotArea>
    </format>
    <format dxfId="1359">
      <pivotArea dataOnly="0" labelOnly="1" outline="0" fieldPosition="0">
        <references count="3">
          <reference field="0" count="1" selected="0">
            <x v="4"/>
          </reference>
          <reference field="1" count="1" selected="0">
            <x v="15"/>
          </reference>
          <reference field="2" count="1">
            <x v="2"/>
          </reference>
        </references>
      </pivotArea>
    </format>
    <format dxfId="1358">
      <pivotArea dataOnly="0" labelOnly="1" outline="0" fieldPosition="0">
        <references count="4">
          <reference field="0" count="1" selected="0">
            <x v="65"/>
          </reference>
          <reference field="1" count="1" selected="0">
            <x v="12"/>
          </reference>
          <reference field="2" count="1" selected="0">
            <x v="3"/>
          </reference>
          <reference field="3" count="1">
            <x v="31"/>
          </reference>
        </references>
      </pivotArea>
    </format>
    <format dxfId="1357">
      <pivotArea dataOnly="0" labelOnly="1" outline="0" fieldPosition="0">
        <references count="4">
          <reference field="0" count="1" selected="0">
            <x v="51"/>
          </reference>
          <reference field="1" count="1" selected="0">
            <x v="82"/>
          </reference>
          <reference field="2" count="1" selected="0">
            <x v="2"/>
          </reference>
          <reference field="3" count="1">
            <x v="8"/>
          </reference>
        </references>
      </pivotArea>
    </format>
    <format dxfId="1356">
      <pivotArea dataOnly="0" labelOnly="1" outline="0" fieldPosition="0">
        <references count="4">
          <reference field="0" count="1" selected="0">
            <x v="26"/>
          </reference>
          <reference field="1" count="1" selected="0">
            <x v="56"/>
          </reference>
          <reference field="2" count="1" selected="0">
            <x v="2"/>
          </reference>
          <reference field="3" count="1">
            <x v="7"/>
          </reference>
        </references>
      </pivotArea>
    </format>
    <format dxfId="1355">
      <pivotArea dataOnly="0" labelOnly="1" outline="0" fieldPosition="0">
        <references count="4">
          <reference field="0" count="1" selected="0">
            <x v="41"/>
          </reference>
          <reference field="1" count="1" selected="0">
            <x v="73"/>
          </reference>
          <reference field="2" count="1" selected="0">
            <x v="3"/>
          </reference>
          <reference field="3" count="1">
            <x v="10"/>
          </reference>
        </references>
      </pivotArea>
    </format>
    <format dxfId="1354">
      <pivotArea dataOnly="0" labelOnly="1" outline="0" fieldPosition="0">
        <references count="4">
          <reference field="0" count="1" selected="0">
            <x v="29"/>
          </reference>
          <reference field="1" count="1" selected="0">
            <x v="59"/>
          </reference>
          <reference field="2" count="1" selected="0">
            <x v="2"/>
          </reference>
          <reference field="3" count="1">
            <x v="8"/>
          </reference>
        </references>
      </pivotArea>
    </format>
    <format dxfId="1353">
      <pivotArea dataOnly="0" labelOnly="1" outline="0" fieldPosition="0">
        <references count="4">
          <reference field="0" count="1" selected="0">
            <x v="17"/>
          </reference>
          <reference field="1" count="1" selected="0">
            <x v="37"/>
          </reference>
          <reference field="2" count="1" selected="0">
            <x v="3"/>
          </reference>
          <reference field="3" count="1">
            <x v="15"/>
          </reference>
        </references>
      </pivotArea>
    </format>
    <format dxfId="1352">
      <pivotArea dataOnly="0" labelOnly="1" outline="0" fieldPosition="0">
        <references count="4">
          <reference field="0" count="1" selected="0">
            <x v="2"/>
          </reference>
          <reference field="1" count="1" selected="0">
            <x v="10"/>
          </reference>
          <reference field="2" count="1" selected="0">
            <x v="2"/>
          </reference>
          <reference field="3" count="1">
            <x v="7"/>
          </reference>
        </references>
      </pivotArea>
    </format>
    <format dxfId="1351">
      <pivotArea dataOnly="0" labelOnly="1" outline="0" fieldPosition="0">
        <references count="4">
          <reference field="0" count="1" selected="0">
            <x v="12"/>
          </reference>
          <reference field="1" count="1" selected="0">
            <x v="29"/>
          </reference>
          <reference field="2" count="1" selected="0">
            <x v="3"/>
          </reference>
          <reference field="3" count="1">
            <x v="10"/>
          </reference>
        </references>
      </pivotArea>
    </format>
    <format dxfId="1350">
      <pivotArea dataOnly="0" labelOnly="1" outline="0" fieldPosition="0">
        <references count="4">
          <reference field="0" count="1" selected="0">
            <x v="32"/>
          </reference>
          <reference field="1" count="1" selected="0">
            <x v="93"/>
          </reference>
          <reference field="2" count="1" selected="0">
            <x v="2"/>
          </reference>
          <reference field="3" count="1">
            <x v="8"/>
          </reference>
        </references>
      </pivotArea>
    </format>
    <format dxfId="1349">
      <pivotArea dataOnly="0" labelOnly="1" outline="0" fieldPosition="0">
        <references count="4">
          <reference field="0" count="1" selected="0">
            <x v="37"/>
          </reference>
          <reference field="1" count="1" selected="0">
            <x v="68"/>
          </reference>
          <reference field="2" count="1" selected="0">
            <x v="3"/>
          </reference>
          <reference field="3" count="1">
            <x v="31"/>
          </reference>
        </references>
      </pivotArea>
    </format>
    <format dxfId="1348">
      <pivotArea dataOnly="0" labelOnly="1" outline="0" fieldPosition="0">
        <references count="4">
          <reference field="0" count="1" selected="0">
            <x v="59"/>
          </reference>
          <reference field="1" count="1" selected="0">
            <x v="92"/>
          </reference>
          <reference field="2" count="1" selected="0">
            <x v="2"/>
          </reference>
          <reference field="3" count="1">
            <x v="7"/>
          </reference>
        </references>
      </pivotArea>
    </format>
    <format dxfId="1347">
      <pivotArea dataOnly="0" labelOnly="1" outline="0" fieldPosition="0">
        <references count="4">
          <reference field="0" count="1" selected="0">
            <x v="36"/>
          </reference>
          <reference field="1" count="1" selected="0">
            <x v="67"/>
          </reference>
          <reference field="2" count="1" selected="0">
            <x v="2"/>
          </reference>
          <reference field="3" count="1">
            <x v="8"/>
          </reference>
        </references>
      </pivotArea>
    </format>
    <format dxfId="1346">
      <pivotArea dataOnly="0" labelOnly="1" outline="0" fieldPosition="0">
        <references count="4">
          <reference field="0" count="1" selected="0">
            <x v="33"/>
          </reference>
          <reference field="1" count="1" selected="0">
            <x v="63"/>
          </reference>
          <reference field="2" count="1" selected="0">
            <x v="4"/>
          </reference>
          <reference field="3" count="1">
            <x v="1"/>
          </reference>
        </references>
      </pivotArea>
    </format>
    <format dxfId="1345">
      <pivotArea dataOnly="0" labelOnly="1" outline="0" fieldPosition="0">
        <references count="4">
          <reference field="0" count="1" selected="0">
            <x v="15"/>
          </reference>
          <reference field="1" count="1" selected="0">
            <x v="35"/>
          </reference>
          <reference field="2" count="1" selected="0">
            <x v="2"/>
          </reference>
          <reference field="3" count="1">
            <x v="13"/>
          </reference>
        </references>
      </pivotArea>
    </format>
    <format dxfId="1344">
      <pivotArea dataOnly="0" labelOnly="1" outline="0" fieldPosition="0">
        <references count="4">
          <reference field="0" count="1" selected="0">
            <x v="63"/>
          </reference>
          <reference field="1" count="1" selected="0">
            <x v="99"/>
          </reference>
          <reference field="2" count="1" selected="0">
            <x v="3"/>
          </reference>
          <reference field="3" count="1">
            <x v="46"/>
          </reference>
        </references>
      </pivotArea>
    </format>
    <format dxfId="1343">
      <pivotArea dataOnly="0" labelOnly="1" outline="0" fieldPosition="0">
        <references count="4">
          <reference field="0" count="1" selected="0">
            <x v="11"/>
          </reference>
          <reference field="1" count="1" selected="0">
            <x v="28"/>
          </reference>
          <reference field="2" count="1" selected="0">
            <x v="3"/>
          </reference>
          <reference field="3" count="1">
            <x v="10"/>
          </reference>
        </references>
      </pivotArea>
    </format>
    <format dxfId="1342">
      <pivotArea dataOnly="0" labelOnly="1" outline="0" fieldPosition="0">
        <references count="4">
          <reference field="0" count="1" selected="0">
            <x v="66"/>
          </reference>
          <reference field="1" count="1" selected="0">
            <x v="49"/>
          </reference>
          <reference field="2" count="1" selected="0">
            <x v="4"/>
          </reference>
          <reference field="3" count="1">
            <x v="22"/>
          </reference>
        </references>
      </pivotArea>
    </format>
    <format dxfId="1341">
      <pivotArea dataOnly="0" labelOnly="1" outline="0" fieldPosition="0">
        <references count="4">
          <reference field="0" count="1" selected="0">
            <x v="88"/>
          </reference>
          <reference field="1" count="1" selected="0">
            <x v="43"/>
          </reference>
          <reference field="2" count="1" selected="0">
            <x v="2"/>
          </reference>
          <reference field="3" count="1">
            <x v="7"/>
          </reference>
        </references>
      </pivotArea>
    </format>
    <format dxfId="1340">
      <pivotArea dataOnly="0" labelOnly="1" outline="0" fieldPosition="0">
        <references count="4">
          <reference field="0" count="1" selected="0">
            <x v="84"/>
          </reference>
          <reference field="1" count="1" selected="0">
            <x v="32"/>
          </reference>
          <reference field="2" count="1" selected="0">
            <x v="3"/>
          </reference>
          <reference field="3" count="1">
            <x v="10"/>
          </reference>
        </references>
      </pivotArea>
    </format>
    <format dxfId="1339">
      <pivotArea dataOnly="0" labelOnly="1" outline="0" fieldPosition="0">
        <references count="4">
          <reference field="0" count="1" selected="0">
            <x v="57"/>
          </reference>
          <reference field="1" count="1" selected="0">
            <x v="89"/>
          </reference>
          <reference field="2" count="1" selected="0">
            <x v="8"/>
          </reference>
          <reference field="3" count="1">
            <x v="27"/>
          </reference>
        </references>
      </pivotArea>
    </format>
    <format dxfId="1338">
      <pivotArea dataOnly="0" labelOnly="1" outline="0" fieldPosition="0">
        <references count="4">
          <reference field="0" count="1" selected="0">
            <x v="74"/>
          </reference>
          <reference field="1" count="1" selected="0">
            <x v="8"/>
          </reference>
          <reference field="2" count="1" selected="0">
            <x v="3"/>
          </reference>
          <reference field="3" count="1">
            <x v="31"/>
          </reference>
        </references>
      </pivotArea>
    </format>
    <format dxfId="1337">
      <pivotArea dataOnly="0" labelOnly="1" outline="0" fieldPosition="0">
        <references count="4">
          <reference field="0" count="1" selected="0">
            <x v="6"/>
          </reference>
          <reference field="1" count="1" selected="0">
            <x v="19"/>
          </reference>
          <reference field="2" count="1" selected="0">
            <x v="6"/>
          </reference>
          <reference field="3" count="1">
            <x v="4"/>
          </reference>
        </references>
      </pivotArea>
    </format>
    <format dxfId="1336">
      <pivotArea dataOnly="0" labelOnly="1" outline="0" fieldPosition="0">
        <references count="4">
          <reference field="0" count="1" selected="0">
            <x v="92"/>
          </reference>
          <reference field="1" count="1" selected="0">
            <x v="55"/>
          </reference>
          <reference field="2" count="1" selected="0">
            <x v="3"/>
          </reference>
          <reference field="3" count="1">
            <x v="31"/>
          </reference>
        </references>
      </pivotArea>
    </format>
    <format dxfId="1335">
      <pivotArea dataOnly="0" labelOnly="1" outline="0" fieldPosition="0">
        <references count="4">
          <reference field="0" count="1" selected="0">
            <x v="78"/>
          </reference>
          <reference field="1" count="1" selected="0">
            <x v="17"/>
          </reference>
          <reference field="2" count="1" selected="0">
            <x v="3"/>
          </reference>
          <reference field="3" count="1">
            <x v="14"/>
          </reference>
        </references>
      </pivotArea>
    </format>
    <format dxfId="1334">
      <pivotArea dataOnly="0" labelOnly="1" outline="0" fieldPosition="0">
        <references count="4">
          <reference field="0" count="1" selected="0">
            <x v="20"/>
          </reference>
          <reference field="1" count="1" selected="0">
            <x v="42"/>
          </reference>
          <reference field="2" count="1" selected="0">
            <x v="5"/>
          </reference>
          <reference field="3" count="1">
            <x v="17"/>
          </reference>
        </references>
      </pivotArea>
    </format>
    <format dxfId="1333">
      <pivotArea dataOnly="0" labelOnly="1" outline="0" fieldPosition="0">
        <references count="4">
          <reference field="0" count="1" selected="0">
            <x v="89"/>
          </reference>
          <reference field="1" count="1" selected="0">
            <x v="44"/>
          </reference>
          <reference field="2" count="1" selected="0">
            <x v="2"/>
          </reference>
          <reference field="3" count="1">
            <x v="7"/>
          </reference>
        </references>
      </pivotArea>
    </format>
    <format dxfId="1332">
      <pivotArea dataOnly="0" labelOnly="1" outline="0" fieldPosition="0">
        <references count="4">
          <reference field="0" count="1" selected="0">
            <x v="0"/>
          </reference>
          <reference field="1" count="1" selected="0">
            <x v="4"/>
          </reference>
          <reference field="2" count="1" selected="0">
            <x v="1"/>
          </reference>
          <reference field="3" count="1">
            <x v="2"/>
          </reference>
        </references>
      </pivotArea>
    </format>
    <format dxfId="1331">
      <pivotArea dataOnly="0" labelOnly="1" outline="0" fieldPosition="0">
        <references count="4">
          <reference field="0" count="1" selected="0">
            <x v="64"/>
          </reference>
          <reference field="1" count="1" selected="0">
            <x v="11"/>
          </reference>
          <reference field="2" count="1" selected="0">
            <x v="2"/>
          </reference>
          <reference field="3" count="1">
            <x v="7"/>
          </reference>
        </references>
      </pivotArea>
    </format>
    <format dxfId="1330">
      <pivotArea dataOnly="0" labelOnly="1" outline="0" fieldPosition="0">
        <references count="4">
          <reference field="0" count="1" selected="0">
            <x v="86"/>
          </reference>
          <reference field="1" count="1" selected="0">
            <x v="40"/>
          </reference>
          <reference field="2" count="1" selected="0">
            <x v="5"/>
          </reference>
          <reference field="3" count="1">
            <x v="29"/>
          </reference>
        </references>
      </pivotArea>
    </format>
    <format dxfId="1329">
      <pivotArea dataOnly="0" labelOnly="1" outline="0" fieldPosition="0">
        <references count="4">
          <reference field="0" count="1" selected="0">
            <x v="82"/>
          </reference>
          <reference field="1" count="1" selected="0">
            <x v="27"/>
          </reference>
          <reference field="2" count="1" selected="0">
            <x v="2"/>
          </reference>
          <reference field="3" count="1">
            <x v="9"/>
          </reference>
        </references>
      </pivotArea>
    </format>
    <format dxfId="1328">
      <pivotArea dataOnly="0" labelOnly="1" outline="0" fieldPosition="0">
        <references count="4">
          <reference field="0" count="1" selected="0">
            <x v="81"/>
          </reference>
          <reference field="1" count="1" selected="0">
            <x v="25"/>
          </reference>
          <reference field="2" count="1" selected="0">
            <x v="3"/>
          </reference>
          <reference field="3" count="1">
            <x v="10"/>
          </reference>
        </references>
      </pivotArea>
    </format>
    <format dxfId="1327">
      <pivotArea dataOnly="0" labelOnly="1" outline="0" fieldPosition="0">
        <references count="4">
          <reference field="0" count="1" selected="0">
            <x v="62"/>
          </reference>
          <reference field="1" count="1" selected="0">
            <x v="98"/>
          </reference>
          <reference field="2" count="1" selected="0">
            <x v="8"/>
          </reference>
          <reference field="3" count="1">
            <x v="45"/>
          </reference>
        </references>
      </pivotArea>
    </format>
    <format dxfId="1326">
      <pivotArea dataOnly="0" labelOnly="1" outline="0" fieldPosition="0">
        <references count="4">
          <reference field="0" count="1" selected="0">
            <x v="94"/>
          </reference>
          <reference field="1" count="1" selected="0">
            <x v="94"/>
          </reference>
          <reference field="2" count="1" selected="0">
            <x v="3"/>
          </reference>
          <reference field="3" count="1">
            <x v="31"/>
          </reference>
        </references>
      </pivotArea>
    </format>
    <format dxfId="1325">
      <pivotArea dataOnly="0" labelOnly="1" outline="0" fieldPosition="0">
        <references count="4">
          <reference field="0" count="1" selected="0">
            <x v="70"/>
          </reference>
          <reference field="1" count="1" selected="0">
            <x v="2"/>
          </reference>
          <reference field="2" count="1" selected="0">
            <x v="3"/>
          </reference>
          <reference field="3" count="1">
            <x v="28"/>
          </reference>
        </references>
      </pivotArea>
    </format>
    <format dxfId="1324">
      <pivotArea dataOnly="0" labelOnly="1" outline="0" fieldPosition="0">
        <references count="4">
          <reference field="0" count="1" selected="0">
            <x v="25"/>
          </reference>
          <reference field="1" count="1" selected="0">
            <x v="53"/>
          </reference>
          <reference field="2" count="1" selected="0">
            <x v="3"/>
          </reference>
          <reference field="3" count="1">
            <x v="26"/>
          </reference>
        </references>
      </pivotArea>
    </format>
    <format dxfId="1323">
      <pivotArea dataOnly="0" labelOnly="1" outline="0" fieldPosition="0">
        <references count="4">
          <reference field="0" count="1" selected="0">
            <x v="7"/>
          </reference>
          <reference field="1" count="1" selected="0">
            <x v="20"/>
          </reference>
          <reference field="2" count="1" selected="0">
            <x v="2"/>
          </reference>
          <reference field="3" count="1">
            <x v="6"/>
          </reference>
        </references>
      </pivotArea>
    </format>
    <format dxfId="1322">
      <pivotArea dataOnly="0" labelOnly="1" outline="0" fieldPosition="0">
        <references count="4">
          <reference field="0" count="1" selected="0">
            <x v="42"/>
          </reference>
          <reference field="1" count="1" selected="0">
            <x v="74"/>
          </reference>
          <reference field="2" count="1" selected="0">
            <x v="5"/>
          </reference>
          <reference field="3" count="1">
            <x v="34"/>
          </reference>
        </references>
      </pivotArea>
    </format>
    <format dxfId="1321">
      <pivotArea dataOnly="0" labelOnly="1" outline="0" fieldPosition="0">
        <references count="4">
          <reference field="0" count="1" selected="0">
            <x v="87"/>
          </reference>
          <reference field="1" count="1" selected="0">
            <x v="41"/>
          </reference>
          <reference field="2" count="1" selected="0">
            <x v="3"/>
          </reference>
          <reference field="3" count="1">
            <x v="28"/>
          </reference>
        </references>
      </pivotArea>
    </format>
    <format dxfId="1320">
      <pivotArea dataOnly="0" labelOnly="1" outline="0" fieldPosition="0">
        <references count="4">
          <reference field="0" count="1" selected="0">
            <x v="55"/>
          </reference>
          <reference field="1" count="1" selected="0">
            <x v="87"/>
          </reference>
          <reference field="2" count="1" selected="0">
            <x v="3"/>
          </reference>
          <reference field="3" count="1">
            <x v="41"/>
          </reference>
        </references>
      </pivotArea>
    </format>
    <format dxfId="1319">
      <pivotArea dataOnly="0" labelOnly="1" outline="0" fieldPosition="0">
        <references count="4">
          <reference field="0" count="1" selected="0">
            <x v="27"/>
          </reference>
          <reference field="1" count="1" selected="0">
            <x v="57"/>
          </reference>
          <reference field="2" count="1" selected="0">
            <x v="2"/>
          </reference>
          <reference field="3" count="1">
            <x v="8"/>
          </reference>
        </references>
      </pivotArea>
    </format>
    <format dxfId="1318">
      <pivotArea dataOnly="0" labelOnly="1" outline="0" fieldPosition="0">
        <references count="4">
          <reference field="0" count="1" selected="0">
            <x v="43"/>
          </reference>
          <reference field="1" count="1" selected="0">
            <x v="75"/>
          </reference>
          <reference field="2" count="1" selected="0">
            <x v="7"/>
          </reference>
          <reference field="3" count="1">
            <x v="35"/>
          </reference>
        </references>
      </pivotArea>
    </format>
    <format dxfId="1317">
      <pivotArea dataOnly="0" labelOnly="1" outline="0" fieldPosition="0">
        <references count="4">
          <reference field="0" count="1" selected="0">
            <x v="47"/>
          </reference>
          <reference field="1" count="1" selected="0">
            <x v="78"/>
          </reference>
          <reference field="2" count="1" selected="0">
            <x v="7"/>
          </reference>
          <reference field="3" count="1">
            <x v="38"/>
          </reference>
        </references>
      </pivotArea>
    </format>
    <format dxfId="1316">
      <pivotArea dataOnly="0" labelOnly="1" outline="0" fieldPosition="0">
        <references count="4">
          <reference field="0" count="1" selected="0">
            <x v="39"/>
          </reference>
          <reference field="1" count="1" selected="0">
            <x v="71"/>
          </reference>
          <reference field="2" count="1" selected="0">
            <x v="6"/>
          </reference>
          <reference field="3" count="1">
            <x v="33"/>
          </reference>
        </references>
      </pivotArea>
    </format>
    <format dxfId="1315">
      <pivotArea dataOnly="0" labelOnly="1" outline="0" fieldPosition="0">
        <references count="4">
          <reference field="0" count="1" selected="0">
            <x v="5"/>
          </reference>
          <reference field="1" count="1" selected="0">
            <x v="18"/>
          </reference>
          <reference field="2" count="1" selected="0">
            <x v="1"/>
          </reference>
          <reference field="3" count="1">
            <x v="3"/>
          </reference>
        </references>
      </pivotArea>
    </format>
    <format dxfId="1314">
      <pivotArea dataOnly="0" labelOnly="1" outline="0" fieldPosition="0">
        <references count="4">
          <reference field="0" count="1" selected="0">
            <x v="34"/>
          </reference>
          <reference field="1" count="1" selected="0">
            <x v="65"/>
          </reference>
          <reference field="2" count="1" selected="0">
            <x v="5"/>
          </reference>
          <reference field="3" count="1">
            <x v="29"/>
          </reference>
        </references>
      </pivotArea>
    </format>
    <format dxfId="1313">
      <pivotArea dataOnly="0" labelOnly="1" outline="0" fieldPosition="0">
        <references count="4">
          <reference field="0" count="1" selected="0">
            <x v="9"/>
          </reference>
          <reference field="1" count="1" selected="0">
            <x v="23"/>
          </reference>
          <reference field="2" count="1" selected="0">
            <x v="1"/>
          </reference>
          <reference field="3" count="1">
            <x v="2"/>
          </reference>
        </references>
      </pivotArea>
    </format>
    <format dxfId="1312">
      <pivotArea dataOnly="0" labelOnly="1" outline="0" fieldPosition="0">
        <references count="4">
          <reference field="0" count="1" selected="0">
            <x v="76"/>
          </reference>
          <reference field="1" count="1" selected="0">
            <x v="14"/>
          </reference>
          <reference field="2" count="1" selected="0">
            <x v="3"/>
          </reference>
          <reference field="3" count="1">
            <x v="10"/>
          </reference>
        </references>
      </pivotArea>
    </format>
    <format dxfId="1311">
      <pivotArea dataOnly="0" labelOnly="1" outline="0" fieldPosition="0">
        <references count="4">
          <reference field="0" count="1" selected="0">
            <x v="35"/>
          </reference>
          <reference field="1" count="1" selected="0">
            <x v="66"/>
          </reference>
          <reference field="2" count="1" selected="0">
            <x v="5"/>
          </reference>
          <reference field="3" count="1">
            <x v="29"/>
          </reference>
        </references>
      </pivotArea>
    </format>
    <format dxfId="1310">
      <pivotArea dataOnly="0" labelOnly="1" outline="0" fieldPosition="0">
        <references count="4">
          <reference field="0" count="1" selected="0">
            <x v="3"/>
          </reference>
          <reference field="1" count="1" selected="0">
            <x v="13"/>
          </reference>
          <reference field="2" count="1" selected="0">
            <x v="3"/>
          </reference>
          <reference field="3" count="1">
            <x v="31"/>
          </reference>
        </references>
      </pivotArea>
    </format>
    <format dxfId="1309">
      <pivotArea dataOnly="0" labelOnly="1" outline="0" fieldPosition="0">
        <references count="4">
          <reference field="0" count="1" selected="0">
            <x v="40"/>
          </reference>
          <reference field="1" count="1" selected="0">
            <x v="72"/>
          </reference>
          <reference field="2" count="1" selected="0">
            <x v="6"/>
          </reference>
          <reference field="3" count="1">
            <x v="33"/>
          </reference>
        </references>
      </pivotArea>
    </format>
    <format dxfId="1308">
      <pivotArea dataOnly="0" labelOnly="1" outline="0" fieldPosition="0">
        <references count="4">
          <reference field="0" count="1" selected="0">
            <x v="21"/>
          </reference>
          <reference field="1" count="1" selected="0">
            <x v="45"/>
          </reference>
          <reference field="2" count="1" selected="0">
            <x v="4"/>
          </reference>
          <reference field="3" count="1">
            <x v="19"/>
          </reference>
        </references>
      </pivotArea>
    </format>
    <format dxfId="1307">
      <pivotArea dataOnly="0" labelOnly="1" outline="0" fieldPosition="0">
        <references count="4">
          <reference field="0" count="1" selected="0">
            <x v="52"/>
          </reference>
          <reference field="1" count="1" selected="0">
            <x v="83"/>
          </reference>
          <reference field="2" count="1" selected="0">
            <x v="2"/>
          </reference>
          <reference field="3" count="1">
            <x v="7"/>
          </reference>
        </references>
      </pivotArea>
    </format>
    <format dxfId="1306">
      <pivotArea dataOnly="0" labelOnly="1" outline="0" fieldPosition="0">
        <references count="4">
          <reference field="0" count="1" selected="0">
            <x v="95"/>
          </reference>
          <reference field="1" count="1" selected="0">
            <x v="95"/>
          </reference>
          <reference field="2" count="1" selected="0">
            <x v="3"/>
          </reference>
          <reference field="3" count="1">
            <x v="28"/>
          </reference>
        </references>
      </pivotArea>
    </format>
    <format dxfId="1305">
      <pivotArea dataOnly="0" labelOnly="1" outline="0" fieldPosition="0">
        <references count="4">
          <reference field="0" count="1" selected="0">
            <x v="93"/>
          </reference>
          <reference field="1" count="1" selected="0">
            <x v="91"/>
          </reference>
          <reference field="2" count="1" selected="0">
            <x v="6"/>
          </reference>
          <reference field="3" count="1">
            <x v="43"/>
          </reference>
        </references>
      </pivotArea>
    </format>
    <format dxfId="1304">
      <pivotArea dataOnly="0" labelOnly="1" outline="0" fieldPosition="0">
        <references count="4">
          <reference field="0" count="1" selected="0">
            <x v="54"/>
          </reference>
          <reference field="1" count="1" selected="0">
            <x v="86"/>
          </reference>
          <reference field="2" count="1" selected="0">
            <x v="3"/>
          </reference>
          <reference field="3" count="1">
            <x v="41"/>
          </reference>
        </references>
      </pivotArea>
    </format>
    <format dxfId="1303">
      <pivotArea dataOnly="0" labelOnly="1" outline="0" fieldPosition="0">
        <references count="4">
          <reference field="0" count="1" selected="0">
            <x v="24"/>
          </reference>
          <reference field="1" count="1" selected="0">
            <x v="51"/>
          </reference>
          <reference field="2" count="1" selected="0">
            <x v="3"/>
          </reference>
          <reference field="3" count="1">
            <x v="24"/>
          </reference>
        </references>
      </pivotArea>
    </format>
    <format dxfId="1302">
      <pivotArea dataOnly="0" labelOnly="1" outline="0" fieldPosition="0">
        <references count="4">
          <reference field="0" count="1" selected="0">
            <x v="44"/>
          </reference>
          <reference field="1" count="1" selected="0">
            <x v="76"/>
          </reference>
          <reference field="2" count="1" selected="0">
            <x v="2"/>
          </reference>
          <reference field="3" count="1">
            <x v="36"/>
          </reference>
        </references>
      </pivotArea>
    </format>
    <format dxfId="1301">
      <pivotArea dataOnly="0" labelOnly="1" outline="0" fieldPosition="0">
        <references count="4">
          <reference field="0" count="1" selected="0">
            <x v="90"/>
          </reference>
          <reference field="1" count="1" selected="0">
            <x v="47"/>
          </reference>
          <reference field="2" count="1" selected="0">
            <x v="3"/>
          </reference>
          <reference field="3" count="1">
            <x v="20"/>
          </reference>
        </references>
      </pivotArea>
    </format>
    <format dxfId="1300">
      <pivotArea dataOnly="0" labelOnly="1" outline="0" fieldPosition="0">
        <references count="4">
          <reference field="0" count="1" selected="0">
            <x v="14"/>
          </reference>
          <reference field="1" count="1" selected="0">
            <x v="34"/>
          </reference>
          <reference field="2" count="1" selected="0">
            <x v="3"/>
          </reference>
          <reference field="3" count="1">
            <x v="12"/>
          </reference>
        </references>
      </pivotArea>
    </format>
    <format dxfId="1299">
      <pivotArea dataOnly="0" labelOnly="1" outline="0" fieldPosition="0">
        <references count="4">
          <reference field="0" count="1" selected="0">
            <x v="19"/>
          </reference>
          <reference field="1" count="1" selected="0">
            <x v="39"/>
          </reference>
          <reference field="2" count="1" selected="0">
            <x v="8"/>
          </reference>
          <reference field="3" count="1">
            <x v="16"/>
          </reference>
        </references>
      </pivotArea>
    </format>
    <format dxfId="1298">
      <pivotArea dataOnly="0" labelOnly="1" outline="0" fieldPosition="0">
        <references count="4">
          <reference field="0" count="1" selected="0">
            <x v="8"/>
          </reference>
          <reference field="1" count="1" selected="0">
            <x v="21"/>
          </reference>
          <reference field="2" count="1" selected="0">
            <x v="2"/>
          </reference>
          <reference field="3" count="1">
            <x v="6"/>
          </reference>
        </references>
      </pivotArea>
    </format>
    <format dxfId="1297">
      <pivotArea dataOnly="0" labelOnly="1" outline="0" fieldPosition="0">
        <references count="4">
          <reference field="0" count="1" selected="0">
            <x v="67"/>
          </reference>
          <reference field="1" count="1" selected="0">
            <x v="64"/>
          </reference>
          <reference field="2" count="1" selected="0">
            <x v="4"/>
          </reference>
          <reference field="3" count="1">
            <x v="1"/>
          </reference>
        </references>
      </pivotArea>
    </format>
    <format dxfId="1296">
      <pivotArea dataOnly="0" labelOnly="1" outline="0" fieldPosition="0">
        <references count="4">
          <reference field="0" count="1" selected="0">
            <x v="69"/>
          </reference>
          <reference field="1" count="1" selected="0">
            <x v="1"/>
          </reference>
          <reference field="2" count="1" selected="0">
            <x v="3"/>
          </reference>
          <reference field="3" count="1">
            <x v="32"/>
          </reference>
        </references>
      </pivotArea>
    </format>
    <format dxfId="1295">
      <pivotArea dataOnly="0" labelOnly="1" outline="0" fieldPosition="0">
        <references count="4">
          <reference field="0" count="1" selected="0">
            <x v="72"/>
          </reference>
          <reference field="1" count="1" selected="0">
            <x v="5"/>
          </reference>
          <reference field="2" count="1" selected="0">
            <x v="5"/>
          </reference>
          <reference field="3" count="1">
            <x v="29"/>
          </reference>
        </references>
      </pivotArea>
    </format>
    <format dxfId="1294">
      <pivotArea dataOnly="0" labelOnly="1" outline="0" fieldPosition="0">
        <references count="4">
          <reference field="0" count="1" selected="0">
            <x v="38"/>
          </reference>
          <reference field="1" count="1" selected="0">
            <x v="69"/>
          </reference>
          <reference field="2" count="1" selected="0">
            <x v="3"/>
          </reference>
          <reference field="3" count="1">
            <x v="31"/>
          </reference>
        </references>
      </pivotArea>
    </format>
    <format dxfId="1293">
      <pivotArea dataOnly="0" labelOnly="1" outline="0" fieldPosition="0">
        <references count="4">
          <reference field="0" count="1" selected="0">
            <x v="22"/>
          </reference>
          <reference field="1" count="1" selected="0">
            <x v="46"/>
          </reference>
          <reference field="2" count="1" selected="0">
            <x v="4"/>
          </reference>
          <reference field="3" count="1">
            <x v="19"/>
          </reference>
        </references>
      </pivotArea>
    </format>
    <format dxfId="1292">
      <pivotArea dataOnly="0" labelOnly="1" outline="0" fieldPosition="0">
        <references count="4">
          <reference field="0" count="1" selected="0">
            <x v="99"/>
          </reference>
          <reference field="1" count="1" selected="0">
            <x v="85"/>
          </reference>
          <reference field="2" count="1" selected="0">
            <x v="4"/>
          </reference>
          <reference field="3" count="1">
            <x v="40"/>
          </reference>
        </references>
      </pivotArea>
    </format>
    <format dxfId="1291">
      <pivotArea dataOnly="0" labelOnly="1" outline="0" fieldPosition="0">
        <references count="4">
          <reference field="0" count="1" selected="0">
            <x v="98"/>
          </reference>
          <reference field="1" count="1" selected="0">
            <x v="52"/>
          </reference>
          <reference field="2" count="1" selected="0">
            <x v="4"/>
          </reference>
          <reference field="3" count="1">
            <x v="25"/>
          </reference>
        </references>
      </pivotArea>
    </format>
    <format dxfId="1290">
      <pivotArea dataOnly="0" labelOnly="1" outline="0" fieldPosition="0">
        <references count="4">
          <reference field="0" count="1" selected="0">
            <x v="96"/>
          </reference>
          <reference field="1" count="1" selected="0">
            <x v="100"/>
          </reference>
          <reference field="2" count="1" selected="0">
            <x v="3"/>
          </reference>
          <reference field="3" count="1">
            <x v="10"/>
          </reference>
        </references>
      </pivotArea>
    </format>
    <format dxfId="1289">
      <pivotArea dataOnly="0" labelOnly="1" outline="0" fieldPosition="0">
        <references count="4">
          <reference field="0" count="1" selected="0">
            <x v="13"/>
          </reference>
          <reference field="1" count="1" selected="0">
            <x v="30"/>
          </reference>
          <reference field="2" count="1" selected="0">
            <x v="7"/>
          </reference>
          <reference field="3" count="1">
            <x v="11"/>
          </reference>
        </references>
      </pivotArea>
    </format>
    <format dxfId="1288">
      <pivotArea dataOnly="0" labelOnly="1" outline="0" fieldPosition="0">
        <references count="4">
          <reference field="0" count="1" selected="0">
            <x v="46"/>
          </reference>
          <reference field="1" count="1" selected="0">
            <x v="77"/>
          </reference>
          <reference field="2" count="1" selected="0">
            <x v="6"/>
          </reference>
          <reference field="3" count="1">
            <x v="37"/>
          </reference>
        </references>
      </pivotArea>
    </format>
    <format dxfId="1287">
      <pivotArea dataOnly="0" labelOnly="1" outline="0" fieldPosition="0">
        <references count="4">
          <reference field="0" count="1" selected="0">
            <x v="58"/>
          </reference>
          <reference field="1" count="1" selected="0">
            <x v="90"/>
          </reference>
          <reference field="2" count="1" selected="0">
            <x v="3"/>
          </reference>
          <reference field="3" count="1">
            <x v="14"/>
          </reference>
        </references>
      </pivotArea>
    </format>
    <format dxfId="1286">
      <pivotArea dataOnly="0" labelOnly="1" outline="0" fieldPosition="0">
        <references count="4">
          <reference field="0" count="1" selected="0">
            <x v="83"/>
          </reference>
          <reference field="1" count="1" selected="0">
            <x v="31"/>
          </reference>
          <reference field="2" count="1" selected="0">
            <x v="8"/>
          </reference>
          <reference field="3" count="1">
            <x v="16"/>
          </reference>
        </references>
      </pivotArea>
    </format>
    <format dxfId="1285">
      <pivotArea dataOnly="0" labelOnly="1" outline="0" fieldPosition="0">
        <references count="4">
          <reference field="0" count="1" selected="0">
            <x v="49"/>
          </reference>
          <reference field="1" count="1" selected="0">
            <x v="80"/>
          </reference>
          <reference field="2" count="1" selected="0">
            <x v="6"/>
          </reference>
          <reference field="3" count="1">
            <x v="39"/>
          </reference>
        </references>
      </pivotArea>
    </format>
    <format dxfId="1284">
      <pivotArea dataOnly="0" labelOnly="1" outline="0" fieldPosition="0">
        <references count="4">
          <reference field="0" count="1" selected="0">
            <x v="48"/>
          </reference>
          <reference field="1" count="1" selected="0">
            <x v="79"/>
          </reference>
          <reference field="2" count="1" selected="0">
            <x v="2"/>
          </reference>
          <reference field="3" count="1">
            <x v="7"/>
          </reference>
        </references>
      </pivotArea>
    </format>
    <format dxfId="1283">
      <pivotArea dataOnly="0" labelOnly="1" outline="0" fieldPosition="0">
        <references count="4">
          <reference field="0" count="1" selected="0">
            <x v="68"/>
          </reference>
          <reference field="1" count="1" selected="0">
            <x v="0"/>
          </reference>
          <reference field="2" count="1" selected="0">
            <x v="3"/>
          </reference>
          <reference field="3" count="1">
            <x v="28"/>
          </reference>
        </references>
      </pivotArea>
    </format>
    <format dxfId="1282">
      <pivotArea dataOnly="0" labelOnly="1" outline="0" fieldPosition="0">
        <references count="4">
          <reference field="0" count="1" selected="0">
            <x v="73"/>
          </reference>
          <reference field="1" count="1" selected="0">
            <x v="6"/>
          </reference>
          <reference field="2" count="1" selected="0">
            <x v="2"/>
          </reference>
          <reference field="3" count="1">
            <x v="9"/>
          </reference>
        </references>
      </pivotArea>
    </format>
    <format dxfId="1281">
      <pivotArea dataOnly="0" labelOnly="1" outline="0" fieldPosition="0">
        <references count="4">
          <reference field="0" count="1" selected="0">
            <x v="30"/>
          </reference>
          <reference field="1" count="1" selected="0">
            <x v="60"/>
          </reference>
          <reference field="2" count="1" selected="0">
            <x v="2"/>
          </reference>
          <reference field="3" count="1">
            <x v="8"/>
          </reference>
        </references>
      </pivotArea>
    </format>
    <format dxfId="1280">
      <pivotArea dataOnly="0" labelOnly="1" outline="0" fieldPosition="0">
        <references count="4">
          <reference field="0" count="1" selected="0">
            <x v="79"/>
          </reference>
          <reference field="1" count="1" selected="0">
            <x v="22"/>
          </reference>
          <reference field="2" count="1" selected="0">
            <x v="8"/>
          </reference>
          <reference field="3" count="1">
            <x v="44"/>
          </reference>
        </references>
      </pivotArea>
    </format>
    <format dxfId="1279">
      <pivotArea dataOnly="0" labelOnly="1" outline="0" fieldPosition="0">
        <references count="4">
          <reference field="0" count="1" selected="0">
            <x v="18"/>
          </reference>
          <reference field="1" count="1" selected="0">
            <x v="38"/>
          </reference>
          <reference field="2" count="1" selected="0">
            <x v="3"/>
          </reference>
          <reference field="3" count="1">
            <x v="15"/>
          </reference>
        </references>
      </pivotArea>
    </format>
    <format dxfId="1278">
      <pivotArea dataOnly="0" labelOnly="1" outline="0" fieldPosition="0">
        <references count="4">
          <reference field="0" count="1" selected="0">
            <x v="100"/>
          </reference>
          <reference field="1" count="1" selected="0">
            <x v="61"/>
          </reference>
          <reference field="2" count="1" selected="0">
            <x v="0"/>
          </reference>
          <reference field="3" count="1">
            <x v="0"/>
          </reference>
        </references>
      </pivotArea>
    </format>
    <format dxfId="1277">
      <pivotArea dataOnly="0" labelOnly="1" outline="0" fieldPosition="0">
        <references count="4">
          <reference field="0" count="1" selected="0">
            <x v="85"/>
          </reference>
          <reference field="1" count="1" selected="0">
            <x v="33"/>
          </reference>
          <reference field="2" count="1" selected="0">
            <x v="4"/>
          </reference>
          <reference field="3" count="1">
            <x v="1"/>
          </reference>
        </references>
      </pivotArea>
    </format>
    <format dxfId="1276">
      <pivotArea dataOnly="0" labelOnly="1" outline="0" fieldPosition="0">
        <references count="4">
          <reference field="0" count="1" selected="0">
            <x v="16"/>
          </reference>
          <reference field="1" count="1" selected="0">
            <x v="36"/>
          </reference>
          <reference field="2" count="1" selected="0">
            <x v="3"/>
          </reference>
          <reference field="3" count="1">
            <x v="28"/>
          </reference>
        </references>
      </pivotArea>
    </format>
    <format dxfId="1275">
      <pivotArea dataOnly="0" labelOnly="1" outline="0" fieldPosition="0">
        <references count="4">
          <reference field="0" count="1" selected="0">
            <x v="60"/>
          </reference>
          <reference field="1" count="1" selected="0">
            <x v="96"/>
          </reference>
          <reference field="2" count="1" selected="0">
            <x v="8"/>
          </reference>
          <reference field="3" count="1">
            <x v="44"/>
          </reference>
        </references>
      </pivotArea>
    </format>
    <format dxfId="1274">
      <pivotArea dataOnly="0" labelOnly="1" outline="0" fieldPosition="0">
        <references count="4">
          <reference field="0" count="1" selected="0">
            <x v="1"/>
          </reference>
          <reference field="1" count="1" selected="0">
            <x v="7"/>
          </reference>
          <reference field="2" count="1" selected="0">
            <x v="2"/>
          </reference>
          <reference field="3" count="1">
            <x v="18"/>
          </reference>
        </references>
      </pivotArea>
    </format>
    <format dxfId="1273">
      <pivotArea dataOnly="0" labelOnly="1" outline="0" fieldPosition="0">
        <references count="4">
          <reference field="0" count="1" selected="0">
            <x v="61"/>
          </reference>
          <reference field="1" count="1" selected="0">
            <x v="97"/>
          </reference>
          <reference field="2" count="1" selected="0">
            <x v="4"/>
          </reference>
          <reference field="3" count="1">
            <x v="1"/>
          </reference>
        </references>
      </pivotArea>
    </format>
    <format dxfId="1272">
      <pivotArea dataOnly="0" labelOnly="1" outline="0" fieldPosition="0">
        <references count="4">
          <reference field="0" count="1" selected="0">
            <x v="45"/>
          </reference>
          <reference field="1" count="1" selected="0">
            <x v="70"/>
          </reference>
          <reference field="2" count="1" selected="0">
            <x v="3"/>
          </reference>
          <reference field="3" count="1">
            <x v="32"/>
          </reference>
        </references>
      </pivotArea>
    </format>
    <format dxfId="1271">
      <pivotArea dataOnly="0" labelOnly="1" outline="0" fieldPosition="0">
        <references count="4">
          <reference field="0" count="1" selected="0">
            <x v="23"/>
          </reference>
          <reference field="1" count="1" selected="0">
            <x v="48"/>
          </reference>
          <reference field="2" count="1" selected="0">
            <x v="7"/>
          </reference>
          <reference field="3" count="1">
            <x v="21"/>
          </reference>
        </references>
      </pivotArea>
    </format>
    <format dxfId="1270">
      <pivotArea dataOnly="0" labelOnly="1" outline="0" fieldPosition="0">
        <references count="4">
          <reference field="0" count="1" selected="0">
            <x v="50"/>
          </reference>
          <reference field="1" count="1" selected="0">
            <x v="81"/>
          </reference>
          <reference field="2" count="1" selected="0">
            <x v="4"/>
          </reference>
          <reference field="3" count="1">
            <x v="1"/>
          </reference>
        </references>
      </pivotArea>
    </format>
    <format dxfId="1269">
      <pivotArea dataOnly="0" labelOnly="1" outline="0" fieldPosition="0">
        <references count="4">
          <reference field="0" count="1" selected="0">
            <x v="97"/>
          </reference>
          <reference field="1" count="1" selected="0">
            <x v="50"/>
          </reference>
          <reference field="2" count="1" selected="0">
            <x v="2"/>
          </reference>
          <reference field="3" count="1">
            <x v="23"/>
          </reference>
        </references>
      </pivotArea>
    </format>
    <format dxfId="1268">
      <pivotArea dataOnly="0" labelOnly="1" outline="0" fieldPosition="0">
        <references count="4">
          <reference field="0" count="1" selected="0">
            <x v="53"/>
          </reference>
          <reference field="1" count="1" selected="0">
            <x v="84"/>
          </reference>
          <reference field="2" count="1" selected="0">
            <x v="6"/>
          </reference>
          <reference field="3" count="1">
            <x v="30"/>
          </reference>
        </references>
      </pivotArea>
    </format>
    <format dxfId="1267">
      <pivotArea dataOnly="0" labelOnly="1" outline="0" fieldPosition="0">
        <references count="4">
          <reference field="0" count="1" selected="0">
            <x v="4"/>
          </reference>
          <reference field="1" count="1" selected="0">
            <x v="15"/>
          </reference>
          <reference field="2" count="1" selected="0">
            <x v="2"/>
          </reference>
          <reference field="3" count="1">
            <x v="5"/>
          </reference>
        </references>
      </pivotArea>
    </format>
    <format dxfId="1266">
      <pivotArea dataOnly="0" labelOnly="1" outline="0" fieldPosition="0">
        <references count="5">
          <reference field="0" count="1" selected="0">
            <x v="65"/>
          </reference>
          <reference field="1" count="1" selected="0">
            <x v="12"/>
          </reference>
          <reference field="2" count="1" selected="0">
            <x v="3"/>
          </reference>
          <reference field="3" count="1" selected="0">
            <x v="31"/>
          </reference>
          <reference field="4" count="1">
            <x v="4"/>
          </reference>
        </references>
      </pivotArea>
    </format>
    <format dxfId="1265">
      <pivotArea dataOnly="0" labelOnly="1" outline="0" fieldPosition="0">
        <references count="5">
          <reference field="0" count="1" selected="0">
            <x v="51"/>
          </reference>
          <reference field="1" count="1" selected="0">
            <x v="82"/>
          </reference>
          <reference field="2" count="1" selected="0">
            <x v="2"/>
          </reference>
          <reference field="3" count="1" selected="0">
            <x v="8"/>
          </reference>
          <reference field="4" count="1">
            <x v="70"/>
          </reference>
        </references>
      </pivotArea>
    </format>
    <format dxfId="1264">
      <pivotArea dataOnly="0" labelOnly="1" outline="0" fieldPosition="0">
        <references count="5">
          <reference field="0" count="1" selected="0">
            <x v="26"/>
          </reference>
          <reference field="1" count="1" selected="0">
            <x v="56"/>
          </reference>
          <reference field="2" count="1" selected="0">
            <x v="2"/>
          </reference>
          <reference field="3" count="1" selected="0">
            <x v="7"/>
          </reference>
          <reference field="4" count="1">
            <x v="41"/>
          </reference>
        </references>
      </pivotArea>
    </format>
    <format dxfId="1263">
      <pivotArea dataOnly="0" labelOnly="1" outline="0" fieldPosition="0">
        <references count="5">
          <reference field="0" count="1" selected="0">
            <x v="41"/>
          </reference>
          <reference field="1" count="1" selected="0">
            <x v="73"/>
          </reference>
          <reference field="2" count="1" selected="0">
            <x v="3"/>
          </reference>
          <reference field="3" count="1" selected="0">
            <x v="10"/>
          </reference>
          <reference field="4" count="1">
            <x v="48"/>
          </reference>
        </references>
      </pivotArea>
    </format>
    <format dxfId="1262">
      <pivotArea dataOnly="0" labelOnly="1" outline="0" fieldPosition="0">
        <references count="5">
          <reference field="0" count="1" selected="0">
            <x v="29"/>
          </reference>
          <reference field="1" count="1" selected="0">
            <x v="59"/>
          </reference>
          <reference field="2" count="1" selected="0">
            <x v="2"/>
          </reference>
          <reference field="3" count="1" selected="0">
            <x v="8"/>
          </reference>
          <reference field="4" count="1">
            <x v="42"/>
          </reference>
        </references>
      </pivotArea>
    </format>
    <format dxfId="1261">
      <pivotArea dataOnly="0" labelOnly="1" outline="0" fieldPosition="0">
        <references count="5">
          <reference field="0" count="1" selected="0">
            <x v="17"/>
          </reference>
          <reference field="1" count="1" selected="0">
            <x v="37"/>
          </reference>
          <reference field="2" count="1" selected="0">
            <x v="3"/>
          </reference>
          <reference field="3" count="1" selected="0">
            <x v="15"/>
          </reference>
          <reference field="4" count="1">
            <x v="35"/>
          </reference>
        </references>
      </pivotArea>
    </format>
    <format dxfId="1260">
      <pivotArea dataOnly="0" labelOnly="1" outline="0" fieldPosition="0">
        <references count="5">
          <reference field="0" count="1" selected="0">
            <x v="2"/>
          </reference>
          <reference field="1" count="1" selected="0">
            <x v="10"/>
          </reference>
          <reference field="2" count="1" selected="0">
            <x v="2"/>
          </reference>
          <reference field="3" count="1" selected="0">
            <x v="7"/>
          </reference>
          <reference field="4" count="1">
            <x v="3"/>
          </reference>
        </references>
      </pivotArea>
    </format>
    <format dxfId="1259">
      <pivotArea dataOnly="0" labelOnly="1" outline="0" fieldPosition="0">
        <references count="5">
          <reference field="0" count="1" selected="0">
            <x v="12"/>
          </reference>
          <reference field="1" count="1" selected="0">
            <x v="29"/>
          </reference>
          <reference field="2" count="1" selected="0">
            <x v="3"/>
          </reference>
          <reference field="3" count="1" selected="0">
            <x v="10"/>
          </reference>
          <reference field="4" count="1">
            <x v="33"/>
          </reference>
        </references>
      </pivotArea>
    </format>
    <format dxfId="1258">
      <pivotArea dataOnly="0" labelOnly="1" outline="0" fieldPosition="0">
        <references count="5">
          <reference field="0" count="1" selected="0">
            <x v="32"/>
          </reference>
          <reference field="1" count="1" selected="0">
            <x v="93"/>
          </reference>
          <reference field="2" count="1" selected="0">
            <x v="2"/>
          </reference>
          <reference field="3" count="1" selected="0">
            <x v="8"/>
          </reference>
          <reference field="4" count="1">
            <x v="42"/>
          </reference>
        </references>
      </pivotArea>
    </format>
    <format dxfId="1257">
      <pivotArea dataOnly="0" labelOnly="1" outline="0" fieldPosition="0">
        <references count="5">
          <reference field="0" count="1" selected="0">
            <x v="37"/>
          </reference>
          <reference field="1" count="1" selected="0">
            <x v="68"/>
          </reference>
          <reference field="2" count="1" selected="0">
            <x v="3"/>
          </reference>
          <reference field="3" count="1" selected="0">
            <x v="31"/>
          </reference>
          <reference field="4" count="1">
            <x v="7"/>
          </reference>
        </references>
      </pivotArea>
    </format>
    <format dxfId="1256">
      <pivotArea dataOnly="0" labelOnly="1" outline="0" fieldPosition="0">
        <references count="5">
          <reference field="0" count="1" selected="0">
            <x v="59"/>
          </reference>
          <reference field="1" count="1" selected="0">
            <x v="92"/>
          </reference>
          <reference field="2" count="1" selected="0">
            <x v="2"/>
          </reference>
          <reference field="3" count="1" selected="0">
            <x v="7"/>
          </reference>
          <reference field="4" count="1">
            <x v="67"/>
          </reference>
        </references>
      </pivotArea>
    </format>
    <format dxfId="1255">
      <pivotArea dataOnly="0" labelOnly="1" outline="0" fieldPosition="0">
        <references count="5">
          <reference field="0" count="1" selected="0">
            <x v="36"/>
          </reference>
          <reference field="1" count="1" selected="0">
            <x v="67"/>
          </reference>
          <reference field="2" count="1" selected="0">
            <x v="2"/>
          </reference>
          <reference field="3" count="1" selected="0">
            <x v="8"/>
          </reference>
          <reference field="4" count="1">
            <x v="70"/>
          </reference>
        </references>
      </pivotArea>
    </format>
    <format dxfId="1254">
      <pivotArea dataOnly="0" labelOnly="1" outline="0" fieldPosition="0">
        <references count="5">
          <reference field="0" count="1" selected="0">
            <x v="33"/>
          </reference>
          <reference field="1" count="1" selected="0">
            <x v="63"/>
          </reference>
          <reference field="2" count="1" selected="0">
            <x v="4"/>
          </reference>
          <reference field="3" count="1" selected="0">
            <x v="1"/>
          </reference>
          <reference field="4" count="1">
            <x v="43"/>
          </reference>
        </references>
      </pivotArea>
    </format>
    <format dxfId="1253">
      <pivotArea dataOnly="0" labelOnly="1" outline="0" fieldPosition="0">
        <references count="5">
          <reference field="0" count="1" selected="0">
            <x v="15"/>
          </reference>
          <reference field="1" count="1" selected="0">
            <x v="35"/>
          </reference>
          <reference field="2" count="1" selected="0">
            <x v="2"/>
          </reference>
          <reference field="3" count="1" selected="0">
            <x v="13"/>
          </reference>
          <reference field="4" count="1">
            <x v="68"/>
          </reference>
        </references>
      </pivotArea>
    </format>
    <format dxfId="1252">
      <pivotArea dataOnly="0" labelOnly="1" outline="0" fieldPosition="0">
        <references count="5">
          <reference field="0" count="1" selected="0">
            <x v="63"/>
          </reference>
          <reference field="1" count="1" selected="0">
            <x v="99"/>
          </reference>
          <reference field="2" count="1" selected="0">
            <x v="3"/>
          </reference>
          <reference field="3" count="1" selected="0">
            <x v="46"/>
          </reference>
          <reference field="4" count="1">
            <x v="12"/>
          </reference>
        </references>
      </pivotArea>
    </format>
    <format dxfId="1251">
      <pivotArea dataOnly="0" labelOnly="1" outline="0" fieldPosition="0">
        <references count="5">
          <reference field="0" count="1" selected="0">
            <x v="11"/>
          </reference>
          <reference field="1" count="1" selected="0">
            <x v="28"/>
          </reference>
          <reference field="2" count="1" selected="0">
            <x v="3"/>
          </reference>
          <reference field="3" count="1" selected="0">
            <x v="10"/>
          </reference>
          <reference field="4" count="1">
            <x v="21"/>
          </reference>
        </references>
      </pivotArea>
    </format>
    <format dxfId="1250">
      <pivotArea dataOnly="0" labelOnly="1" outline="0" fieldPosition="0">
        <references count="5">
          <reference field="0" count="1" selected="0">
            <x v="66"/>
          </reference>
          <reference field="1" count="1" selected="0">
            <x v="49"/>
          </reference>
          <reference field="2" count="1" selected="0">
            <x v="4"/>
          </reference>
          <reference field="3" count="1" selected="0">
            <x v="22"/>
          </reference>
          <reference field="4" count="1">
            <x v="10"/>
          </reference>
        </references>
      </pivotArea>
    </format>
    <format dxfId="1249">
      <pivotArea dataOnly="0" labelOnly="1" outline="0" fieldPosition="0">
        <references count="5">
          <reference field="0" count="1" selected="0">
            <x v="88"/>
          </reference>
          <reference field="1" count="1" selected="0">
            <x v="43"/>
          </reference>
          <reference field="2" count="1" selected="0">
            <x v="2"/>
          </reference>
          <reference field="3" count="1" selected="0">
            <x v="7"/>
          </reference>
          <reference field="4" count="1">
            <x v="3"/>
          </reference>
        </references>
      </pivotArea>
    </format>
    <format dxfId="1248">
      <pivotArea dataOnly="0" labelOnly="1" outline="0" fieldPosition="0">
        <references count="5">
          <reference field="0" count="1" selected="0">
            <x v="84"/>
          </reference>
          <reference field="1" count="1" selected="0">
            <x v="32"/>
          </reference>
          <reference field="2" count="1" selected="0">
            <x v="3"/>
          </reference>
          <reference field="3" count="1" selected="0">
            <x v="10"/>
          </reference>
          <reference field="4" count="1">
            <x v="33"/>
          </reference>
        </references>
      </pivotArea>
    </format>
    <format dxfId="1247">
      <pivotArea dataOnly="0" labelOnly="1" outline="0" fieldPosition="0">
        <references count="5">
          <reference field="0" count="1" selected="0">
            <x v="57"/>
          </reference>
          <reference field="1" count="1" selected="0">
            <x v="89"/>
          </reference>
          <reference field="2" count="1" selected="0">
            <x v="8"/>
          </reference>
          <reference field="3" count="1" selected="0">
            <x v="27"/>
          </reference>
          <reference field="4" count="1">
            <x v="44"/>
          </reference>
        </references>
      </pivotArea>
    </format>
    <format dxfId="1246">
      <pivotArea dataOnly="0" labelOnly="1" outline="0" fieldPosition="0">
        <references count="5">
          <reference field="0" count="1" selected="0">
            <x v="74"/>
          </reference>
          <reference field="1" count="1" selected="0">
            <x v="8"/>
          </reference>
          <reference field="2" count="1" selected="0">
            <x v="3"/>
          </reference>
          <reference field="3" count="1" selected="0">
            <x v="31"/>
          </reference>
          <reference field="4" count="1">
            <x v="69"/>
          </reference>
        </references>
      </pivotArea>
    </format>
    <format dxfId="1245">
      <pivotArea dataOnly="0" labelOnly="1" outline="0" fieldPosition="0">
        <references count="5">
          <reference field="0" count="1" selected="0">
            <x v="6"/>
          </reference>
          <reference field="1" count="1" selected="0">
            <x v="19"/>
          </reference>
          <reference field="2" count="1" selected="0">
            <x v="6"/>
          </reference>
          <reference field="3" count="1" selected="0">
            <x v="4"/>
          </reference>
          <reference field="4" count="1">
            <x v="61"/>
          </reference>
        </references>
      </pivotArea>
    </format>
    <format dxfId="1244">
      <pivotArea dataOnly="0" labelOnly="1" outline="0" fieldPosition="0">
        <references count="5">
          <reference field="0" count="1" selected="0">
            <x v="92"/>
          </reference>
          <reference field="1" count="1" selected="0">
            <x v="55"/>
          </reference>
          <reference field="2" count="1" selected="0">
            <x v="3"/>
          </reference>
          <reference field="3" count="1" selected="0">
            <x v="31"/>
          </reference>
          <reference field="4" count="1">
            <x v="69"/>
          </reference>
        </references>
      </pivotArea>
    </format>
    <format dxfId="1243">
      <pivotArea dataOnly="0" labelOnly="1" outline="0" fieldPosition="0">
        <references count="5">
          <reference field="0" count="1" selected="0">
            <x v="80"/>
          </reference>
          <reference field="1" count="1" selected="0">
            <x v="24"/>
          </reference>
          <reference field="2" count="1" selected="0">
            <x v="3"/>
          </reference>
          <reference field="3" count="1" selected="0">
            <x v="31"/>
          </reference>
          <reference field="4" count="1">
            <x v="57"/>
          </reference>
        </references>
      </pivotArea>
    </format>
    <format dxfId="1242">
      <pivotArea dataOnly="0" labelOnly="1" outline="0" fieldPosition="0">
        <references count="5">
          <reference field="0" count="1" selected="0">
            <x v="78"/>
          </reference>
          <reference field="1" count="1" selected="0">
            <x v="17"/>
          </reference>
          <reference field="2" count="1" selected="0">
            <x v="3"/>
          </reference>
          <reference field="3" count="1" selected="0">
            <x v="14"/>
          </reference>
          <reference field="4" count="1">
            <x v="34"/>
          </reference>
        </references>
      </pivotArea>
    </format>
    <format dxfId="1241">
      <pivotArea dataOnly="0" labelOnly="1" outline="0" fieldPosition="0">
        <references count="5">
          <reference field="0" count="1" selected="0">
            <x v="20"/>
          </reference>
          <reference field="1" count="1" selected="0">
            <x v="42"/>
          </reference>
          <reference field="2" count="1" selected="0">
            <x v="5"/>
          </reference>
          <reference field="3" count="1" selected="0">
            <x v="17"/>
          </reference>
          <reference field="4" count="1">
            <x v="31"/>
          </reference>
        </references>
      </pivotArea>
    </format>
    <format dxfId="1240">
      <pivotArea dataOnly="0" labelOnly="1" outline="0" fieldPosition="0">
        <references count="5">
          <reference field="0" count="1" selected="0">
            <x v="89"/>
          </reference>
          <reference field="1" count="1" selected="0">
            <x v="44"/>
          </reference>
          <reference field="2" count="1" selected="0">
            <x v="2"/>
          </reference>
          <reference field="3" count="1" selected="0">
            <x v="7"/>
          </reference>
          <reference field="4" count="1">
            <x v="13"/>
          </reference>
        </references>
      </pivotArea>
    </format>
    <format dxfId="1239">
      <pivotArea dataOnly="0" labelOnly="1" outline="0" fieldPosition="0">
        <references count="5">
          <reference field="0" count="1" selected="0">
            <x v="0"/>
          </reference>
          <reference field="1" count="1" selected="0">
            <x v="4"/>
          </reference>
          <reference field="2" count="1" selected="0">
            <x v="1"/>
          </reference>
          <reference field="3" count="1" selected="0">
            <x v="2"/>
          </reference>
          <reference field="4" count="1">
            <x v="2"/>
          </reference>
        </references>
      </pivotArea>
    </format>
    <format dxfId="1238">
      <pivotArea dataOnly="0" labelOnly="1" outline="0" fieldPosition="0">
        <references count="5">
          <reference field="0" count="1" selected="0">
            <x v="64"/>
          </reference>
          <reference field="1" count="1" selected="0">
            <x v="11"/>
          </reference>
          <reference field="2" count="1" selected="0">
            <x v="2"/>
          </reference>
          <reference field="3" count="1" selected="0">
            <x v="7"/>
          </reference>
          <reference field="4" count="1">
            <x v="3"/>
          </reference>
        </references>
      </pivotArea>
    </format>
    <format dxfId="1237">
      <pivotArea dataOnly="0" labelOnly="1" outline="0" fieldPosition="0">
        <references count="5">
          <reference field="0" count="1" selected="0">
            <x v="86"/>
          </reference>
          <reference field="1" count="1" selected="0">
            <x v="40"/>
          </reference>
          <reference field="2" count="1" selected="0">
            <x v="5"/>
          </reference>
          <reference field="3" count="1" selected="0">
            <x v="29"/>
          </reference>
          <reference field="4" count="1">
            <x v="72"/>
          </reference>
        </references>
      </pivotArea>
    </format>
    <format dxfId="1236">
      <pivotArea dataOnly="0" labelOnly="1" outline="0" fieldPosition="0">
        <references count="5">
          <reference field="0" count="1" selected="0">
            <x v="82"/>
          </reference>
          <reference field="1" count="1" selected="0">
            <x v="27"/>
          </reference>
          <reference field="2" count="1" selected="0">
            <x v="2"/>
          </reference>
          <reference field="3" count="1" selected="0">
            <x v="9"/>
          </reference>
          <reference field="4" count="1">
            <x v="40"/>
          </reference>
        </references>
      </pivotArea>
    </format>
    <format dxfId="1235">
      <pivotArea dataOnly="0" labelOnly="1" outline="0" fieldPosition="0">
        <references count="5">
          <reference field="0" count="1" selected="0">
            <x v="81"/>
          </reference>
          <reference field="1" count="1" selected="0">
            <x v="25"/>
          </reference>
          <reference field="2" count="1" selected="0">
            <x v="3"/>
          </reference>
          <reference field="3" count="1" selected="0">
            <x v="10"/>
          </reference>
          <reference field="4" count="1">
            <x v="19"/>
          </reference>
        </references>
      </pivotArea>
    </format>
    <format dxfId="1234">
      <pivotArea dataOnly="0" labelOnly="1" outline="0" fieldPosition="0">
        <references count="5">
          <reference field="0" count="1" selected="0">
            <x v="62"/>
          </reference>
          <reference field="1" count="1" selected="0">
            <x v="98"/>
          </reference>
          <reference field="2" count="1" selected="0">
            <x v="8"/>
          </reference>
          <reference field="3" count="1" selected="0">
            <x v="45"/>
          </reference>
          <reference field="4" count="1">
            <x v="26"/>
          </reference>
        </references>
      </pivotArea>
    </format>
    <format dxfId="1233">
      <pivotArea dataOnly="0" labelOnly="1" outline="0" fieldPosition="0">
        <references count="5">
          <reference field="0" count="1" selected="0">
            <x v="94"/>
          </reference>
          <reference field="1" count="1" selected="0">
            <x v="94"/>
          </reference>
          <reference field="2" count="1" selected="0">
            <x v="3"/>
          </reference>
          <reference field="3" count="1" selected="0">
            <x v="31"/>
          </reference>
          <reference field="4" count="1">
            <x v="69"/>
          </reference>
        </references>
      </pivotArea>
    </format>
    <format dxfId="1232">
      <pivotArea dataOnly="0" labelOnly="1" outline="0" fieldPosition="0">
        <references count="5">
          <reference field="0" count="1" selected="0">
            <x v="70"/>
          </reference>
          <reference field="1" count="1" selected="0">
            <x v="2"/>
          </reference>
          <reference field="2" count="1" selected="0">
            <x v="3"/>
          </reference>
          <reference field="3" count="1" selected="0">
            <x v="28"/>
          </reference>
          <reference field="4" count="1">
            <x v="23"/>
          </reference>
        </references>
      </pivotArea>
    </format>
    <format dxfId="1231">
      <pivotArea dataOnly="0" labelOnly="1" outline="0" fieldPosition="0">
        <references count="5">
          <reference field="0" count="1" selected="0">
            <x v="25"/>
          </reference>
          <reference field="1" count="1" selected="0">
            <x v="53"/>
          </reference>
          <reference field="2" count="1" selected="0">
            <x v="3"/>
          </reference>
          <reference field="3" count="1" selected="0">
            <x v="26"/>
          </reference>
          <reference field="4" count="1">
            <x v="64"/>
          </reference>
        </references>
      </pivotArea>
    </format>
    <format dxfId="1230">
      <pivotArea dataOnly="0" labelOnly="1" outline="0" fieldPosition="0">
        <references count="5">
          <reference field="0" count="1" selected="0">
            <x v="7"/>
          </reference>
          <reference field="1" count="1" selected="0">
            <x v="20"/>
          </reference>
          <reference field="2" count="1" selected="0">
            <x v="2"/>
          </reference>
          <reference field="3" count="1" selected="0">
            <x v="6"/>
          </reference>
          <reference field="4" count="1">
            <x v="39"/>
          </reference>
        </references>
      </pivotArea>
    </format>
    <format dxfId="1229">
      <pivotArea dataOnly="0" labelOnly="1" outline="0" fieldPosition="0">
        <references count="5">
          <reference field="0" count="1" selected="0">
            <x v="42"/>
          </reference>
          <reference field="1" count="1" selected="0">
            <x v="74"/>
          </reference>
          <reference field="2" count="1" selected="0">
            <x v="5"/>
          </reference>
          <reference field="3" count="1" selected="0">
            <x v="34"/>
          </reference>
          <reference field="4" count="1">
            <x v="49"/>
          </reference>
        </references>
      </pivotArea>
    </format>
    <format dxfId="1228">
      <pivotArea dataOnly="0" labelOnly="1" outline="0" fieldPosition="0">
        <references count="5">
          <reference field="0" count="1" selected="0">
            <x v="87"/>
          </reference>
          <reference field="1" count="1" selected="0">
            <x v="41"/>
          </reference>
          <reference field="2" count="1" selected="0">
            <x v="3"/>
          </reference>
          <reference field="3" count="1" selected="0">
            <x v="28"/>
          </reference>
          <reference field="4" count="1">
            <x v="23"/>
          </reference>
        </references>
      </pivotArea>
    </format>
    <format dxfId="1227">
      <pivotArea dataOnly="0" labelOnly="1" outline="0" fieldPosition="0">
        <references count="5">
          <reference field="0" count="1" selected="0">
            <x v="55"/>
          </reference>
          <reference field="1" count="1" selected="0">
            <x v="87"/>
          </reference>
          <reference field="2" count="1" selected="0">
            <x v="3"/>
          </reference>
          <reference field="3" count="1" selected="0">
            <x v="41"/>
          </reference>
          <reference field="4" count="1">
            <x v="30"/>
          </reference>
        </references>
      </pivotArea>
    </format>
    <format dxfId="1226">
      <pivotArea dataOnly="0" labelOnly="1" outline="0" fieldPosition="0">
        <references count="5">
          <reference field="0" count="1" selected="0">
            <x v="27"/>
          </reference>
          <reference field="1" count="1" selected="0">
            <x v="57"/>
          </reference>
          <reference field="2" count="1" selected="0">
            <x v="2"/>
          </reference>
          <reference field="3" count="1" selected="0">
            <x v="8"/>
          </reference>
          <reference field="4" count="1">
            <x v="42"/>
          </reference>
        </references>
      </pivotArea>
    </format>
    <format dxfId="1225">
      <pivotArea dataOnly="0" labelOnly="1" outline="0" fieldPosition="0">
        <references count="5">
          <reference field="0" count="1" selected="0">
            <x v="43"/>
          </reference>
          <reference field="1" count="1" selected="0">
            <x v="75"/>
          </reference>
          <reference field="2" count="1" selected="0">
            <x v="7"/>
          </reference>
          <reference field="3" count="1" selected="0">
            <x v="35"/>
          </reference>
          <reference field="4" count="1">
            <x v="50"/>
          </reference>
        </references>
      </pivotArea>
    </format>
    <format dxfId="1224">
      <pivotArea dataOnly="0" labelOnly="1" outline="0" fieldPosition="0">
        <references count="5">
          <reference field="0" count="1" selected="0">
            <x v="47"/>
          </reference>
          <reference field="1" count="1" selected="0">
            <x v="78"/>
          </reference>
          <reference field="2" count="1" selected="0">
            <x v="7"/>
          </reference>
          <reference field="3" count="1" selected="0">
            <x v="38"/>
          </reference>
          <reference field="4" count="1">
            <x v="18"/>
          </reference>
        </references>
      </pivotArea>
    </format>
    <format dxfId="1223">
      <pivotArea dataOnly="0" labelOnly="1" outline="0" fieldPosition="0">
        <references count="5">
          <reference field="0" count="1" selected="0">
            <x v="39"/>
          </reference>
          <reference field="1" count="1" selected="0">
            <x v="71"/>
          </reference>
          <reference field="2" count="1" selected="0">
            <x v="6"/>
          </reference>
          <reference field="3" count="1" selected="0">
            <x v="33"/>
          </reference>
          <reference field="4" count="1">
            <x v="37"/>
          </reference>
        </references>
      </pivotArea>
    </format>
    <format dxfId="1222">
      <pivotArea dataOnly="0" labelOnly="1" outline="0" fieldPosition="0">
        <references count="5">
          <reference field="0" count="1" selected="0">
            <x v="5"/>
          </reference>
          <reference field="1" count="1" selected="0">
            <x v="18"/>
          </reference>
          <reference field="2" count="1" selected="0">
            <x v="1"/>
          </reference>
          <reference field="3" count="1" selected="0">
            <x v="3"/>
          </reference>
          <reference field="4" count="1">
            <x v="11"/>
          </reference>
        </references>
      </pivotArea>
    </format>
    <format dxfId="1221">
      <pivotArea dataOnly="0" labelOnly="1" outline="0" fieldPosition="0">
        <references count="5">
          <reference field="0" count="1" selected="0">
            <x v="34"/>
          </reference>
          <reference field="1" count="1" selected="0">
            <x v="65"/>
          </reference>
          <reference field="2" count="1" selected="0">
            <x v="5"/>
          </reference>
          <reference field="3" count="1" selected="0">
            <x v="29"/>
          </reference>
          <reference field="4" count="1">
            <x v="45"/>
          </reference>
        </references>
      </pivotArea>
    </format>
    <format dxfId="1220">
      <pivotArea dataOnly="0" labelOnly="1" outline="0" fieldPosition="0">
        <references count="5">
          <reference field="0" count="1" selected="0">
            <x v="9"/>
          </reference>
          <reference field="1" count="1" selected="0">
            <x v="23"/>
          </reference>
          <reference field="2" count="1" selected="0">
            <x v="1"/>
          </reference>
          <reference field="3" count="1" selected="0">
            <x v="2"/>
          </reference>
          <reference field="4" count="1">
            <x v="28"/>
          </reference>
        </references>
      </pivotArea>
    </format>
    <format dxfId="1219">
      <pivotArea dataOnly="0" labelOnly="1" outline="0" fieldPosition="0">
        <references count="5">
          <reference field="0" count="1" selected="0">
            <x v="76"/>
          </reference>
          <reference field="1" count="1" selected="0">
            <x v="14"/>
          </reference>
          <reference field="2" count="1" selected="0">
            <x v="3"/>
          </reference>
          <reference field="3" count="1" selected="0">
            <x v="10"/>
          </reference>
          <reference field="4" count="1">
            <x v="60"/>
          </reference>
        </references>
      </pivotArea>
    </format>
    <format dxfId="1218">
      <pivotArea dataOnly="0" labelOnly="1" outline="0" fieldPosition="0">
        <references count="5">
          <reference field="0" count="1" selected="0">
            <x v="35"/>
          </reference>
          <reference field="1" count="1" selected="0">
            <x v="66"/>
          </reference>
          <reference field="2" count="1" selected="0">
            <x v="5"/>
          </reference>
          <reference field="3" count="1" selected="0">
            <x v="29"/>
          </reference>
          <reference field="4" count="1">
            <x v="29"/>
          </reference>
        </references>
      </pivotArea>
    </format>
    <format dxfId="1217">
      <pivotArea dataOnly="0" labelOnly="1" outline="0" fieldPosition="0">
        <references count="5">
          <reference field="0" count="1" selected="0">
            <x v="3"/>
          </reference>
          <reference field="1" count="1" selected="0">
            <x v="13"/>
          </reference>
          <reference field="2" count="1" selected="0">
            <x v="3"/>
          </reference>
          <reference field="3" count="1" selected="0">
            <x v="31"/>
          </reference>
          <reference field="4" count="1">
            <x v="4"/>
          </reference>
        </references>
      </pivotArea>
    </format>
    <format dxfId="1216">
      <pivotArea dataOnly="0" labelOnly="1" outline="0" fieldPosition="0">
        <references count="5">
          <reference field="0" count="1" selected="0">
            <x v="40"/>
          </reference>
          <reference field="1" count="1" selected="0">
            <x v="72"/>
          </reference>
          <reference field="2" count="1" selected="0">
            <x v="6"/>
          </reference>
          <reference field="3" count="1" selected="0">
            <x v="33"/>
          </reference>
          <reference field="4" count="1">
            <x v="47"/>
          </reference>
        </references>
      </pivotArea>
    </format>
    <format dxfId="1215">
      <pivotArea dataOnly="0" labelOnly="1" outline="0" fieldPosition="0">
        <references count="5">
          <reference field="0" count="1" selected="0">
            <x v="21"/>
          </reference>
          <reference field="1" count="1" selected="0">
            <x v="45"/>
          </reference>
          <reference field="2" count="1" selected="0">
            <x v="4"/>
          </reference>
          <reference field="3" count="1" selected="0">
            <x v="19"/>
          </reference>
          <reference field="4" count="1">
            <x v="8"/>
          </reference>
        </references>
      </pivotArea>
    </format>
    <format dxfId="1214">
      <pivotArea dataOnly="0" labelOnly="1" outline="0" fieldPosition="0">
        <references count="5">
          <reference field="0" count="1" selected="0">
            <x v="52"/>
          </reference>
          <reference field="1" count="1" selected="0">
            <x v="83"/>
          </reference>
          <reference field="2" count="1" selected="0">
            <x v="2"/>
          </reference>
          <reference field="3" count="1" selected="0">
            <x v="7"/>
          </reference>
          <reference field="4" count="1">
            <x v="58"/>
          </reference>
        </references>
      </pivotArea>
    </format>
    <format dxfId="1213">
      <pivotArea dataOnly="0" labelOnly="1" outline="0" fieldPosition="0">
        <references count="5">
          <reference field="0" count="1" selected="0">
            <x v="95"/>
          </reference>
          <reference field="1" count="1" selected="0">
            <x v="95"/>
          </reference>
          <reference field="2" count="1" selected="0">
            <x v="3"/>
          </reference>
          <reference field="3" count="1" selected="0">
            <x v="28"/>
          </reference>
          <reference field="4" count="1">
            <x v="23"/>
          </reference>
        </references>
      </pivotArea>
    </format>
    <format dxfId="1212">
      <pivotArea dataOnly="0" labelOnly="1" outline="0" fieldPosition="0">
        <references count="5">
          <reference field="0" count="1" selected="0">
            <x v="93"/>
          </reference>
          <reference field="1" count="1" selected="0">
            <x v="91"/>
          </reference>
          <reference field="2" count="1" selected="0">
            <x v="6"/>
          </reference>
          <reference field="3" count="1" selected="0">
            <x v="43"/>
          </reference>
          <reference field="4" count="1">
            <x v="66"/>
          </reference>
        </references>
      </pivotArea>
    </format>
    <format dxfId="1211">
      <pivotArea dataOnly="0" labelOnly="1" outline="0" fieldPosition="0">
        <references count="5">
          <reference field="0" count="1" selected="0">
            <x v="54"/>
          </reference>
          <reference field="1" count="1" selected="0">
            <x v="86"/>
          </reference>
          <reference field="2" count="1" selected="0">
            <x v="3"/>
          </reference>
          <reference field="3" count="1" selected="0">
            <x v="41"/>
          </reference>
          <reference field="4" count="1">
            <x v="25"/>
          </reference>
        </references>
      </pivotArea>
    </format>
    <format dxfId="1210">
      <pivotArea dataOnly="0" labelOnly="1" outline="0" fieldPosition="0">
        <references count="5">
          <reference field="0" count="1" selected="0">
            <x v="24"/>
          </reference>
          <reference field="1" count="1" selected="0">
            <x v="51"/>
          </reference>
          <reference field="2" count="1" selected="0">
            <x v="3"/>
          </reference>
          <reference field="3" count="1" selected="0">
            <x v="24"/>
          </reference>
          <reference field="4" count="1">
            <x v="55"/>
          </reference>
        </references>
      </pivotArea>
    </format>
    <format dxfId="1209">
      <pivotArea dataOnly="0" labelOnly="1" outline="0" fieldPosition="0">
        <references count="5">
          <reference field="0" count="1" selected="0">
            <x v="44"/>
          </reference>
          <reference field="1" count="1" selected="0">
            <x v="76"/>
          </reference>
          <reference field="2" count="1" selected="0">
            <x v="2"/>
          </reference>
          <reference field="3" count="1" selected="0">
            <x v="36"/>
          </reference>
          <reference field="4" count="1">
            <x v="16"/>
          </reference>
        </references>
      </pivotArea>
    </format>
    <format dxfId="1208">
      <pivotArea dataOnly="0" labelOnly="1" outline="0" fieldPosition="0">
        <references count="5">
          <reference field="0" count="1" selected="0">
            <x v="90"/>
          </reference>
          <reference field="1" count="1" selected="0">
            <x v="47"/>
          </reference>
          <reference field="2" count="1" selected="0">
            <x v="3"/>
          </reference>
          <reference field="3" count="1" selected="0">
            <x v="20"/>
          </reference>
          <reference field="4" count="1">
            <x v="52"/>
          </reference>
        </references>
      </pivotArea>
    </format>
    <format dxfId="1207">
      <pivotArea dataOnly="0" labelOnly="1" outline="0" fieldPosition="0">
        <references count="5">
          <reference field="0" count="1" selected="0">
            <x v="14"/>
          </reference>
          <reference field="1" count="1" selected="0">
            <x v="34"/>
          </reference>
          <reference field="2" count="1" selected="0">
            <x v="3"/>
          </reference>
          <reference field="3" count="1" selected="0">
            <x v="12"/>
          </reference>
          <reference field="4" count="1">
            <x v="22"/>
          </reference>
        </references>
      </pivotArea>
    </format>
    <format dxfId="1206">
      <pivotArea dataOnly="0" labelOnly="1" outline="0" fieldPosition="0">
        <references count="5">
          <reference field="0" count="1" selected="0">
            <x v="19"/>
          </reference>
          <reference field="1" count="1" selected="0">
            <x v="39"/>
          </reference>
          <reference field="2" count="1" selected="0">
            <x v="8"/>
          </reference>
          <reference field="3" count="1" selected="0">
            <x v="16"/>
          </reference>
          <reference field="4" count="1">
            <x v="15"/>
          </reference>
        </references>
      </pivotArea>
    </format>
    <format dxfId="1205">
      <pivotArea dataOnly="0" labelOnly="1" outline="0" fieldPosition="0">
        <references count="5">
          <reference field="0" count="1" selected="0">
            <x v="8"/>
          </reference>
          <reference field="1" count="1" selected="0">
            <x v="21"/>
          </reference>
          <reference field="2" count="1" selected="0">
            <x v="2"/>
          </reference>
          <reference field="3" count="1" selected="0">
            <x v="6"/>
          </reference>
          <reference field="4" count="1">
            <x v="27"/>
          </reference>
        </references>
      </pivotArea>
    </format>
    <format dxfId="1204">
      <pivotArea dataOnly="0" labelOnly="1" outline="0" fieldPosition="0">
        <references count="5">
          <reference field="0" count="1" selected="0">
            <x v="67"/>
          </reference>
          <reference field="1" count="1" selected="0">
            <x v="64"/>
          </reference>
          <reference field="2" count="1" selected="0">
            <x v="4"/>
          </reference>
          <reference field="3" count="1" selected="0">
            <x v="1"/>
          </reference>
          <reference field="4" count="1">
            <x v="43"/>
          </reference>
        </references>
      </pivotArea>
    </format>
    <format dxfId="1203">
      <pivotArea dataOnly="0" labelOnly="1" outline="0" fieldPosition="0">
        <references count="5">
          <reference field="0" count="1" selected="0">
            <x v="69"/>
          </reference>
          <reference field="1" count="1" selected="0">
            <x v="1"/>
          </reference>
          <reference field="2" count="1" selected="0">
            <x v="3"/>
          </reference>
          <reference field="3" count="1" selected="0">
            <x v="32"/>
          </reference>
          <reference field="4" count="1">
            <x v="53"/>
          </reference>
        </references>
      </pivotArea>
    </format>
    <format dxfId="1202">
      <pivotArea dataOnly="0" labelOnly="1" outline="0" fieldPosition="0">
        <references count="5">
          <reference field="0" count="1" selected="0">
            <x v="72"/>
          </reference>
          <reference field="1" count="1" selected="0">
            <x v="5"/>
          </reference>
          <reference field="2" count="1" selected="0">
            <x v="5"/>
          </reference>
          <reference field="3" count="1" selected="0">
            <x v="29"/>
          </reference>
          <reference field="4" count="1">
            <x v="72"/>
          </reference>
        </references>
      </pivotArea>
    </format>
    <format dxfId="1201">
      <pivotArea dataOnly="0" labelOnly="1" outline="0" fieldPosition="0">
        <references count="5">
          <reference field="0" count="1" selected="0">
            <x v="38"/>
          </reference>
          <reference field="1" count="1" selected="0">
            <x v="69"/>
          </reference>
          <reference field="2" count="1" selected="0">
            <x v="3"/>
          </reference>
          <reference field="3" count="1" selected="0">
            <x v="31"/>
          </reference>
          <reference field="4" count="1">
            <x v="69"/>
          </reference>
        </references>
      </pivotArea>
    </format>
    <format dxfId="1200">
      <pivotArea dataOnly="0" labelOnly="1" outline="0" fieldPosition="0">
        <references count="5">
          <reference field="0" count="1" selected="0">
            <x v="22"/>
          </reference>
          <reference field="1" count="1" selected="0">
            <x v="46"/>
          </reference>
          <reference field="2" count="1" selected="0">
            <x v="4"/>
          </reference>
          <reference field="3" count="1" selected="0">
            <x v="19"/>
          </reference>
          <reference field="4" count="1">
            <x v="71"/>
          </reference>
        </references>
      </pivotArea>
    </format>
    <format dxfId="1199">
      <pivotArea dataOnly="0" labelOnly="1" outline="0" fieldPosition="0">
        <references count="5">
          <reference field="0" count="1" selected="0">
            <x v="99"/>
          </reference>
          <reference field="1" count="1" selected="0">
            <x v="85"/>
          </reference>
          <reference field="2" count="1" selected="0">
            <x v="4"/>
          </reference>
          <reference field="3" count="1" selected="0">
            <x v="40"/>
          </reference>
          <reference field="4" count="1">
            <x v="0"/>
          </reference>
        </references>
      </pivotArea>
    </format>
    <format dxfId="1198">
      <pivotArea dataOnly="0" labelOnly="1" outline="0" fieldPosition="0">
        <references count="5">
          <reference field="0" count="1" selected="0">
            <x v="96"/>
          </reference>
          <reference field="1" count="1" selected="0">
            <x v="100"/>
          </reference>
          <reference field="2" count="1" selected="0">
            <x v="3"/>
          </reference>
          <reference field="3" count="1" selected="0">
            <x v="10"/>
          </reference>
          <reference field="4" count="1">
            <x v="73"/>
          </reference>
        </references>
      </pivotArea>
    </format>
    <format dxfId="1197">
      <pivotArea dataOnly="0" labelOnly="1" outline="0" fieldPosition="0">
        <references count="5">
          <reference field="0" count="1" selected="0">
            <x v="77"/>
          </reference>
          <reference field="1" count="1" selected="0">
            <x v="16"/>
          </reference>
          <reference field="2" count="1" selected="0">
            <x v="3"/>
          </reference>
          <reference field="3" count="1" selected="0">
            <x v="10"/>
          </reference>
          <reference field="4" count="1">
            <x v="33"/>
          </reference>
        </references>
      </pivotArea>
    </format>
    <format dxfId="1196">
      <pivotArea dataOnly="0" labelOnly="1" outline="0" fieldPosition="0">
        <references count="5">
          <reference field="0" count="1" selected="0">
            <x v="13"/>
          </reference>
          <reference field="1" count="1" selected="0">
            <x v="30"/>
          </reference>
          <reference field="2" count="1" selected="0">
            <x v="7"/>
          </reference>
          <reference field="3" count="1" selected="0">
            <x v="11"/>
          </reference>
          <reference field="4" count="1">
            <x v="20"/>
          </reference>
        </references>
      </pivotArea>
    </format>
    <format dxfId="1195">
      <pivotArea dataOnly="0" labelOnly="1" outline="0" fieldPosition="0">
        <references count="5">
          <reference field="0" count="1" selected="0">
            <x v="46"/>
          </reference>
          <reference field="1" count="1" selected="0">
            <x v="77"/>
          </reference>
          <reference field="2" count="1" selected="0">
            <x v="6"/>
          </reference>
          <reference field="3" count="1" selected="0">
            <x v="37"/>
          </reference>
          <reference field="4" count="1">
            <x v="9"/>
          </reference>
        </references>
      </pivotArea>
    </format>
    <format dxfId="1194">
      <pivotArea dataOnly="0" labelOnly="1" outline="0" fieldPosition="0">
        <references count="5">
          <reference field="0" count="1" selected="0">
            <x v="58"/>
          </reference>
          <reference field="1" count="1" selected="0">
            <x v="90"/>
          </reference>
          <reference field="2" count="1" selected="0">
            <x v="3"/>
          </reference>
          <reference field="3" count="1" selected="0">
            <x v="14"/>
          </reference>
          <reference field="4" count="1">
            <x v="65"/>
          </reference>
        </references>
      </pivotArea>
    </format>
    <format dxfId="1193">
      <pivotArea dataOnly="0" labelOnly="1" outline="0" fieldPosition="0">
        <references count="5">
          <reference field="0" count="1" selected="0">
            <x v="83"/>
          </reference>
          <reference field="1" count="1" selected="0">
            <x v="31"/>
          </reference>
          <reference field="2" count="1" selected="0">
            <x v="8"/>
          </reference>
          <reference field="3" count="1" selected="0">
            <x v="16"/>
          </reference>
          <reference field="4" count="1">
            <x v="6"/>
          </reference>
        </references>
      </pivotArea>
    </format>
    <format dxfId="1192">
      <pivotArea dataOnly="0" labelOnly="1" outline="0" fieldPosition="0">
        <references count="5">
          <reference field="0" count="1" selected="0">
            <x v="49"/>
          </reference>
          <reference field="1" count="1" selected="0">
            <x v="80"/>
          </reference>
          <reference field="2" count="1" selected="0">
            <x v="6"/>
          </reference>
          <reference field="3" count="1" selected="0">
            <x v="39"/>
          </reference>
          <reference field="4" count="1">
            <x v="51"/>
          </reference>
        </references>
      </pivotArea>
    </format>
    <format dxfId="1191">
      <pivotArea dataOnly="0" labelOnly="1" outline="0" fieldPosition="0">
        <references count="5">
          <reference field="0" count="1" selected="0">
            <x v="48"/>
          </reference>
          <reference field="1" count="1" selected="0">
            <x v="79"/>
          </reference>
          <reference field="2" count="1" selected="0">
            <x v="2"/>
          </reference>
          <reference field="3" count="1" selected="0">
            <x v="7"/>
          </reference>
          <reference field="4" count="1">
            <x v="54"/>
          </reference>
        </references>
      </pivotArea>
    </format>
    <format dxfId="1190">
      <pivotArea dataOnly="0" labelOnly="1" outline="0" fieldPosition="0">
        <references count="5">
          <reference field="0" count="1" selected="0">
            <x v="68"/>
          </reference>
          <reference field="1" count="1" selected="0">
            <x v="0"/>
          </reference>
          <reference field="2" count="1" selected="0">
            <x v="3"/>
          </reference>
          <reference field="3" count="1" selected="0">
            <x v="28"/>
          </reference>
          <reference field="4" count="1">
            <x v="23"/>
          </reference>
        </references>
      </pivotArea>
    </format>
    <format dxfId="1189">
      <pivotArea dataOnly="0" labelOnly="1" outline="0" fieldPosition="0">
        <references count="5">
          <reference field="0" count="1" selected="0">
            <x v="73"/>
          </reference>
          <reference field="1" count="1" selected="0">
            <x v="6"/>
          </reference>
          <reference field="2" count="1" selected="0">
            <x v="2"/>
          </reference>
          <reference field="3" count="1" selected="0">
            <x v="9"/>
          </reference>
          <reference field="4" count="1">
            <x v="17"/>
          </reference>
        </references>
      </pivotArea>
    </format>
    <format dxfId="1188">
      <pivotArea dataOnly="0" labelOnly="1" outline="0" fieldPosition="0">
        <references count="5">
          <reference field="0" count="1" selected="0">
            <x v="30"/>
          </reference>
          <reference field="1" count="1" selected="0">
            <x v="60"/>
          </reference>
          <reference field="2" count="1" selected="0">
            <x v="2"/>
          </reference>
          <reference field="3" count="1" selected="0">
            <x v="8"/>
          </reference>
          <reference field="4" count="1">
            <x v="32"/>
          </reference>
        </references>
      </pivotArea>
    </format>
    <format dxfId="1187">
      <pivotArea dataOnly="0" labelOnly="1" outline="0" fieldPosition="0">
        <references count="5">
          <reference field="0" count="1" selected="0">
            <x v="31"/>
          </reference>
          <reference field="1" count="1" selected="0">
            <x v="62"/>
          </reference>
          <reference field="2" count="1" selected="0">
            <x v="2"/>
          </reference>
          <reference field="3" count="1" selected="0">
            <x v="8"/>
          </reference>
          <reference field="4" count="1">
            <x v="42"/>
          </reference>
        </references>
      </pivotArea>
    </format>
    <format dxfId="1186">
      <pivotArea dataOnly="0" labelOnly="1" outline="0" fieldPosition="0">
        <references count="5">
          <reference field="0" count="1" selected="0">
            <x v="79"/>
          </reference>
          <reference field="1" count="1" selected="0">
            <x v="22"/>
          </reference>
          <reference field="2" count="1" selected="0">
            <x v="8"/>
          </reference>
          <reference field="3" count="1" selected="0">
            <x v="44"/>
          </reference>
          <reference field="4" count="1">
            <x v="14"/>
          </reference>
        </references>
      </pivotArea>
    </format>
    <format dxfId="1185">
      <pivotArea dataOnly="0" labelOnly="1" outline="0" fieldPosition="0">
        <references count="5">
          <reference field="0" count="1" selected="0">
            <x v="18"/>
          </reference>
          <reference field="1" count="1" selected="0">
            <x v="38"/>
          </reference>
          <reference field="2" count="1" selected="0">
            <x v="3"/>
          </reference>
          <reference field="3" count="1" selected="0">
            <x v="15"/>
          </reference>
          <reference field="4" count="1">
            <x v="24"/>
          </reference>
        </references>
      </pivotArea>
    </format>
    <format dxfId="1184">
      <pivotArea dataOnly="0" labelOnly="1" outline="0" fieldPosition="0">
        <references count="5">
          <reference field="0" count="1" selected="0">
            <x v="100"/>
          </reference>
          <reference field="1" count="1" selected="0">
            <x v="61"/>
          </reference>
          <reference field="2" count="1" selected="0">
            <x v="0"/>
          </reference>
          <reference field="3" count="1" selected="0">
            <x v="0"/>
          </reference>
          <reference field="4" count="1">
            <x v="0"/>
          </reference>
        </references>
      </pivotArea>
    </format>
    <format dxfId="1183">
      <pivotArea dataOnly="0" labelOnly="1" outline="0" fieldPosition="0">
        <references count="5">
          <reference field="0" count="1" selected="0">
            <x v="85"/>
          </reference>
          <reference field="1" count="1" selected="0">
            <x v="33"/>
          </reference>
          <reference field="2" count="1" selected="0">
            <x v="4"/>
          </reference>
          <reference field="3" count="1" selected="0">
            <x v="1"/>
          </reference>
          <reference field="4" count="1">
            <x v="56"/>
          </reference>
        </references>
      </pivotArea>
    </format>
    <format dxfId="1182">
      <pivotArea dataOnly="0" labelOnly="1" outline="0" fieldPosition="0">
        <references count="5">
          <reference field="0" count="1" selected="0">
            <x v="16"/>
          </reference>
          <reference field="1" count="1" selected="0">
            <x v="36"/>
          </reference>
          <reference field="2" count="1" selected="0">
            <x v="3"/>
          </reference>
          <reference field="3" count="1" selected="0">
            <x v="28"/>
          </reference>
          <reference field="4" count="1">
            <x v="23"/>
          </reference>
        </references>
      </pivotArea>
    </format>
    <format dxfId="1181">
      <pivotArea dataOnly="0" labelOnly="1" outline="0" fieldPosition="0">
        <references count="5">
          <reference field="0" count="1" selected="0">
            <x v="60"/>
          </reference>
          <reference field="1" count="1" selected="0">
            <x v="96"/>
          </reference>
          <reference field="2" count="1" selected="0">
            <x v="8"/>
          </reference>
          <reference field="3" count="1" selected="0">
            <x v="44"/>
          </reference>
          <reference field="4" count="1">
            <x v="1"/>
          </reference>
        </references>
      </pivotArea>
    </format>
    <format dxfId="1180">
      <pivotArea dataOnly="0" labelOnly="1" outline="0" fieldPosition="0">
        <references count="5">
          <reference field="0" count="1" selected="0">
            <x v="1"/>
          </reference>
          <reference field="1" count="1" selected="0">
            <x v="7"/>
          </reference>
          <reference field="2" count="1" selected="0">
            <x v="2"/>
          </reference>
          <reference field="3" count="1" selected="0">
            <x v="18"/>
          </reference>
          <reference field="4" count="1">
            <x v="38"/>
          </reference>
        </references>
      </pivotArea>
    </format>
    <format dxfId="1179">
      <pivotArea dataOnly="0" labelOnly="1" outline="0" fieldPosition="0">
        <references count="5">
          <reference field="0" count="1" selected="0">
            <x v="61"/>
          </reference>
          <reference field="1" count="1" selected="0">
            <x v="97"/>
          </reference>
          <reference field="2" count="1" selected="0">
            <x v="4"/>
          </reference>
          <reference field="3" count="1" selected="0">
            <x v="1"/>
          </reference>
          <reference field="4" count="1">
            <x v="62"/>
          </reference>
        </references>
      </pivotArea>
    </format>
    <format dxfId="1178">
      <pivotArea dataOnly="0" labelOnly="1" outline="0" fieldPosition="0">
        <references count="5">
          <reference field="0" count="1" selected="0">
            <x v="45"/>
          </reference>
          <reference field="1" count="1" selected="0">
            <x v="70"/>
          </reference>
          <reference field="2" count="1" selected="0">
            <x v="3"/>
          </reference>
          <reference field="3" count="1" selected="0">
            <x v="32"/>
          </reference>
          <reference field="4" count="1">
            <x v="46"/>
          </reference>
        </references>
      </pivotArea>
    </format>
    <format dxfId="1177">
      <pivotArea dataOnly="0" labelOnly="1" outline="0" fieldPosition="0">
        <references count="5">
          <reference field="0" count="1" selected="0">
            <x v="23"/>
          </reference>
          <reference field="1" count="1" selected="0">
            <x v="48"/>
          </reference>
          <reference field="2" count="1" selected="0">
            <x v="7"/>
          </reference>
          <reference field="3" count="1" selected="0">
            <x v="21"/>
          </reference>
          <reference field="4" count="1">
            <x v="36"/>
          </reference>
        </references>
      </pivotArea>
    </format>
    <format dxfId="1176">
      <pivotArea dataOnly="0" labelOnly="1" outline="0" fieldPosition="0">
        <references count="5">
          <reference field="0" count="1" selected="0">
            <x v="50"/>
          </reference>
          <reference field="1" count="1" selected="0">
            <x v="81"/>
          </reference>
          <reference field="2" count="1" selected="0">
            <x v="4"/>
          </reference>
          <reference field="3" count="1" selected="0">
            <x v="1"/>
          </reference>
          <reference field="4" count="1">
            <x v="56"/>
          </reference>
        </references>
      </pivotArea>
    </format>
    <format dxfId="1175">
      <pivotArea dataOnly="0" labelOnly="1" outline="0" fieldPosition="0">
        <references count="5">
          <reference field="0" count="1" selected="0">
            <x v="97"/>
          </reference>
          <reference field="1" count="1" selected="0">
            <x v="50"/>
          </reference>
          <reference field="2" count="1" selected="0">
            <x v="2"/>
          </reference>
          <reference field="3" count="1" selected="0">
            <x v="23"/>
          </reference>
          <reference field="4" count="1">
            <x v="0"/>
          </reference>
        </references>
      </pivotArea>
    </format>
    <format dxfId="1174">
      <pivotArea dataOnly="0" labelOnly="1" outline="0" fieldPosition="0">
        <references count="5">
          <reference field="0" count="1" selected="0">
            <x v="53"/>
          </reference>
          <reference field="1" count="1" selected="0">
            <x v="84"/>
          </reference>
          <reference field="2" count="1" selected="0">
            <x v="6"/>
          </reference>
          <reference field="3" count="1" selected="0">
            <x v="30"/>
          </reference>
          <reference field="4" count="1">
            <x v="59"/>
          </reference>
        </references>
      </pivotArea>
    </format>
    <format dxfId="1173">
      <pivotArea dataOnly="0" labelOnly="1" outline="0" fieldPosition="0">
        <references count="5">
          <reference field="0" count="1" selected="0">
            <x v="4"/>
          </reference>
          <reference field="1" count="1" selected="0">
            <x v="15"/>
          </reference>
          <reference field="2" count="1" selected="0">
            <x v="2"/>
          </reference>
          <reference field="3" count="1" selected="0">
            <x v="5"/>
          </reference>
          <reference field="4" count="1">
            <x v="5"/>
          </reference>
        </references>
      </pivotArea>
    </format>
    <format dxfId="1172">
      <pivotArea dataOnly="0" labelOnly="1" outline="0" fieldPosition="0">
        <references count="6">
          <reference field="0" count="1" selected="0">
            <x v="65"/>
          </reference>
          <reference field="1" count="1" selected="0">
            <x v="12"/>
          </reference>
          <reference field="2" count="1" selected="0">
            <x v="3"/>
          </reference>
          <reference field="3" count="1" selected="0">
            <x v="31"/>
          </reference>
          <reference field="4" count="1" selected="0">
            <x v="4"/>
          </reference>
          <reference field="5" count="1">
            <x v="0"/>
          </reference>
        </references>
      </pivotArea>
    </format>
    <format dxfId="1171">
      <pivotArea dataOnly="0" labelOnly="1" outline="0" fieldPosition="0">
        <references count="6">
          <reference field="0" count="1" selected="0">
            <x v="51"/>
          </reference>
          <reference field="1" count="1" selected="0">
            <x v="82"/>
          </reference>
          <reference field="2" count="1" selected="0">
            <x v="2"/>
          </reference>
          <reference field="3" count="1" selected="0">
            <x v="8"/>
          </reference>
          <reference field="4" count="1" selected="0">
            <x v="70"/>
          </reference>
          <reference field="5" count="1">
            <x v="1"/>
          </reference>
        </references>
      </pivotArea>
    </format>
    <format dxfId="1170">
      <pivotArea dataOnly="0" labelOnly="1" outline="0" fieldPosition="0">
        <references count="6">
          <reference field="0" count="1" selected="0">
            <x v="66"/>
          </reference>
          <reference field="1" count="1" selected="0">
            <x v="49"/>
          </reference>
          <reference field="2" count="1" selected="0">
            <x v="4"/>
          </reference>
          <reference field="3" count="1" selected="0">
            <x v="22"/>
          </reference>
          <reference field="4" count="1" selected="0">
            <x v="10"/>
          </reference>
          <reference field="5" count="1">
            <x v="0"/>
          </reference>
        </references>
      </pivotArea>
    </format>
    <format dxfId="1169">
      <pivotArea dataOnly="0" labelOnly="1" outline="0" fieldPosition="0">
        <references count="6">
          <reference field="0" count="1" selected="0">
            <x v="88"/>
          </reference>
          <reference field="1" count="1" selected="0">
            <x v="43"/>
          </reference>
          <reference field="2" count="1" selected="0">
            <x v="2"/>
          </reference>
          <reference field="3" count="1" selected="0">
            <x v="7"/>
          </reference>
          <reference field="4" count="1" selected="0">
            <x v="3"/>
          </reference>
          <reference field="5" count="1">
            <x v="2"/>
          </reference>
        </references>
      </pivotArea>
    </format>
    <format dxfId="1168">
      <pivotArea dataOnly="0" labelOnly="1" outline="0" fieldPosition="0">
        <references count="6">
          <reference field="0" count="1" selected="0">
            <x v="57"/>
          </reference>
          <reference field="1" count="1" selected="0">
            <x v="89"/>
          </reference>
          <reference field="2" count="1" selected="0">
            <x v="8"/>
          </reference>
          <reference field="3" count="1" selected="0">
            <x v="27"/>
          </reference>
          <reference field="4" count="1" selected="0">
            <x v="44"/>
          </reference>
          <reference field="5" count="1">
            <x v="1"/>
          </reference>
        </references>
      </pivotArea>
    </format>
    <format dxfId="1167">
      <pivotArea dataOnly="0" labelOnly="1" outline="0" fieldPosition="0">
        <references count="6">
          <reference field="0" count="1" selected="0">
            <x v="74"/>
          </reference>
          <reference field="1" count="1" selected="0">
            <x v="8"/>
          </reference>
          <reference field="2" count="1" selected="0">
            <x v="3"/>
          </reference>
          <reference field="3" count="1" selected="0">
            <x v="31"/>
          </reference>
          <reference field="4" count="1" selected="0">
            <x v="69"/>
          </reference>
          <reference field="5" count="1">
            <x v="2"/>
          </reference>
        </references>
      </pivotArea>
    </format>
    <format dxfId="1166">
      <pivotArea dataOnly="0" labelOnly="1" outline="0" fieldPosition="0">
        <references count="6">
          <reference field="0" count="1" selected="0">
            <x v="6"/>
          </reference>
          <reference field="1" count="1" selected="0">
            <x v="19"/>
          </reference>
          <reference field="2" count="1" selected="0">
            <x v="6"/>
          </reference>
          <reference field="3" count="1" selected="0">
            <x v="4"/>
          </reference>
          <reference field="4" count="1" selected="0">
            <x v="61"/>
          </reference>
          <reference field="5" count="1">
            <x v="1"/>
          </reference>
        </references>
      </pivotArea>
    </format>
    <format dxfId="1165">
      <pivotArea dataOnly="0" labelOnly="1" outline="0" fieldPosition="0">
        <references count="6">
          <reference field="0" count="1" selected="0">
            <x v="92"/>
          </reference>
          <reference field="1" count="1" selected="0">
            <x v="55"/>
          </reference>
          <reference field="2" count="1" selected="0">
            <x v="3"/>
          </reference>
          <reference field="3" count="1" selected="0">
            <x v="31"/>
          </reference>
          <reference field="4" count="1" selected="0">
            <x v="69"/>
          </reference>
          <reference field="5" count="1">
            <x v="2"/>
          </reference>
        </references>
      </pivotArea>
    </format>
    <format dxfId="1164">
      <pivotArea dataOnly="0" labelOnly="1" outline="0" fieldPosition="0">
        <references count="6">
          <reference field="0" count="1" selected="0">
            <x v="20"/>
          </reference>
          <reference field="1" count="1" selected="0">
            <x v="42"/>
          </reference>
          <reference field="2" count="1" selected="0">
            <x v="5"/>
          </reference>
          <reference field="3" count="1" selected="0">
            <x v="17"/>
          </reference>
          <reference field="4" count="1" selected="0">
            <x v="31"/>
          </reference>
          <reference field="5" count="1">
            <x v="1"/>
          </reference>
        </references>
      </pivotArea>
    </format>
    <format dxfId="1163">
      <pivotArea dataOnly="0" labelOnly="1" outline="0" fieldPosition="0">
        <references count="6">
          <reference field="0" count="1" selected="0">
            <x v="89"/>
          </reference>
          <reference field="1" count="1" selected="0">
            <x v="44"/>
          </reference>
          <reference field="2" count="1" selected="0">
            <x v="2"/>
          </reference>
          <reference field="3" count="1" selected="0">
            <x v="7"/>
          </reference>
          <reference field="4" count="1" selected="0">
            <x v="13"/>
          </reference>
          <reference field="5" count="1">
            <x v="2"/>
          </reference>
        </references>
      </pivotArea>
    </format>
    <format dxfId="1162">
      <pivotArea dataOnly="0" labelOnly="1" outline="0" fieldPosition="0">
        <references count="6">
          <reference field="0" count="1" selected="0">
            <x v="0"/>
          </reference>
          <reference field="1" count="1" selected="0">
            <x v="4"/>
          </reference>
          <reference field="2" count="1" selected="0">
            <x v="1"/>
          </reference>
          <reference field="3" count="1" selected="0">
            <x v="2"/>
          </reference>
          <reference field="4" count="1" selected="0">
            <x v="2"/>
          </reference>
          <reference field="5" count="1">
            <x v="1"/>
          </reference>
        </references>
      </pivotArea>
    </format>
    <format dxfId="1161">
      <pivotArea dataOnly="0" labelOnly="1" outline="0" fieldPosition="0">
        <references count="6">
          <reference field="0" count="1" selected="0">
            <x v="64"/>
          </reference>
          <reference field="1" count="1" selected="0">
            <x v="11"/>
          </reference>
          <reference field="2" count="1" selected="0">
            <x v="2"/>
          </reference>
          <reference field="3" count="1" selected="0">
            <x v="7"/>
          </reference>
          <reference field="4" count="1" selected="0">
            <x v="3"/>
          </reference>
          <reference field="5" count="1">
            <x v="0"/>
          </reference>
        </references>
      </pivotArea>
    </format>
    <format dxfId="1160">
      <pivotArea dataOnly="0" labelOnly="1" outline="0" fieldPosition="0">
        <references count="6">
          <reference field="0" count="1" selected="0">
            <x v="86"/>
          </reference>
          <reference field="1" count="1" selected="0">
            <x v="40"/>
          </reference>
          <reference field="2" count="1" selected="0">
            <x v="5"/>
          </reference>
          <reference field="3" count="1" selected="0">
            <x v="29"/>
          </reference>
          <reference field="4" count="1" selected="0">
            <x v="72"/>
          </reference>
          <reference field="5" count="1">
            <x v="2"/>
          </reference>
        </references>
      </pivotArea>
    </format>
    <format dxfId="1159">
      <pivotArea dataOnly="0" labelOnly="1" outline="0" fieldPosition="0">
        <references count="6">
          <reference field="0" count="1" selected="0">
            <x v="62"/>
          </reference>
          <reference field="1" count="1" selected="0">
            <x v="98"/>
          </reference>
          <reference field="2" count="1" selected="0">
            <x v="8"/>
          </reference>
          <reference field="3" count="1" selected="0">
            <x v="45"/>
          </reference>
          <reference field="4" count="1" selected="0">
            <x v="26"/>
          </reference>
          <reference field="5" count="1">
            <x v="1"/>
          </reference>
        </references>
      </pivotArea>
    </format>
    <format dxfId="1158">
      <pivotArea dataOnly="0" labelOnly="1" outline="0" fieldPosition="0">
        <references count="6">
          <reference field="0" count="1" selected="0">
            <x v="94"/>
          </reference>
          <reference field="1" count="1" selected="0">
            <x v="94"/>
          </reference>
          <reference field="2" count="1" selected="0">
            <x v="3"/>
          </reference>
          <reference field="3" count="1" selected="0">
            <x v="31"/>
          </reference>
          <reference field="4" count="1" selected="0">
            <x v="69"/>
          </reference>
          <reference field="5" count="1">
            <x v="2"/>
          </reference>
        </references>
      </pivotArea>
    </format>
    <format dxfId="1157">
      <pivotArea dataOnly="0" labelOnly="1" outline="0" fieldPosition="0">
        <references count="6">
          <reference field="0" count="1" selected="0">
            <x v="25"/>
          </reference>
          <reference field="1" count="1" selected="0">
            <x v="53"/>
          </reference>
          <reference field="2" count="1" selected="0">
            <x v="3"/>
          </reference>
          <reference field="3" count="1" selected="0">
            <x v="26"/>
          </reference>
          <reference field="4" count="1" selected="0">
            <x v="64"/>
          </reference>
          <reference field="5" count="1">
            <x v="1"/>
          </reference>
        </references>
      </pivotArea>
    </format>
    <format dxfId="1156">
      <pivotArea dataOnly="0" labelOnly="1" outline="0" fieldPosition="0">
        <references count="6">
          <reference field="0" count="1" selected="0">
            <x v="87"/>
          </reference>
          <reference field="1" count="1" selected="0">
            <x v="41"/>
          </reference>
          <reference field="2" count="1" selected="0">
            <x v="3"/>
          </reference>
          <reference field="3" count="1" selected="0">
            <x v="28"/>
          </reference>
          <reference field="4" count="1" selected="0">
            <x v="23"/>
          </reference>
          <reference field="5" count="1">
            <x v="2"/>
          </reference>
        </references>
      </pivotArea>
    </format>
    <format dxfId="1155">
      <pivotArea dataOnly="0" labelOnly="1" outline="0" fieldPosition="0">
        <references count="6">
          <reference field="0" count="1" selected="0">
            <x v="55"/>
          </reference>
          <reference field="1" count="1" selected="0">
            <x v="87"/>
          </reference>
          <reference field="2" count="1" selected="0">
            <x v="3"/>
          </reference>
          <reference field="3" count="1" selected="0">
            <x v="41"/>
          </reference>
          <reference field="4" count="1" selected="0">
            <x v="30"/>
          </reference>
          <reference field="5" count="1">
            <x v="1"/>
          </reference>
        </references>
      </pivotArea>
    </format>
    <format dxfId="1154">
      <pivotArea dataOnly="0" labelOnly="1" outline="0" fieldPosition="0">
        <references count="6">
          <reference field="0" count="1" selected="0">
            <x v="76"/>
          </reference>
          <reference field="1" count="1" selected="0">
            <x v="14"/>
          </reference>
          <reference field="2" count="1" selected="0">
            <x v="3"/>
          </reference>
          <reference field="3" count="1" selected="0">
            <x v="10"/>
          </reference>
          <reference field="4" count="1" selected="0">
            <x v="60"/>
          </reference>
          <reference field="5" count="1">
            <x v="2"/>
          </reference>
        </references>
      </pivotArea>
    </format>
    <format dxfId="1153">
      <pivotArea dataOnly="0" labelOnly="1" outline="0" fieldPosition="0">
        <references count="6">
          <reference field="0" count="1" selected="0">
            <x v="35"/>
          </reference>
          <reference field="1" count="1" selected="0">
            <x v="66"/>
          </reference>
          <reference field="2" count="1" selected="0">
            <x v="5"/>
          </reference>
          <reference field="3" count="1" selected="0">
            <x v="29"/>
          </reference>
          <reference field="4" count="1" selected="0">
            <x v="29"/>
          </reference>
          <reference field="5" count="1">
            <x v="1"/>
          </reference>
        </references>
      </pivotArea>
    </format>
    <format dxfId="1152">
      <pivotArea dataOnly="0" labelOnly="1" outline="0" fieldPosition="0">
        <references count="6">
          <reference field="0" count="1" selected="0">
            <x v="95"/>
          </reference>
          <reference field="1" count="1" selected="0">
            <x v="95"/>
          </reference>
          <reference field="2" count="1" selected="0">
            <x v="3"/>
          </reference>
          <reference field="3" count="1" selected="0">
            <x v="28"/>
          </reference>
          <reference field="4" count="1" selected="0">
            <x v="23"/>
          </reference>
          <reference field="5" count="1">
            <x v="2"/>
          </reference>
        </references>
      </pivotArea>
    </format>
    <format dxfId="1151">
      <pivotArea dataOnly="0" labelOnly="1" outline="0" fieldPosition="0">
        <references count="6">
          <reference field="0" count="1" selected="0">
            <x v="54"/>
          </reference>
          <reference field="1" count="1" selected="0">
            <x v="86"/>
          </reference>
          <reference field="2" count="1" selected="0">
            <x v="3"/>
          </reference>
          <reference field="3" count="1" selected="0">
            <x v="41"/>
          </reference>
          <reference field="4" count="1" selected="0">
            <x v="25"/>
          </reference>
          <reference field="5" count="1">
            <x v="1"/>
          </reference>
        </references>
      </pivotArea>
    </format>
    <format dxfId="1150">
      <pivotArea dataOnly="0" labelOnly="1" outline="0" fieldPosition="0">
        <references count="6">
          <reference field="0" count="1" selected="0">
            <x v="90"/>
          </reference>
          <reference field="1" count="1" selected="0">
            <x v="47"/>
          </reference>
          <reference field="2" count="1" selected="0">
            <x v="3"/>
          </reference>
          <reference field="3" count="1" selected="0">
            <x v="20"/>
          </reference>
          <reference field="4" count="1" selected="0">
            <x v="52"/>
          </reference>
          <reference field="5" count="1">
            <x v="2"/>
          </reference>
        </references>
      </pivotArea>
    </format>
    <format dxfId="1149">
      <pivotArea dataOnly="0" labelOnly="1" outline="0" fieldPosition="0">
        <references count="6">
          <reference field="0" count="1" selected="0">
            <x v="14"/>
          </reference>
          <reference field="1" count="1" selected="0">
            <x v="34"/>
          </reference>
          <reference field="2" count="1" selected="0">
            <x v="3"/>
          </reference>
          <reference field="3" count="1" selected="0">
            <x v="12"/>
          </reference>
          <reference field="4" count="1" selected="0">
            <x v="22"/>
          </reference>
          <reference field="5" count="1">
            <x v="1"/>
          </reference>
        </references>
      </pivotArea>
    </format>
    <format dxfId="1148">
      <pivotArea dataOnly="0" labelOnly="1" outline="0" fieldPosition="0">
        <references count="6">
          <reference field="0" count="1" selected="0">
            <x v="67"/>
          </reference>
          <reference field="1" count="1" selected="0">
            <x v="64"/>
          </reference>
          <reference field="2" count="1" selected="0">
            <x v="4"/>
          </reference>
          <reference field="3" count="1" selected="0">
            <x v="1"/>
          </reference>
          <reference field="4" count="1" selected="0">
            <x v="43"/>
          </reference>
          <reference field="5" count="1">
            <x v="0"/>
          </reference>
        </references>
      </pivotArea>
    </format>
    <format dxfId="1147">
      <pivotArea dataOnly="0" labelOnly="1" outline="0" fieldPosition="0">
        <references count="6">
          <reference field="0" count="1" selected="0">
            <x v="69"/>
          </reference>
          <reference field="1" count="1" selected="0">
            <x v="1"/>
          </reference>
          <reference field="2" count="1" selected="0">
            <x v="3"/>
          </reference>
          <reference field="3" count="1" selected="0">
            <x v="32"/>
          </reference>
          <reference field="4" count="1" selected="0">
            <x v="53"/>
          </reference>
          <reference field="5" count="1">
            <x v="2"/>
          </reference>
        </references>
      </pivotArea>
    </format>
    <format dxfId="1146">
      <pivotArea dataOnly="0" labelOnly="1" outline="0" fieldPosition="0">
        <references count="6">
          <reference field="0" count="1" selected="0">
            <x v="38"/>
          </reference>
          <reference field="1" count="1" selected="0">
            <x v="69"/>
          </reference>
          <reference field="2" count="1" selected="0">
            <x v="3"/>
          </reference>
          <reference field="3" count="1" selected="0">
            <x v="31"/>
          </reference>
          <reference field="4" count="1" selected="0">
            <x v="69"/>
          </reference>
          <reference field="5" count="1">
            <x v="1"/>
          </reference>
        </references>
      </pivotArea>
    </format>
    <format dxfId="1145">
      <pivotArea dataOnly="0" labelOnly="1" outline="0" fieldPosition="0">
        <references count="6">
          <reference field="0" count="1" selected="0">
            <x v="99"/>
          </reference>
          <reference field="1" count="1" selected="0">
            <x v="85"/>
          </reference>
          <reference field="2" count="1" selected="0">
            <x v="4"/>
          </reference>
          <reference field="3" count="1" selected="0">
            <x v="40"/>
          </reference>
          <reference field="4" count="1" selected="0">
            <x v="0"/>
          </reference>
          <reference field="5" count="1">
            <x v="3"/>
          </reference>
        </references>
      </pivotArea>
    </format>
    <format dxfId="1144">
      <pivotArea dataOnly="0" labelOnly="1" outline="0" fieldPosition="0">
        <references count="6">
          <reference field="0" count="1" selected="0">
            <x v="96"/>
          </reference>
          <reference field="1" count="1" selected="0">
            <x v="100"/>
          </reference>
          <reference field="2" count="1" selected="0">
            <x v="3"/>
          </reference>
          <reference field="3" count="1" selected="0">
            <x v="10"/>
          </reference>
          <reference field="4" count="1" selected="0">
            <x v="73"/>
          </reference>
          <reference field="5" count="1">
            <x v="2"/>
          </reference>
        </references>
      </pivotArea>
    </format>
    <format dxfId="1143">
      <pivotArea dataOnly="0" labelOnly="1" outline="0" fieldPosition="0">
        <references count="6">
          <reference field="0" count="1" selected="0">
            <x v="13"/>
          </reference>
          <reference field="1" count="1" selected="0">
            <x v="30"/>
          </reference>
          <reference field="2" count="1" selected="0">
            <x v="7"/>
          </reference>
          <reference field="3" count="1" selected="0">
            <x v="11"/>
          </reference>
          <reference field="4" count="1" selected="0">
            <x v="20"/>
          </reference>
          <reference field="5" count="1">
            <x v="1"/>
          </reference>
        </references>
      </pivotArea>
    </format>
    <format dxfId="1142">
      <pivotArea dataOnly="0" labelOnly="1" outline="0" fieldPosition="0">
        <references count="6">
          <reference field="0" count="1" selected="0">
            <x v="83"/>
          </reference>
          <reference field="1" count="1" selected="0">
            <x v="31"/>
          </reference>
          <reference field="2" count="1" selected="0">
            <x v="8"/>
          </reference>
          <reference field="3" count="1" selected="0">
            <x v="16"/>
          </reference>
          <reference field="4" count="1" selected="0">
            <x v="6"/>
          </reference>
          <reference field="5" count="1">
            <x v="2"/>
          </reference>
        </references>
      </pivotArea>
    </format>
    <format dxfId="1141">
      <pivotArea dataOnly="0" labelOnly="1" outline="0" fieldPosition="0">
        <references count="6">
          <reference field="0" count="1" selected="0">
            <x v="49"/>
          </reference>
          <reference field="1" count="1" selected="0">
            <x v="80"/>
          </reference>
          <reference field="2" count="1" selected="0">
            <x v="6"/>
          </reference>
          <reference field="3" count="1" selected="0">
            <x v="39"/>
          </reference>
          <reference field="4" count="1" selected="0">
            <x v="51"/>
          </reference>
          <reference field="5" count="1">
            <x v="1"/>
          </reference>
        </references>
      </pivotArea>
    </format>
    <format dxfId="1140">
      <pivotArea dataOnly="0" labelOnly="1" outline="0" fieldPosition="0">
        <references count="6">
          <reference field="0" count="1" selected="0">
            <x v="68"/>
          </reference>
          <reference field="1" count="1" selected="0">
            <x v="0"/>
          </reference>
          <reference field="2" count="1" selected="0">
            <x v="3"/>
          </reference>
          <reference field="3" count="1" selected="0">
            <x v="28"/>
          </reference>
          <reference field="4" count="1" selected="0">
            <x v="23"/>
          </reference>
          <reference field="5" count="1">
            <x v="2"/>
          </reference>
        </references>
      </pivotArea>
    </format>
    <format dxfId="1139">
      <pivotArea dataOnly="0" labelOnly="1" outline="0" fieldPosition="0">
        <references count="6">
          <reference field="0" count="1" selected="0">
            <x v="30"/>
          </reference>
          <reference field="1" count="1" selected="0">
            <x v="60"/>
          </reference>
          <reference field="2" count="1" selected="0">
            <x v="2"/>
          </reference>
          <reference field="3" count="1" selected="0">
            <x v="8"/>
          </reference>
          <reference field="4" count="1" selected="0">
            <x v="32"/>
          </reference>
          <reference field="5" count="1">
            <x v="1"/>
          </reference>
        </references>
      </pivotArea>
    </format>
    <format dxfId="1138">
      <pivotArea dataOnly="0" labelOnly="1" outline="0" fieldPosition="0">
        <references count="6">
          <reference field="0" count="1" selected="0">
            <x v="79"/>
          </reference>
          <reference field="1" count="1" selected="0">
            <x v="22"/>
          </reference>
          <reference field="2" count="1" selected="0">
            <x v="8"/>
          </reference>
          <reference field="3" count="1" selected="0">
            <x v="44"/>
          </reference>
          <reference field="4" count="1" selected="0">
            <x v="14"/>
          </reference>
          <reference field="5" count="1">
            <x v="2"/>
          </reference>
        </references>
      </pivotArea>
    </format>
    <format dxfId="1137">
      <pivotArea dataOnly="0" labelOnly="1" outline="0" fieldPosition="0">
        <references count="6">
          <reference field="0" count="1" selected="0">
            <x v="18"/>
          </reference>
          <reference field="1" count="1" selected="0">
            <x v="38"/>
          </reference>
          <reference field="2" count="1" selected="0">
            <x v="3"/>
          </reference>
          <reference field="3" count="1" selected="0">
            <x v="15"/>
          </reference>
          <reference field="4" count="1" selected="0">
            <x v="24"/>
          </reference>
          <reference field="5" count="1">
            <x v="1"/>
          </reference>
        </references>
      </pivotArea>
    </format>
    <format dxfId="1136">
      <pivotArea dataOnly="0" labelOnly="1" outline="0" fieldPosition="0">
        <references count="6">
          <reference field="0" count="1" selected="0">
            <x v="100"/>
          </reference>
          <reference field="1" count="1" selected="0">
            <x v="61"/>
          </reference>
          <reference field="2" count="1" selected="0">
            <x v="0"/>
          </reference>
          <reference field="3" count="1" selected="0">
            <x v="0"/>
          </reference>
          <reference field="4" count="1" selected="0">
            <x v="0"/>
          </reference>
          <reference field="5" count="1">
            <x v="3"/>
          </reference>
        </references>
      </pivotArea>
    </format>
    <format dxfId="1135">
      <pivotArea dataOnly="0" labelOnly="1" outline="0" fieldPosition="0">
        <references count="6">
          <reference field="0" count="1" selected="0">
            <x v="85"/>
          </reference>
          <reference field="1" count="1" selected="0">
            <x v="33"/>
          </reference>
          <reference field="2" count="1" selected="0">
            <x v="4"/>
          </reference>
          <reference field="3" count="1" selected="0">
            <x v="1"/>
          </reference>
          <reference field="4" count="1" selected="0">
            <x v="56"/>
          </reference>
          <reference field="5" count="1">
            <x v="2"/>
          </reference>
        </references>
      </pivotArea>
    </format>
    <format dxfId="1134">
      <pivotArea dataOnly="0" labelOnly="1" outline="0" fieldPosition="0">
        <references count="6">
          <reference field="0" count="1" selected="0">
            <x v="16"/>
          </reference>
          <reference field="1" count="1" selected="0">
            <x v="36"/>
          </reference>
          <reference field="2" count="1" selected="0">
            <x v="3"/>
          </reference>
          <reference field="3" count="1" selected="0">
            <x v="28"/>
          </reference>
          <reference field="4" count="1" selected="0">
            <x v="23"/>
          </reference>
          <reference field="5" count="1">
            <x v="1"/>
          </reference>
        </references>
      </pivotArea>
    </format>
    <format dxfId="1133">
      <pivotArea dataOnly="0" labelOnly="1" outline="0" fieldPosition="0">
        <references count="6">
          <reference field="0" count="1" selected="0">
            <x v="97"/>
          </reference>
          <reference field="1" count="1" selected="0">
            <x v="50"/>
          </reference>
          <reference field="2" count="1" selected="0">
            <x v="2"/>
          </reference>
          <reference field="3" count="1" selected="0">
            <x v="23"/>
          </reference>
          <reference field="4" count="1" selected="0">
            <x v="0"/>
          </reference>
          <reference field="5" count="1">
            <x v="3"/>
          </reference>
        </references>
      </pivotArea>
    </format>
    <format dxfId="1132">
      <pivotArea dataOnly="0" labelOnly="1" outline="0" fieldPosition="0">
        <references count="6">
          <reference field="0" count="1" selected="0">
            <x v="53"/>
          </reference>
          <reference field="1" count="1" selected="0">
            <x v="84"/>
          </reference>
          <reference field="2" count="1" selected="0">
            <x v="6"/>
          </reference>
          <reference field="3" count="1" selected="0">
            <x v="30"/>
          </reference>
          <reference field="4" count="1" selected="0">
            <x v="59"/>
          </reference>
          <reference field="5" count="1">
            <x v="1"/>
          </reference>
        </references>
      </pivotArea>
    </format>
    <format dxfId="1131">
      <pivotArea field="3" type="button" dataOnly="0" labelOnly="1" outline="0" axis="axisRow" fieldPosition="3"/>
    </format>
    <format dxfId="1130">
      <pivotArea dataOnly="0" labelOnly="1" outline="0" fieldPosition="0">
        <references count="4">
          <reference field="0" count="1" selected="0">
            <x v="65"/>
          </reference>
          <reference field="1" count="1" selected="0">
            <x v="12"/>
          </reference>
          <reference field="2" count="1" selected="0">
            <x v="3"/>
          </reference>
          <reference field="3" count="1">
            <x v="31"/>
          </reference>
        </references>
      </pivotArea>
    </format>
    <format dxfId="1129">
      <pivotArea dataOnly="0" labelOnly="1" outline="0" fieldPosition="0">
        <references count="4">
          <reference field="0" count="1" selected="0">
            <x v="51"/>
          </reference>
          <reference field="1" count="1" selected="0">
            <x v="82"/>
          </reference>
          <reference field="2" count="1" selected="0">
            <x v="2"/>
          </reference>
          <reference field="3" count="1">
            <x v="8"/>
          </reference>
        </references>
      </pivotArea>
    </format>
    <format dxfId="1128">
      <pivotArea dataOnly="0" labelOnly="1" outline="0" fieldPosition="0">
        <references count="4">
          <reference field="0" count="1" selected="0">
            <x v="26"/>
          </reference>
          <reference field="1" count="1" selected="0">
            <x v="56"/>
          </reference>
          <reference field="2" count="1" selected="0">
            <x v="2"/>
          </reference>
          <reference field="3" count="1">
            <x v="7"/>
          </reference>
        </references>
      </pivotArea>
    </format>
    <format dxfId="1127">
      <pivotArea dataOnly="0" labelOnly="1" outline="0" fieldPosition="0">
        <references count="4">
          <reference field="0" count="1" selected="0">
            <x v="41"/>
          </reference>
          <reference field="1" count="1" selected="0">
            <x v="73"/>
          </reference>
          <reference field="2" count="1" selected="0">
            <x v="3"/>
          </reference>
          <reference field="3" count="1">
            <x v="10"/>
          </reference>
        </references>
      </pivotArea>
    </format>
    <format dxfId="1126">
      <pivotArea dataOnly="0" labelOnly="1" outline="0" fieldPosition="0">
        <references count="4">
          <reference field="0" count="1" selected="0">
            <x v="29"/>
          </reference>
          <reference field="1" count="1" selected="0">
            <x v="59"/>
          </reference>
          <reference field="2" count="1" selected="0">
            <x v="2"/>
          </reference>
          <reference field="3" count="1">
            <x v="8"/>
          </reference>
        </references>
      </pivotArea>
    </format>
    <format dxfId="1125">
      <pivotArea dataOnly="0" labelOnly="1" outline="0" fieldPosition="0">
        <references count="4">
          <reference field="0" count="1" selected="0">
            <x v="17"/>
          </reference>
          <reference field="1" count="1" selected="0">
            <x v="37"/>
          </reference>
          <reference field="2" count="1" selected="0">
            <x v="3"/>
          </reference>
          <reference field="3" count="1">
            <x v="15"/>
          </reference>
        </references>
      </pivotArea>
    </format>
    <format dxfId="1124">
      <pivotArea dataOnly="0" labelOnly="1" outline="0" fieldPosition="0">
        <references count="4">
          <reference field="0" count="1" selected="0">
            <x v="2"/>
          </reference>
          <reference field="1" count="1" selected="0">
            <x v="10"/>
          </reference>
          <reference field="2" count="1" selected="0">
            <x v="2"/>
          </reference>
          <reference field="3" count="1">
            <x v="7"/>
          </reference>
        </references>
      </pivotArea>
    </format>
    <format dxfId="1123">
      <pivotArea dataOnly="0" labelOnly="1" outline="0" fieldPosition="0">
        <references count="4">
          <reference field="0" count="1" selected="0">
            <x v="12"/>
          </reference>
          <reference field="1" count="1" selected="0">
            <x v="29"/>
          </reference>
          <reference field="2" count="1" selected="0">
            <x v="3"/>
          </reference>
          <reference field="3" count="1">
            <x v="10"/>
          </reference>
        </references>
      </pivotArea>
    </format>
    <format dxfId="1122">
      <pivotArea dataOnly="0" labelOnly="1" outline="0" fieldPosition="0">
        <references count="4">
          <reference field="0" count="1" selected="0">
            <x v="32"/>
          </reference>
          <reference field="1" count="1" selected="0">
            <x v="93"/>
          </reference>
          <reference field="2" count="1" selected="0">
            <x v="2"/>
          </reference>
          <reference field="3" count="1">
            <x v="8"/>
          </reference>
        </references>
      </pivotArea>
    </format>
    <format dxfId="1121">
      <pivotArea dataOnly="0" labelOnly="1" outline="0" fieldPosition="0">
        <references count="4">
          <reference field="0" count="1" selected="0">
            <x v="37"/>
          </reference>
          <reference field="1" count="1" selected="0">
            <x v="68"/>
          </reference>
          <reference field="2" count="1" selected="0">
            <x v="3"/>
          </reference>
          <reference field="3" count="1">
            <x v="31"/>
          </reference>
        </references>
      </pivotArea>
    </format>
    <format dxfId="1120">
      <pivotArea dataOnly="0" labelOnly="1" outline="0" fieldPosition="0">
        <references count="4">
          <reference field="0" count="1" selected="0">
            <x v="59"/>
          </reference>
          <reference field="1" count="1" selected="0">
            <x v="92"/>
          </reference>
          <reference field="2" count="1" selected="0">
            <x v="2"/>
          </reference>
          <reference field="3" count="1">
            <x v="7"/>
          </reference>
        </references>
      </pivotArea>
    </format>
    <format dxfId="1119">
      <pivotArea dataOnly="0" labelOnly="1" outline="0" fieldPosition="0">
        <references count="4">
          <reference field="0" count="1" selected="0">
            <x v="36"/>
          </reference>
          <reference field="1" count="1" selected="0">
            <x v="67"/>
          </reference>
          <reference field="2" count="1" selected="0">
            <x v="2"/>
          </reference>
          <reference field="3" count="1">
            <x v="8"/>
          </reference>
        </references>
      </pivotArea>
    </format>
    <format dxfId="1118">
      <pivotArea dataOnly="0" labelOnly="1" outline="0" fieldPosition="0">
        <references count="4">
          <reference field="0" count="1" selected="0">
            <x v="33"/>
          </reference>
          <reference field="1" count="1" selected="0">
            <x v="63"/>
          </reference>
          <reference field="2" count="1" selected="0">
            <x v="4"/>
          </reference>
          <reference field="3" count="1">
            <x v="1"/>
          </reference>
        </references>
      </pivotArea>
    </format>
    <format dxfId="1117">
      <pivotArea dataOnly="0" labelOnly="1" outline="0" fieldPosition="0">
        <references count="4">
          <reference field="0" count="1" selected="0">
            <x v="15"/>
          </reference>
          <reference field="1" count="1" selected="0">
            <x v="35"/>
          </reference>
          <reference field="2" count="1" selected="0">
            <x v="2"/>
          </reference>
          <reference field="3" count="1">
            <x v="13"/>
          </reference>
        </references>
      </pivotArea>
    </format>
    <format dxfId="1116">
      <pivotArea dataOnly="0" labelOnly="1" outline="0" fieldPosition="0">
        <references count="4">
          <reference field="0" count="1" selected="0">
            <x v="63"/>
          </reference>
          <reference field="1" count="1" selected="0">
            <x v="99"/>
          </reference>
          <reference field="2" count="1" selected="0">
            <x v="3"/>
          </reference>
          <reference field="3" count="1">
            <x v="46"/>
          </reference>
        </references>
      </pivotArea>
    </format>
    <format dxfId="1115">
      <pivotArea dataOnly="0" labelOnly="1" outline="0" fieldPosition="0">
        <references count="4">
          <reference field="0" count="1" selected="0">
            <x v="11"/>
          </reference>
          <reference field="1" count="1" selected="0">
            <x v="28"/>
          </reference>
          <reference field="2" count="1" selected="0">
            <x v="3"/>
          </reference>
          <reference field="3" count="1">
            <x v="10"/>
          </reference>
        </references>
      </pivotArea>
    </format>
    <format dxfId="1114">
      <pivotArea dataOnly="0" labelOnly="1" outline="0" fieldPosition="0">
        <references count="4">
          <reference field="0" count="1" selected="0">
            <x v="66"/>
          </reference>
          <reference field="1" count="1" selected="0">
            <x v="49"/>
          </reference>
          <reference field="2" count="1" selected="0">
            <x v="4"/>
          </reference>
          <reference field="3" count="1">
            <x v="22"/>
          </reference>
        </references>
      </pivotArea>
    </format>
    <format dxfId="1113">
      <pivotArea dataOnly="0" labelOnly="1" outline="0" fieldPosition="0">
        <references count="4">
          <reference field="0" count="1" selected="0">
            <x v="88"/>
          </reference>
          <reference field="1" count="1" selected="0">
            <x v="43"/>
          </reference>
          <reference field="2" count="1" selected="0">
            <x v="2"/>
          </reference>
          <reference field="3" count="1">
            <x v="7"/>
          </reference>
        </references>
      </pivotArea>
    </format>
    <format dxfId="1112">
      <pivotArea dataOnly="0" labelOnly="1" outline="0" fieldPosition="0">
        <references count="4">
          <reference field="0" count="1" selected="0">
            <x v="84"/>
          </reference>
          <reference field="1" count="1" selected="0">
            <x v="32"/>
          </reference>
          <reference field="2" count="1" selected="0">
            <x v="3"/>
          </reference>
          <reference field="3" count="1">
            <x v="10"/>
          </reference>
        </references>
      </pivotArea>
    </format>
    <format dxfId="1111">
      <pivotArea dataOnly="0" labelOnly="1" outline="0" fieldPosition="0">
        <references count="4">
          <reference field="0" count="1" selected="0">
            <x v="57"/>
          </reference>
          <reference field="1" count="1" selected="0">
            <x v="89"/>
          </reference>
          <reference field="2" count="1" selected="0">
            <x v="8"/>
          </reference>
          <reference field="3" count="1">
            <x v="27"/>
          </reference>
        </references>
      </pivotArea>
    </format>
    <format dxfId="1110">
      <pivotArea dataOnly="0" labelOnly="1" outline="0" fieldPosition="0">
        <references count="4">
          <reference field="0" count="1" selected="0">
            <x v="74"/>
          </reference>
          <reference field="1" count="1" selected="0">
            <x v="8"/>
          </reference>
          <reference field="2" count="1" selected="0">
            <x v="3"/>
          </reference>
          <reference field="3" count="1">
            <x v="31"/>
          </reference>
        </references>
      </pivotArea>
    </format>
    <format dxfId="1109">
      <pivotArea dataOnly="0" labelOnly="1" outline="0" fieldPosition="0">
        <references count="4">
          <reference field="0" count="1" selected="0">
            <x v="6"/>
          </reference>
          <reference field="1" count="1" selected="0">
            <x v="19"/>
          </reference>
          <reference field="2" count="1" selected="0">
            <x v="6"/>
          </reference>
          <reference field="3" count="1">
            <x v="4"/>
          </reference>
        </references>
      </pivotArea>
    </format>
    <format dxfId="1108">
      <pivotArea dataOnly="0" labelOnly="1" outline="0" fieldPosition="0">
        <references count="4">
          <reference field="0" count="1" selected="0">
            <x v="92"/>
          </reference>
          <reference field="1" count="1" selected="0">
            <x v="55"/>
          </reference>
          <reference field="2" count="1" selected="0">
            <x v="3"/>
          </reference>
          <reference field="3" count="1">
            <x v="31"/>
          </reference>
        </references>
      </pivotArea>
    </format>
    <format dxfId="1107">
      <pivotArea dataOnly="0" labelOnly="1" outline="0" fieldPosition="0">
        <references count="4">
          <reference field="0" count="1" selected="0">
            <x v="78"/>
          </reference>
          <reference field="1" count="1" selected="0">
            <x v="17"/>
          </reference>
          <reference field="2" count="1" selected="0">
            <x v="3"/>
          </reference>
          <reference field="3" count="1">
            <x v="14"/>
          </reference>
        </references>
      </pivotArea>
    </format>
    <format dxfId="1106">
      <pivotArea dataOnly="0" labelOnly="1" outline="0" fieldPosition="0">
        <references count="4">
          <reference field="0" count="1" selected="0">
            <x v="20"/>
          </reference>
          <reference field="1" count="1" selected="0">
            <x v="42"/>
          </reference>
          <reference field="2" count="1" selected="0">
            <x v="5"/>
          </reference>
          <reference field="3" count="1">
            <x v="17"/>
          </reference>
        </references>
      </pivotArea>
    </format>
    <format dxfId="1105">
      <pivotArea dataOnly="0" labelOnly="1" outline="0" fieldPosition="0">
        <references count="4">
          <reference field="0" count="1" selected="0">
            <x v="89"/>
          </reference>
          <reference field="1" count="1" selected="0">
            <x v="44"/>
          </reference>
          <reference field="2" count="1" selected="0">
            <x v="2"/>
          </reference>
          <reference field="3" count="1">
            <x v="7"/>
          </reference>
        </references>
      </pivotArea>
    </format>
    <format dxfId="1104">
      <pivotArea dataOnly="0" labelOnly="1" outline="0" fieldPosition="0">
        <references count="4">
          <reference field="0" count="1" selected="0">
            <x v="0"/>
          </reference>
          <reference field="1" count="1" selected="0">
            <x v="4"/>
          </reference>
          <reference field="2" count="1" selected="0">
            <x v="1"/>
          </reference>
          <reference field="3" count="1">
            <x v="2"/>
          </reference>
        </references>
      </pivotArea>
    </format>
    <format dxfId="1103">
      <pivotArea dataOnly="0" labelOnly="1" outline="0" fieldPosition="0">
        <references count="4">
          <reference field="0" count="1" selected="0">
            <x v="64"/>
          </reference>
          <reference field="1" count="1" selected="0">
            <x v="11"/>
          </reference>
          <reference field="2" count="1" selected="0">
            <x v="2"/>
          </reference>
          <reference field="3" count="1">
            <x v="7"/>
          </reference>
        </references>
      </pivotArea>
    </format>
    <format dxfId="1102">
      <pivotArea dataOnly="0" labelOnly="1" outline="0" fieldPosition="0">
        <references count="4">
          <reference field="0" count="1" selected="0">
            <x v="86"/>
          </reference>
          <reference field="1" count="1" selected="0">
            <x v="40"/>
          </reference>
          <reference field="2" count="1" selected="0">
            <x v="5"/>
          </reference>
          <reference field="3" count="1">
            <x v="29"/>
          </reference>
        </references>
      </pivotArea>
    </format>
    <format dxfId="1101">
      <pivotArea dataOnly="0" labelOnly="1" outline="0" fieldPosition="0">
        <references count="4">
          <reference field="0" count="1" selected="0">
            <x v="82"/>
          </reference>
          <reference field="1" count="1" selected="0">
            <x v="27"/>
          </reference>
          <reference field="2" count="1" selected="0">
            <x v="2"/>
          </reference>
          <reference field="3" count="1">
            <x v="9"/>
          </reference>
        </references>
      </pivotArea>
    </format>
    <format dxfId="1100">
      <pivotArea dataOnly="0" labelOnly="1" outline="0" fieldPosition="0">
        <references count="4">
          <reference field="0" count="1" selected="0">
            <x v="81"/>
          </reference>
          <reference field="1" count="1" selected="0">
            <x v="25"/>
          </reference>
          <reference field="2" count="1" selected="0">
            <x v="3"/>
          </reference>
          <reference field="3" count="1">
            <x v="10"/>
          </reference>
        </references>
      </pivotArea>
    </format>
    <format dxfId="1099">
      <pivotArea dataOnly="0" labelOnly="1" outline="0" fieldPosition="0">
        <references count="4">
          <reference field="0" count="1" selected="0">
            <x v="62"/>
          </reference>
          <reference field="1" count="1" selected="0">
            <x v="98"/>
          </reference>
          <reference field="2" count="1" selected="0">
            <x v="8"/>
          </reference>
          <reference field="3" count="1">
            <x v="45"/>
          </reference>
        </references>
      </pivotArea>
    </format>
    <format dxfId="1098">
      <pivotArea dataOnly="0" labelOnly="1" outline="0" fieldPosition="0">
        <references count="4">
          <reference field="0" count="1" selected="0">
            <x v="94"/>
          </reference>
          <reference field="1" count="1" selected="0">
            <x v="94"/>
          </reference>
          <reference field="2" count="1" selected="0">
            <x v="3"/>
          </reference>
          <reference field="3" count="1">
            <x v="31"/>
          </reference>
        </references>
      </pivotArea>
    </format>
    <format dxfId="1097">
      <pivotArea dataOnly="0" labelOnly="1" outline="0" fieldPosition="0">
        <references count="4">
          <reference field="0" count="1" selected="0">
            <x v="70"/>
          </reference>
          <reference field="1" count="1" selected="0">
            <x v="2"/>
          </reference>
          <reference field="2" count="1" selected="0">
            <x v="3"/>
          </reference>
          <reference field="3" count="1">
            <x v="28"/>
          </reference>
        </references>
      </pivotArea>
    </format>
    <format dxfId="1096">
      <pivotArea dataOnly="0" labelOnly="1" outline="0" fieldPosition="0">
        <references count="4">
          <reference field="0" count="1" selected="0">
            <x v="25"/>
          </reference>
          <reference field="1" count="1" selected="0">
            <x v="53"/>
          </reference>
          <reference field="2" count="1" selected="0">
            <x v="3"/>
          </reference>
          <reference field="3" count="1">
            <x v="26"/>
          </reference>
        </references>
      </pivotArea>
    </format>
    <format dxfId="1095">
      <pivotArea dataOnly="0" labelOnly="1" outline="0" fieldPosition="0">
        <references count="4">
          <reference field="0" count="1" selected="0">
            <x v="7"/>
          </reference>
          <reference field="1" count="1" selected="0">
            <x v="20"/>
          </reference>
          <reference field="2" count="1" selected="0">
            <x v="2"/>
          </reference>
          <reference field="3" count="1">
            <x v="6"/>
          </reference>
        </references>
      </pivotArea>
    </format>
    <format dxfId="1094">
      <pivotArea dataOnly="0" labelOnly="1" outline="0" fieldPosition="0">
        <references count="4">
          <reference field="0" count="1" selected="0">
            <x v="42"/>
          </reference>
          <reference field="1" count="1" selected="0">
            <x v="74"/>
          </reference>
          <reference field="2" count="1" selected="0">
            <x v="5"/>
          </reference>
          <reference field="3" count="1">
            <x v="34"/>
          </reference>
        </references>
      </pivotArea>
    </format>
    <format dxfId="1093">
      <pivotArea dataOnly="0" labelOnly="1" outline="0" fieldPosition="0">
        <references count="4">
          <reference field="0" count="1" selected="0">
            <x v="87"/>
          </reference>
          <reference field="1" count="1" selected="0">
            <x v="41"/>
          </reference>
          <reference field="2" count="1" selected="0">
            <x v="3"/>
          </reference>
          <reference field="3" count="1">
            <x v="28"/>
          </reference>
        </references>
      </pivotArea>
    </format>
    <format dxfId="1092">
      <pivotArea dataOnly="0" labelOnly="1" outline="0" fieldPosition="0">
        <references count="4">
          <reference field="0" count="1" selected="0">
            <x v="55"/>
          </reference>
          <reference field="1" count="1" selected="0">
            <x v="87"/>
          </reference>
          <reference field="2" count="1" selected="0">
            <x v="3"/>
          </reference>
          <reference field="3" count="1">
            <x v="41"/>
          </reference>
        </references>
      </pivotArea>
    </format>
    <format dxfId="1091">
      <pivotArea dataOnly="0" labelOnly="1" outline="0" fieldPosition="0">
        <references count="4">
          <reference field="0" count="1" selected="0">
            <x v="27"/>
          </reference>
          <reference field="1" count="1" selected="0">
            <x v="57"/>
          </reference>
          <reference field="2" count="1" selected="0">
            <x v="2"/>
          </reference>
          <reference field="3" count="1">
            <x v="8"/>
          </reference>
        </references>
      </pivotArea>
    </format>
    <format dxfId="1090">
      <pivotArea dataOnly="0" labelOnly="1" outline="0" fieldPosition="0">
        <references count="4">
          <reference field="0" count="1" selected="0">
            <x v="43"/>
          </reference>
          <reference field="1" count="1" selected="0">
            <x v="75"/>
          </reference>
          <reference field="2" count="1" selected="0">
            <x v="7"/>
          </reference>
          <reference field="3" count="1">
            <x v="35"/>
          </reference>
        </references>
      </pivotArea>
    </format>
    <format dxfId="1089">
      <pivotArea dataOnly="0" labelOnly="1" outline="0" fieldPosition="0">
        <references count="4">
          <reference field="0" count="1" selected="0">
            <x v="47"/>
          </reference>
          <reference field="1" count="1" selected="0">
            <x v="78"/>
          </reference>
          <reference field="2" count="1" selected="0">
            <x v="7"/>
          </reference>
          <reference field="3" count="1">
            <x v="38"/>
          </reference>
        </references>
      </pivotArea>
    </format>
    <format dxfId="1088">
      <pivotArea dataOnly="0" labelOnly="1" outline="0" fieldPosition="0">
        <references count="4">
          <reference field="0" count="1" selected="0">
            <x v="39"/>
          </reference>
          <reference field="1" count="1" selected="0">
            <x v="71"/>
          </reference>
          <reference field="2" count="1" selected="0">
            <x v="6"/>
          </reference>
          <reference field="3" count="1">
            <x v="33"/>
          </reference>
        </references>
      </pivotArea>
    </format>
    <format dxfId="1087">
      <pivotArea dataOnly="0" labelOnly="1" outline="0" fieldPosition="0">
        <references count="4">
          <reference field="0" count="1" selected="0">
            <x v="5"/>
          </reference>
          <reference field="1" count="1" selected="0">
            <x v="18"/>
          </reference>
          <reference field="2" count="1" selected="0">
            <x v="1"/>
          </reference>
          <reference field="3" count="1">
            <x v="3"/>
          </reference>
        </references>
      </pivotArea>
    </format>
    <format dxfId="1086">
      <pivotArea dataOnly="0" labelOnly="1" outline="0" fieldPosition="0">
        <references count="4">
          <reference field="0" count="1" selected="0">
            <x v="34"/>
          </reference>
          <reference field="1" count="1" selected="0">
            <x v="65"/>
          </reference>
          <reference field="2" count="1" selected="0">
            <x v="5"/>
          </reference>
          <reference field="3" count="1">
            <x v="29"/>
          </reference>
        </references>
      </pivotArea>
    </format>
    <format dxfId="1085">
      <pivotArea dataOnly="0" labelOnly="1" outline="0" fieldPosition="0">
        <references count="4">
          <reference field="0" count="1" selected="0">
            <x v="9"/>
          </reference>
          <reference field="1" count="1" selected="0">
            <x v="23"/>
          </reference>
          <reference field="2" count="1" selected="0">
            <x v="1"/>
          </reference>
          <reference field="3" count="1">
            <x v="2"/>
          </reference>
        </references>
      </pivotArea>
    </format>
    <format dxfId="1084">
      <pivotArea dataOnly="0" labelOnly="1" outline="0" fieldPosition="0">
        <references count="4">
          <reference field="0" count="1" selected="0">
            <x v="76"/>
          </reference>
          <reference field="1" count="1" selected="0">
            <x v="14"/>
          </reference>
          <reference field="2" count="1" selected="0">
            <x v="3"/>
          </reference>
          <reference field="3" count="1">
            <x v="10"/>
          </reference>
        </references>
      </pivotArea>
    </format>
    <format dxfId="1083">
      <pivotArea dataOnly="0" labelOnly="1" outline="0" fieldPosition="0">
        <references count="4">
          <reference field="0" count="1" selected="0">
            <x v="35"/>
          </reference>
          <reference field="1" count="1" selected="0">
            <x v="66"/>
          </reference>
          <reference field="2" count="1" selected="0">
            <x v="5"/>
          </reference>
          <reference field="3" count="1">
            <x v="29"/>
          </reference>
        </references>
      </pivotArea>
    </format>
    <format dxfId="1082">
      <pivotArea dataOnly="0" labelOnly="1" outline="0" fieldPosition="0">
        <references count="4">
          <reference field="0" count="1" selected="0">
            <x v="3"/>
          </reference>
          <reference field="1" count="1" selected="0">
            <x v="13"/>
          </reference>
          <reference field="2" count="1" selected="0">
            <x v="3"/>
          </reference>
          <reference field="3" count="1">
            <x v="31"/>
          </reference>
        </references>
      </pivotArea>
    </format>
    <format dxfId="1081">
      <pivotArea dataOnly="0" labelOnly="1" outline="0" fieldPosition="0">
        <references count="4">
          <reference field="0" count="1" selected="0">
            <x v="40"/>
          </reference>
          <reference field="1" count="1" selected="0">
            <x v="72"/>
          </reference>
          <reference field="2" count="1" selected="0">
            <x v="6"/>
          </reference>
          <reference field="3" count="1">
            <x v="33"/>
          </reference>
        </references>
      </pivotArea>
    </format>
    <format dxfId="1080">
      <pivotArea dataOnly="0" labelOnly="1" outline="0" fieldPosition="0">
        <references count="4">
          <reference field="0" count="1" selected="0">
            <x v="21"/>
          </reference>
          <reference field="1" count="1" selected="0">
            <x v="45"/>
          </reference>
          <reference field="2" count="1" selected="0">
            <x v="4"/>
          </reference>
          <reference field="3" count="1">
            <x v="19"/>
          </reference>
        </references>
      </pivotArea>
    </format>
    <format dxfId="1079">
      <pivotArea dataOnly="0" labelOnly="1" outline="0" fieldPosition="0">
        <references count="4">
          <reference field="0" count="1" selected="0">
            <x v="52"/>
          </reference>
          <reference field="1" count="1" selected="0">
            <x v="83"/>
          </reference>
          <reference field="2" count="1" selected="0">
            <x v="2"/>
          </reference>
          <reference field="3" count="1">
            <x v="7"/>
          </reference>
        </references>
      </pivotArea>
    </format>
    <format dxfId="1078">
      <pivotArea dataOnly="0" labelOnly="1" outline="0" fieldPosition="0">
        <references count="4">
          <reference field="0" count="1" selected="0">
            <x v="95"/>
          </reference>
          <reference field="1" count="1" selected="0">
            <x v="95"/>
          </reference>
          <reference field="2" count="1" selected="0">
            <x v="3"/>
          </reference>
          <reference field="3" count="1">
            <x v="28"/>
          </reference>
        </references>
      </pivotArea>
    </format>
    <format dxfId="1077">
      <pivotArea dataOnly="0" labelOnly="1" outline="0" fieldPosition="0">
        <references count="4">
          <reference field="0" count="1" selected="0">
            <x v="93"/>
          </reference>
          <reference field="1" count="1" selected="0">
            <x v="91"/>
          </reference>
          <reference field="2" count="1" selected="0">
            <x v="6"/>
          </reference>
          <reference field="3" count="1">
            <x v="43"/>
          </reference>
        </references>
      </pivotArea>
    </format>
    <format dxfId="1076">
      <pivotArea dataOnly="0" labelOnly="1" outline="0" fieldPosition="0">
        <references count="4">
          <reference field="0" count="1" selected="0">
            <x v="54"/>
          </reference>
          <reference field="1" count="1" selected="0">
            <x v="86"/>
          </reference>
          <reference field="2" count="1" selected="0">
            <x v="3"/>
          </reference>
          <reference field="3" count="1">
            <x v="41"/>
          </reference>
        </references>
      </pivotArea>
    </format>
    <format dxfId="1075">
      <pivotArea dataOnly="0" labelOnly="1" outline="0" fieldPosition="0">
        <references count="4">
          <reference field="0" count="1" selected="0">
            <x v="24"/>
          </reference>
          <reference field="1" count="1" selected="0">
            <x v="51"/>
          </reference>
          <reference field="2" count="1" selected="0">
            <x v="3"/>
          </reference>
          <reference field="3" count="1">
            <x v="24"/>
          </reference>
        </references>
      </pivotArea>
    </format>
    <format dxfId="1074">
      <pivotArea dataOnly="0" labelOnly="1" outline="0" fieldPosition="0">
        <references count="4">
          <reference field="0" count="1" selected="0">
            <x v="44"/>
          </reference>
          <reference field="1" count="1" selected="0">
            <x v="76"/>
          </reference>
          <reference field="2" count="1" selected="0">
            <x v="2"/>
          </reference>
          <reference field="3" count="1">
            <x v="36"/>
          </reference>
        </references>
      </pivotArea>
    </format>
    <format dxfId="1073">
      <pivotArea dataOnly="0" labelOnly="1" outline="0" fieldPosition="0">
        <references count="4">
          <reference field="0" count="1" selected="0">
            <x v="90"/>
          </reference>
          <reference field="1" count="1" selected="0">
            <x v="47"/>
          </reference>
          <reference field="2" count="1" selected="0">
            <x v="3"/>
          </reference>
          <reference field="3" count="1">
            <x v="20"/>
          </reference>
        </references>
      </pivotArea>
    </format>
    <format dxfId="1072">
      <pivotArea dataOnly="0" labelOnly="1" outline="0" fieldPosition="0">
        <references count="4">
          <reference field="0" count="1" selected="0">
            <x v="14"/>
          </reference>
          <reference field="1" count="1" selected="0">
            <x v="34"/>
          </reference>
          <reference field="2" count="1" selected="0">
            <x v="3"/>
          </reference>
          <reference field="3" count="1">
            <x v="12"/>
          </reference>
        </references>
      </pivotArea>
    </format>
    <format dxfId="1071">
      <pivotArea dataOnly="0" labelOnly="1" outline="0" fieldPosition="0">
        <references count="4">
          <reference field="0" count="1" selected="0">
            <x v="19"/>
          </reference>
          <reference field="1" count="1" selected="0">
            <x v="39"/>
          </reference>
          <reference field="2" count="1" selected="0">
            <x v="8"/>
          </reference>
          <reference field="3" count="1">
            <x v="16"/>
          </reference>
        </references>
      </pivotArea>
    </format>
    <format dxfId="1070">
      <pivotArea dataOnly="0" labelOnly="1" outline="0" fieldPosition="0">
        <references count="4">
          <reference field="0" count="1" selected="0">
            <x v="8"/>
          </reference>
          <reference field="1" count="1" selected="0">
            <x v="21"/>
          </reference>
          <reference field="2" count="1" selected="0">
            <x v="2"/>
          </reference>
          <reference field="3" count="1">
            <x v="6"/>
          </reference>
        </references>
      </pivotArea>
    </format>
    <format dxfId="1069">
      <pivotArea dataOnly="0" labelOnly="1" outline="0" fieldPosition="0">
        <references count="4">
          <reference field="0" count="1" selected="0">
            <x v="67"/>
          </reference>
          <reference field="1" count="1" selected="0">
            <x v="64"/>
          </reference>
          <reference field="2" count="1" selected="0">
            <x v="4"/>
          </reference>
          <reference field="3" count="1">
            <x v="1"/>
          </reference>
        </references>
      </pivotArea>
    </format>
    <format dxfId="1068">
      <pivotArea dataOnly="0" labelOnly="1" outline="0" fieldPosition="0">
        <references count="4">
          <reference field="0" count="1" selected="0">
            <x v="69"/>
          </reference>
          <reference field="1" count="1" selected="0">
            <x v="1"/>
          </reference>
          <reference field="2" count="1" selected="0">
            <x v="3"/>
          </reference>
          <reference field="3" count="1">
            <x v="32"/>
          </reference>
        </references>
      </pivotArea>
    </format>
    <format dxfId="1067">
      <pivotArea dataOnly="0" labelOnly="1" outline="0" fieldPosition="0">
        <references count="4">
          <reference field="0" count="1" selected="0">
            <x v="72"/>
          </reference>
          <reference field="1" count="1" selected="0">
            <x v="5"/>
          </reference>
          <reference field="2" count="1" selected="0">
            <x v="5"/>
          </reference>
          <reference field="3" count="1">
            <x v="29"/>
          </reference>
        </references>
      </pivotArea>
    </format>
    <format dxfId="1066">
      <pivotArea dataOnly="0" labelOnly="1" outline="0" fieldPosition="0">
        <references count="4">
          <reference field="0" count="1" selected="0">
            <x v="38"/>
          </reference>
          <reference field="1" count="1" selected="0">
            <x v="69"/>
          </reference>
          <reference field="2" count="1" selected="0">
            <x v="3"/>
          </reference>
          <reference field="3" count="1">
            <x v="31"/>
          </reference>
        </references>
      </pivotArea>
    </format>
    <format dxfId="1065">
      <pivotArea dataOnly="0" labelOnly="1" outline="0" fieldPosition="0">
        <references count="4">
          <reference field="0" count="1" selected="0">
            <x v="22"/>
          </reference>
          <reference field="1" count="1" selected="0">
            <x v="46"/>
          </reference>
          <reference field="2" count="1" selected="0">
            <x v="4"/>
          </reference>
          <reference field="3" count="1">
            <x v="19"/>
          </reference>
        </references>
      </pivotArea>
    </format>
    <format dxfId="1064">
      <pivotArea dataOnly="0" labelOnly="1" outline="0" fieldPosition="0">
        <references count="4">
          <reference field="0" count="1" selected="0">
            <x v="99"/>
          </reference>
          <reference field="1" count="1" selected="0">
            <x v="85"/>
          </reference>
          <reference field="2" count="1" selected="0">
            <x v="4"/>
          </reference>
          <reference field="3" count="1">
            <x v="40"/>
          </reference>
        </references>
      </pivotArea>
    </format>
    <format dxfId="1063">
      <pivotArea dataOnly="0" labelOnly="1" outline="0" fieldPosition="0">
        <references count="4">
          <reference field="0" count="1" selected="0">
            <x v="98"/>
          </reference>
          <reference field="1" count="1" selected="0">
            <x v="52"/>
          </reference>
          <reference field="2" count="1" selected="0">
            <x v="4"/>
          </reference>
          <reference field="3" count="1">
            <x v="25"/>
          </reference>
        </references>
      </pivotArea>
    </format>
    <format dxfId="1062">
      <pivotArea dataOnly="0" labelOnly="1" outline="0" fieldPosition="0">
        <references count="4">
          <reference field="0" count="1" selected="0">
            <x v="96"/>
          </reference>
          <reference field="1" count="1" selected="0">
            <x v="100"/>
          </reference>
          <reference field="2" count="1" selected="0">
            <x v="3"/>
          </reference>
          <reference field="3" count="1">
            <x v="10"/>
          </reference>
        </references>
      </pivotArea>
    </format>
    <format dxfId="1061">
      <pivotArea dataOnly="0" labelOnly="1" outline="0" fieldPosition="0">
        <references count="4">
          <reference field="0" count="1" selected="0">
            <x v="13"/>
          </reference>
          <reference field="1" count="1" selected="0">
            <x v="30"/>
          </reference>
          <reference field="2" count="1" selected="0">
            <x v="7"/>
          </reference>
          <reference field="3" count="1">
            <x v="11"/>
          </reference>
        </references>
      </pivotArea>
    </format>
    <format dxfId="1060">
      <pivotArea dataOnly="0" labelOnly="1" outline="0" fieldPosition="0">
        <references count="4">
          <reference field="0" count="1" selected="0">
            <x v="46"/>
          </reference>
          <reference field="1" count="1" selected="0">
            <x v="77"/>
          </reference>
          <reference field="2" count="1" selected="0">
            <x v="6"/>
          </reference>
          <reference field="3" count="1">
            <x v="37"/>
          </reference>
        </references>
      </pivotArea>
    </format>
    <format dxfId="1059">
      <pivotArea dataOnly="0" labelOnly="1" outline="0" fieldPosition="0">
        <references count="4">
          <reference field="0" count="1" selected="0">
            <x v="58"/>
          </reference>
          <reference field="1" count="1" selected="0">
            <x v="90"/>
          </reference>
          <reference field="2" count="1" selected="0">
            <x v="3"/>
          </reference>
          <reference field="3" count="1">
            <x v="14"/>
          </reference>
        </references>
      </pivotArea>
    </format>
    <format dxfId="1058">
      <pivotArea dataOnly="0" labelOnly="1" outline="0" fieldPosition="0">
        <references count="4">
          <reference field="0" count="1" selected="0">
            <x v="83"/>
          </reference>
          <reference field="1" count="1" selected="0">
            <x v="31"/>
          </reference>
          <reference field="2" count="1" selected="0">
            <x v="8"/>
          </reference>
          <reference field="3" count="1">
            <x v="16"/>
          </reference>
        </references>
      </pivotArea>
    </format>
    <format dxfId="1057">
      <pivotArea dataOnly="0" labelOnly="1" outline="0" fieldPosition="0">
        <references count="4">
          <reference field="0" count="1" selected="0">
            <x v="49"/>
          </reference>
          <reference field="1" count="1" selected="0">
            <x v="80"/>
          </reference>
          <reference field="2" count="1" selected="0">
            <x v="6"/>
          </reference>
          <reference field="3" count="1">
            <x v="39"/>
          </reference>
        </references>
      </pivotArea>
    </format>
    <format dxfId="1056">
      <pivotArea dataOnly="0" labelOnly="1" outline="0" fieldPosition="0">
        <references count="4">
          <reference field="0" count="1" selected="0">
            <x v="48"/>
          </reference>
          <reference field="1" count="1" selected="0">
            <x v="79"/>
          </reference>
          <reference field="2" count="1" selected="0">
            <x v="2"/>
          </reference>
          <reference field="3" count="1">
            <x v="7"/>
          </reference>
        </references>
      </pivotArea>
    </format>
    <format dxfId="1055">
      <pivotArea dataOnly="0" labelOnly="1" outline="0" fieldPosition="0">
        <references count="4">
          <reference field="0" count="1" selected="0">
            <x v="68"/>
          </reference>
          <reference field="1" count="1" selected="0">
            <x v="0"/>
          </reference>
          <reference field="2" count="1" selected="0">
            <x v="3"/>
          </reference>
          <reference field="3" count="1">
            <x v="28"/>
          </reference>
        </references>
      </pivotArea>
    </format>
    <format dxfId="1054">
      <pivotArea dataOnly="0" labelOnly="1" outline="0" fieldPosition="0">
        <references count="4">
          <reference field="0" count="1" selected="0">
            <x v="73"/>
          </reference>
          <reference field="1" count="1" selected="0">
            <x v="6"/>
          </reference>
          <reference field="2" count="1" selected="0">
            <x v="2"/>
          </reference>
          <reference field="3" count="1">
            <x v="9"/>
          </reference>
        </references>
      </pivotArea>
    </format>
    <format dxfId="1053">
      <pivotArea dataOnly="0" labelOnly="1" outline="0" fieldPosition="0">
        <references count="4">
          <reference field="0" count="1" selected="0">
            <x v="30"/>
          </reference>
          <reference field="1" count="1" selected="0">
            <x v="60"/>
          </reference>
          <reference field="2" count="1" selected="0">
            <x v="2"/>
          </reference>
          <reference field="3" count="1">
            <x v="8"/>
          </reference>
        </references>
      </pivotArea>
    </format>
    <format dxfId="1052">
      <pivotArea dataOnly="0" labelOnly="1" outline="0" fieldPosition="0">
        <references count="4">
          <reference field="0" count="1" selected="0">
            <x v="79"/>
          </reference>
          <reference field="1" count="1" selected="0">
            <x v="22"/>
          </reference>
          <reference field="2" count="1" selected="0">
            <x v="8"/>
          </reference>
          <reference field="3" count="1">
            <x v="44"/>
          </reference>
        </references>
      </pivotArea>
    </format>
    <format dxfId="1051">
      <pivotArea dataOnly="0" labelOnly="1" outline="0" fieldPosition="0">
        <references count="4">
          <reference field="0" count="1" selected="0">
            <x v="18"/>
          </reference>
          <reference field="1" count="1" selected="0">
            <x v="38"/>
          </reference>
          <reference field="2" count="1" selected="0">
            <x v="3"/>
          </reference>
          <reference field="3" count="1">
            <x v="15"/>
          </reference>
        </references>
      </pivotArea>
    </format>
    <format dxfId="1050">
      <pivotArea dataOnly="0" labelOnly="1" outline="0" fieldPosition="0">
        <references count="4">
          <reference field="0" count="1" selected="0">
            <x v="100"/>
          </reference>
          <reference field="1" count="1" selected="0">
            <x v="61"/>
          </reference>
          <reference field="2" count="1" selected="0">
            <x v="0"/>
          </reference>
          <reference field="3" count="1">
            <x v="0"/>
          </reference>
        </references>
      </pivotArea>
    </format>
    <format dxfId="1049">
      <pivotArea dataOnly="0" labelOnly="1" outline="0" fieldPosition="0">
        <references count="4">
          <reference field="0" count="1" selected="0">
            <x v="85"/>
          </reference>
          <reference field="1" count="1" selected="0">
            <x v="33"/>
          </reference>
          <reference field="2" count="1" selected="0">
            <x v="4"/>
          </reference>
          <reference field="3" count="1">
            <x v="1"/>
          </reference>
        </references>
      </pivotArea>
    </format>
    <format dxfId="1048">
      <pivotArea dataOnly="0" labelOnly="1" outline="0" fieldPosition="0">
        <references count="4">
          <reference field="0" count="1" selected="0">
            <x v="16"/>
          </reference>
          <reference field="1" count="1" selected="0">
            <x v="36"/>
          </reference>
          <reference field="2" count="1" selected="0">
            <x v="3"/>
          </reference>
          <reference field="3" count="1">
            <x v="28"/>
          </reference>
        </references>
      </pivotArea>
    </format>
    <format dxfId="1047">
      <pivotArea dataOnly="0" labelOnly="1" outline="0" fieldPosition="0">
        <references count="4">
          <reference field="0" count="1" selected="0">
            <x v="60"/>
          </reference>
          <reference field="1" count="1" selected="0">
            <x v="96"/>
          </reference>
          <reference field="2" count="1" selected="0">
            <x v="8"/>
          </reference>
          <reference field="3" count="1">
            <x v="44"/>
          </reference>
        </references>
      </pivotArea>
    </format>
    <format dxfId="1046">
      <pivotArea dataOnly="0" labelOnly="1" outline="0" fieldPosition="0">
        <references count="4">
          <reference field="0" count="1" selected="0">
            <x v="1"/>
          </reference>
          <reference field="1" count="1" selected="0">
            <x v="7"/>
          </reference>
          <reference field="2" count="1" selected="0">
            <x v="2"/>
          </reference>
          <reference field="3" count="1">
            <x v="18"/>
          </reference>
        </references>
      </pivotArea>
    </format>
    <format dxfId="1045">
      <pivotArea dataOnly="0" labelOnly="1" outline="0" fieldPosition="0">
        <references count="4">
          <reference field="0" count="1" selected="0">
            <x v="61"/>
          </reference>
          <reference field="1" count="1" selected="0">
            <x v="97"/>
          </reference>
          <reference field="2" count="1" selected="0">
            <x v="4"/>
          </reference>
          <reference field="3" count="1">
            <x v="1"/>
          </reference>
        </references>
      </pivotArea>
    </format>
    <format dxfId="1044">
      <pivotArea dataOnly="0" labelOnly="1" outline="0" fieldPosition="0">
        <references count="4">
          <reference field="0" count="1" selected="0">
            <x v="45"/>
          </reference>
          <reference field="1" count="1" selected="0">
            <x v="70"/>
          </reference>
          <reference field="2" count="1" selected="0">
            <x v="3"/>
          </reference>
          <reference field="3" count="1">
            <x v="32"/>
          </reference>
        </references>
      </pivotArea>
    </format>
    <format dxfId="1043">
      <pivotArea dataOnly="0" labelOnly="1" outline="0" fieldPosition="0">
        <references count="4">
          <reference field="0" count="1" selected="0">
            <x v="23"/>
          </reference>
          <reference field="1" count="1" selected="0">
            <x v="48"/>
          </reference>
          <reference field="2" count="1" selected="0">
            <x v="7"/>
          </reference>
          <reference field="3" count="1">
            <x v="21"/>
          </reference>
        </references>
      </pivotArea>
    </format>
    <format dxfId="1042">
      <pivotArea dataOnly="0" labelOnly="1" outline="0" fieldPosition="0">
        <references count="4">
          <reference field="0" count="1" selected="0">
            <x v="50"/>
          </reference>
          <reference field="1" count="1" selected="0">
            <x v="81"/>
          </reference>
          <reference field="2" count="1" selected="0">
            <x v="4"/>
          </reference>
          <reference field="3" count="1">
            <x v="1"/>
          </reference>
        </references>
      </pivotArea>
    </format>
    <format dxfId="1041">
      <pivotArea dataOnly="0" labelOnly="1" outline="0" fieldPosition="0">
        <references count="4">
          <reference field="0" count="1" selected="0">
            <x v="97"/>
          </reference>
          <reference field="1" count="1" selected="0">
            <x v="50"/>
          </reference>
          <reference field="2" count="1" selected="0">
            <x v="2"/>
          </reference>
          <reference field="3" count="1">
            <x v="23"/>
          </reference>
        </references>
      </pivotArea>
    </format>
    <format dxfId="1040">
      <pivotArea dataOnly="0" labelOnly="1" outline="0" fieldPosition="0">
        <references count="4">
          <reference field="0" count="1" selected="0">
            <x v="53"/>
          </reference>
          <reference field="1" count="1" selected="0">
            <x v="84"/>
          </reference>
          <reference field="2" count="1" selected="0">
            <x v="6"/>
          </reference>
          <reference field="3" count="1">
            <x v="30"/>
          </reference>
        </references>
      </pivotArea>
    </format>
    <format dxfId="1039">
      <pivotArea dataOnly="0" labelOnly="1" outline="0" fieldPosition="0">
        <references count="4">
          <reference field="0" count="1" selected="0">
            <x v="4"/>
          </reference>
          <reference field="1" count="1" selected="0">
            <x v="15"/>
          </reference>
          <reference field="2" count="1" selected="0">
            <x v="2"/>
          </reference>
          <reference field="3" count="1">
            <x v="5"/>
          </reference>
        </references>
      </pivotArea>
    </format>
    <format dxfId="1038">
      <pivotArea dataOnly="0" labelOnly="1" outline="0" fieldPosition="0">
        <references count="6">
          <reference field="0" count="1" selected="0">
            <x v="51"/>
          </reference>
          <reference field="1" count="1" selected="0">
            <x v="82"/>
          </reference>
          <reference field="2" count="1" selected="0">
            <x v="2"/>
          </reference>
          <reference field="3" count="1" selected="0">
            <x v="8"/>
          </reference>
          <reference field="4" count="1" selected="0">
            <x v="70"/>
          </reference>
          <reference field="5" count="1">
            <x v="1"/>
          </reference>
        </references>
      </pivotArea>
    </format>
    <format dxfId="1037">
      <pivotArea dataOnly="0" labelOnly="1" outline="0" fieldPosition="0">
        <references count="6">
          <reference field="0" count="1" selected="0">
            <x v="88"/>
          </reference>
          <reference field="1" count="1" selected="0">
            <x v="43"/>
          </reference>
          <reference field="2" count="1" selected="0">
            <x v="2"/>
          </reference>
          <reference field="3" count="1" selected="0">
            <x v="7"/>
          </reference>
          <reference field="4" count="1" selected="0">
            <x v="3"/>
          </reference>
          <reference field="5" count="1">
            <x v="2"/>
          </reference>
        </references>
      </pivotArea>
    </format>
    <format dxfId="1036">
      <pivotArea dataOnly="0" labelOnly="1" outline="0" fieldPosition="0">
        <references count="6">
          <reference field="0" count="1" selected="0">
            <x v="57"/>
          </reference>
          <reference field="1" count="1" selected="0">
            <x v="89"/>
          </reference>
          <reference field="2" count="1" selected="0">
            <x v="8"/>
          </reference>
          <reference field="3" count="1" selected="0">
            <x v="27"/>
          </reference>
          <reference field="4" count="1" selected="0">
            <x v="44"/>
          </reference>
          <reference field="5" count="1">
            <x v="1"/>
          </reference>
        </references>
      </pivotArea>
    </format>
    <format dxfId="1035">
      <pivotArea dataOnly="0" labelOnly="1" outline="0" fieldPosition="0">
        <references count="6">
          <reference field="0" count="1" selected="0">
            <x v="92"/>
          </reference>
          <reference field="1" count="1" selected="0">
            <x v="55"/>
          </reference>
          <reference field="2" count="1" selected="0">
            <x v="3"/>
          </reference>
          <reference field="3" count="1" selected="0">
            <x v="31"/>
          </reference>
          <reference field="4" count="1" selected="0">
            <x v="69"/>
          </reference>
          <reference field="5" count="1">
            <x v="2"/>
          </reference>
        </references>
      </pivotArea>
    </format>
    <format dxfId="1034">
      <pivotArea dataOnly="0" labelOnly="1" outline="0" fieldPosition="0">
        <references count="6">
          <reference field="0" count="1" selected="0">
            <x v="89"/>
          </reference>
          <reference field="1" count="1" selected="0">
            <x v="44"/>
          </reference>
          <reference field="2" count="1" selected="0">
            <x v="2"/>
          </reference>
          <reference field="3" count="1" selected="0">
            <x v="7"/>
          </reference>
          <reference field="4" count="1" selected="0">
            <x v="13"/>
          </reference>
          <reference field="5" count="1">
            <x v="2"/>
          </reference>
        </references>
      </pivotArea>
    </format>
    <format dxfId="1033">
      <pivotArea dataOnly="0" labelOnly="1" outline="0" fieldPosition="0">
        <references count="6">
          <reference field="0" count="1" selected="0">
            <x v="0"/>
          </reference>
          <reference field="1" count="1" selected="0">
            <x v="4"/>
          </reference>
          <reference field="2" count="1" selected="0">
            <x v="1"/>
          </reference>
          <reference field="3" count="1" selected="0">
            <x v="2"/>
          </reference>
          <reference field="4" count="1" selected="0">
            <x v="2"/>
          </reference>
          <reference field="5" count="1">
            <x v="1"/>
          </reference>
        </references>
      </pivotArea>
    </format>
    <format dxfId="1032">
      <pivotArea dataOnly="0" labelOnly="1" outline="0" fieldPosition="0">
        <references count="6">
          <reference field="0" count="1" selected="0">
            <x v="62"/>
          </reference>
          <reference field="1" count="1" selected="0">
            <x v="98"/>
          </reference>
          <reference field="2" count="1" selected="0">
            <x v="8"/>
          </reference>
          <reference field="3" count="1" selected="0">
            <x v="45"/>
          </reference>
          <reference field="4" count="1" selected="0">
            <x v="26"/>
          </reference>
          <reference field="5" count="1">
            <x v="1"/>
          </reference>
        </references>
      </pivotArea>
    </format>
    <format dxfId="1031">
      <pivotArea dataOnly="0" labelOnly="1" outline="0" fieldPosition="0">
        <references count="6">
          <reference field="0" count="1" selected="0">
            <x v="25"/>
          </reference>
          <reference field="1" count="1" selected="0">
            <x v="53"/>
          </reference>
          <reference field="2" count="1" selected="0">
            <x v="3"/>
          </reference>
          <reference field="3" count="1" selected="0">
            <x v="26"/>
          </reference>
          <reference field="4" count="1" selected="0">
            <x v="64"/>
          </reference>
          <reference field="5" count="1">
            <x v="1"/>
          </reference>
        </references>
      </pivotArea>
    </format>
    <format dxfId="1030">
      <pivotArea dataOnly="0" labelOnly="1" outline="0" fieldPosition="0">
        <references count="6">
          <reference field="0" count="1" selected="0">
            <x v="87"/>
          </reference>
          <reference field="1" count="1" selected="0">
            <x v="41"/>
          </reference>
          <reference field="2" count="1" selected="0">
            <x v="3"/>
          </reference>
          <reference field="3" count="1" selected="0">
            <x v="28"/>
          </reference>
          <reference field="4" count="1" selected="0">
            <x v="23"/>
          </reference>
          <reference field="5" count="1">
            <x v="2"/>
          </reference>
        </references>
      </pivotArea>
    </format>
    <format dxfId="1029">
      <pivotArea dataOnly="0" labelOnly="1" outline="0" fieldPosition="0">
        <references count="6">
          <reference field="0" count="1" selected="0">
            <x v="55"/>
          </reference>
          <reference field="1" count="1" selected="0">
            <x v="87"/>
          </reference>
          <reference field="2" count="1" selected="0">
            <x v="3"/>
          </reference>
          <reference field="3" count="1" selected="0">
            <x v="41"/>
          </reference>
          <reference field="4" count="1" selected="0">
            <x v="30"/>
          </reference>
          <reference field="5" count="1">
            <x v="1"/>
          </reference>
        </references>
      </pivotArea>
    </format>
    <format dxfId="1028">
      <pivotArea dataOnly="0" labelOnly="1" outline="0" fieldPosition="0">
        <references count="6">
          <reference field="0" count="1" selected="0">
            <x v="95"/>
          </reference>
          <reference field="1" count="1" selected="0">
            <x v="95"/>
          </reference>
          <reference field="2" count="1" selected="0">
            <x v="3"/>
          </reference>
          <reference field="3" count="1" selected="0">
            <x v="28"/>
          </reference>
          <reference field="4" count="1" selected="0">
            <x v="23"/>
          </reference>
          <reference field="5" count="1">
            <x v="2"/>
          </reference>
        </references>
      </pivotArea>
    </format>
    <format dxfId="1027">
      <pivotArea dataOnly="0" labelOnly="1" outline="0" fieldPosition="0">
        <references count="6">
          <reference field="0" count="1" selected="0">
            <x v="54"/>
          </reference>
          <reference field="1" count="1" selected="0">
            <x v="86"/>
          </reference>
          <reference field="2" count="1" selected="0">
            <x v="3"/>
          </reference>
          <reference field="3" count="1" selected="0">
            <x v="41"/>
          </reference>
          <reference field="4" count="1" selected="0">
            <x v="25"/>
          </reference>
          <reference field="5" count="1">
            <x v="1"/>
          </reference>
        </references>
      </pivotArea>
    </format>
    <format dxfId="1026">
      <pivotArea dataOnly="0" labelOnly="1" outline="0" fieldPosition="0">
        <references count="6">
          <reference field="0" count="1" selected="0">
            <x v="14"/>
          </reference>
          <reference field="1" count="1" selected="0">
            <x v="34"/>
          </reference>
          <reference field="2" count="1" selected="0">
            <x v="3"/>
          </reference>
          <reference field="3" count="1" selected="0">
            <x v="12"/>
          </reference>
          <reference field="4" count="1" selected="0">
            <x v="22"/>
          </reference>
          <reference field="5" count="1">
            <x v="1"/>
          </reference>
        </references>
      </pivotArea>
    </format>
    <format dxfId="1025">
      <pivotArea dataOnly="0" labelOnly="1" outline="0" fieldPosition="0">
        <references count="6">
          <reference field="0" count="1" selected="0">
            <x v="38"/>
          </reference>
          <reference field="1" count="1" selected="0">
            <x v="69"/>
          </reference>
          <reference field="2" count="1" selected="0">
            <x v="3"/>
          </reference>
          <reference field="3" count="1" selected="0">
            <x v="31"/>
          </reference>
          <reference field="4" count="1" selected="0">
            <x v="69"/>
          </reference>
          <reference field="5" count="1">
            <x v="1"/>
          </reference>
        </references>
      </pivotArea>
    </format>
    <format dxfId="1024">
      <pivotArea dataOnly="0" labelOnly="1" outline="0" fieldPosition="0">
        <references count="6">
          <reference field="0" count="1" selected="0">
            <x v="49"/>
          </reference>
          <reference field="1" count="1" selected="0">
            <x v="80"/>
          </reference>
          <reference field="2" count="1" selected="0">
            <x v="6"/>
          </reference>
          <reference field="3" count="1" selected="0">
            <x v="39"/>
          </reference>
          <reference field="4" count="1" selected="0">
            <x v="51"/>
          </reference>
          <reference field="5" count="1">
            <x v="1"/>
          </reference>
        </references>
      </pivotArea>
    </format>
    <format dxfId="1023">
      <pivotArea dataOnly="0" labelOnly="1" outline="0" fieldPosition="0">
        <references count="6">
          <reference field="0" count="1" selected="0">
            <x v="30"/>
          </reference>
          <reference field="1" count="1" selected="0">
            <x v="60"/>
          </reference>
          <reference field="2" count="1" selected="0">
            <x v="2"/>
          </reference>
          <reference field="3" count="1" selected="0">
            <x v="8"/>
          </reference>
          <reference field="4" count="1" selected="0">
            <x v="32"/>
          </reference>
          <reference field="5" count="1">
            <x v="1"/>
          </reference>
        </references>
      </pivotArea>
    </format>
    <format dxfId="1022">
      <pivotArea dataOnly="0" labelOnly="1" outline="0" fieldPosition="0">
        <references count="6">
          <reference field="0" count="1" selected="0">
            <x v="16"/>
          </reference>
          <reference field="1" count="1" selected="0">
            <x v="36"/>
          </reference>
          <reference field="2" count="1" selected="0">
            <x v="3"/>
          </reference>
          <reference field="3" count="1" selected="0">
            <x v="28"/>
          </reference>
          <reference field="4" count="1" selected="0">
            <x v="23"/>
          </reference>
          <reference field="5" count="1">
            <x v="1"/>
          </reference>
        </references>
      </pivotArea>
    </format>
    <format dxfId="1021">
      <pivotArea dataOnly="0" labelOnly="1" outline="0" fieldPosition="0">
        <references count="1">
          <reference field="4294967294" count="1">
            <x v="2"/>
          </reference>
        </references>
      </pivotArea>
    </format>
    <format dxfId="1020">
      <pivotArea dataOnly="0" labelOnly="1" outline="0" fieldPosition="0">
        <references count="1">
          <reference field="4294967294" count="2">
            <x v="1"/>
            <x v="2"/>
          </reference>
        </references>
      </pivotArea>
    </format>
    <format dxfId="1019">
      <pivotArea dataOnly="0" labelOnly="1" outline="0" fieldPosition="0">
        <references count="1">
          <reference field="4294967294" count="2">
            <x v="1"/>
            <x v="2"/>
          </reference>
        </references>
      </pivotArea>
    </format>
    <format dxfId="1018">
      <pivotArea outline="0" fieldPosition="0">
        <references count="1">
          <reference field="4294967294" count="1" selected="0">
            <x v="1"/>
          </reference>
        </references>
      </pivotArea>
    </format>
    <format dxfId="1017">
      <pivotArea dataOnly="0" labelOnly="1" outline="0" fieldPosition="0">
        <references count="1">
          <reference field="4294967294" count="1">
            <x v="1"/>
          </reference>
        </references>
      </pivotArea>
    </format>
    <format dxfId="1016">
      <pivotArea dataOnly="0" labelOnly="1" outline="0" fieldPosition="0">
        <references count="1">
          <reference field="4294967294" count="1">
            <x v="2"/>
          </reference>
        </references>
      </pivotArea>
    </format>
    <format dxfId="1015">
      <pivotArea outline="0" fieldPosition="0">
        <references count="1">
          <reference field="4294967294" count="1" selected="0">
            <x v="1"/>
          </reference>
        </references>
      </pivotArea>
    </format>
    <format dxfId="1014">
      <pivotArea outline="0" fieldPosition="0">
        <references count="1">
          <reference field="4294967294" count="1" selected="0">
            <x v="2"/>
          </reference>
        </references>
      </pivotArea>
    </format>
    <format dxfId="1013">
      <pivotArea dataOnly="0" labelOnly="1" outline="0" fieldPosition="0">
        <references count="1">
          <reference field="4294967294" count="1">
            <x v="0"/>
          </reference>
        </references>
      </pivotArea>
    </format>
    <format dxfId="1012">
      <pivotArea dataOnly="0" labelOnly="1" outline="0" fieldPosition="0">
        <references count="1">
          <reference field="4294967294" count="1">
            <x v="0"/>
          </reference>
        </references>
      </pivotArea>
    </format>
    <format dxfId="1011">
      <pivotArea outline="0" fieldPosition="0">
        <references count="1">
          <reference field="4294967294" count="1" selected="0">
            <x v="0"/>
          </reference>
        </references>
      </pivotArea>
    </format>
    <format dxfId="1010">
      <pivotArea dataOnly="0" labelOnly="1" outline="0" fieldPosition="0">
        <references count="1">
          <reference field="4294967294" count="1">
            <x v="0"/>
          </reference>
        </references>
      </pivotArea>
    </format>
    <format dxfId="1009">
      <pivotArea outline="0" fieldPosition="0">
        <references count="1">
          <reference field="4294967294" count="1" selected="0">
            <x v="0"/>
          </reference>
        </references>
      </pivotArea>
    </format>
    <format dxfId="1008">
      <pivotArea dataOnly="0" labelOnly="1" outline="0" fieldPosition="0">
        <references count="1">
          <reference field="4294967294" count="1">
            <x v="1"/>
          </reference>
        </references>
      </pivotArea>
    </format>
    <format dxfId="1007">
      <pivotArea outline="0" fieldPosition="0">
        <references count="1">
          <reference field="4294967294" count="1" selected="0">
            <x v="2"/>
          </reference>
        </references>
      </pivotArea>
    </format>
    <format dxfId="1006">
      <pivotArea field="2" type="button" dataOnly="0" labelOnly="1" outline="0" axis="axisRow" fieldPosition="2"/>
    </format>
    <format dxfId="1005">
      <pivotArea dataOnly="0" labelOnly="1" outline="0" fieldPosition="0">
        <references count="3">
          <reference field="0" count="1" selected="0">
            <x v="65"/>
          </reference>
          <reference field="1" count="1" selected="0">
            <x v="12"/>
          </reference>
          <reference field="2" count="1">
            <x v="3"/>
          </reference>
        </references>
      </pivotArea>
    </format>
    <format dxfId="1004">
      <pivotArea dataOnly="0" labelOnly="1" outline="0" fieldPosition="0">
        <references count="3">
          <reference field="0" count="1" selected="0">
            <x v="51"/>
          </reference>
          <reference field="1" count="1" selected="0">
            <x v="82"/>
          </reference>
          <reference field="2" count="1">
            <x v="2"/>
          </reference>
        </references>
      </pivotArea>
    </format>
    <format dxfId="1003">
      <pivotArea dataOnly="0" labelOnly="1" outline="0" fieldPosition="0">
        <references count="3">
          <reference field="0" count="1" selected="0">
            <x v="41"/>
          </reference>
          <reference field="1" count="1" selected="0">
            <x v="73"/>
          </reference>
          <reference field="2" count="1">
            <x v="3"/>
          </reference>
        </references>
      </pivotArea>
    </format>
    <format dxfId="1002">
      <pivotArea dataOnly="0" labelOnly="1" outline="0" fieldPosition="0">
        <references count="3">
          <reference field="0" count="1" selected="0">
            <x v="29"/>
          </reference>
          <reference field="1" count="1" selected="0">
            <x v="59"/>
          </reference>
          <reference field="2" count="1">
            <x v="2"/>
          </reference>
        </references>
      </pivotArea>
    </format>
    <format dxfId="1001">
      <pivotArea dataOnly="0" labelOnly="1" outline="0" fieldPosition="0">
        <references count="3">
          <reference field="0" count="1" selected="0">
            <x v="17"/>
          </reference>
          <reference field="1" count="1" selected="0">
            <x v="37"/>
          </reference>
          <reference field="2" count="1">
            <x v="3"/>
          </reference>
        </references>
      </pivotArea>
    </format>
    <format dxfId="1000">
      <pivotArea dataOnly="0" labelOnly="1" outline="0" fieldPosition="0">
        <references count="3">
          <reference field="0" count="1" selected="0">
            <x v="2"/>
          </reference>
          <reference field="1" count="1" selected="0">
            <x v="10"/>
          </reference>
          <reference field="2" count="1">
            <x v="2"/>
          </reference>
        </references>
      </pivotArea>
    </format>
    <format dxfId="999">
      <pivotArea dataOnly="0" labelOnly="1" outline="0" fieldPosition="0">
        <references count="3">
          <reference field="0" count="1" selected="0">
            <x v="12"/>
          </reference>
          <reference field="1" count="1" selected="0">
            <x v="29"/>
          </reference>
          <reference field="2" count="1">
            <x v="3"/>
          </reference>
        </references>
      </pivotArea>
    </format>
    <format dxfId="998">
      <pivotArea dataOnly="0" labelOnly="1" outline="0" fieldPosition="0">
        <references count="3">
          <reference field="0" count="1" selected="0">
            <x v="32"/>
          </reference>
          <reference field="1" count="1" selected="0">
            <x v="93"/>
          </reference>
          <reference field="2" count="1">
            <x v="2"/>
          </reference>
        </references>
      </pivotArea>
    </format>
    <format dxfId="997">
      <pivotArea dataOnly="0" labelOnly="1" outline="0" fieldPosition="0">
        <references count="3">
          <reference field="0" count="1" selected="0">
            <x v="37"/>
          </reference>
          <reference field="1" count="1" selected="0">
            <x v="68"/>
          </reference>
          <reference field="2" count="1">
            <x v="3"/>
          </reference>
        </references>
      </pivotArea>
    </format>
    <format dxfId="996">
      <pivotArea dataOnly="0" labelOnly="1" outline="0" fieldPosition="0">
        <references count="3">
          <reference field="0" count="1" selected="0">
            <x v="59"/>
          </reference>
          <reference field="1" count="1" selected="0">
            <x v="92"/>
          </reference>
          <reference field="2" count="1">
            <x v="2"/>
          </reference>
        </references>
      </pivotArea>
    </format>
    <format dxfId="995">
      <pivotArea dataOnly="0" labelOnly="1" outline="0" fieldPosition="0">
        <references count="3">
          <reference field="0" count="1" selected="0">
            <x v="33"/>
          </reference>
          <reference field="1" count="1" selected="0">
            <x v="63"/>
          </reference>
          <reference field="2" count="1">
            <x v="4"/>
          </reference>
        </references>
      </pivotArea>
    </format>
    <format dxfId="994">
      <pivotArea dataOnly="0" labelOnly="1" outline="0" fieldPosition="0">
        <references count="3">
          <reference field="0" count="1" selected="0">
            <x v="15"/>
          </reference>
          <reference field="1" count="1" selected="0">
            <x v="35"/>
          </reference>
          <reference field="2" count="1">
            <x v="2"/>
          </reference>
        </references>
      </pivotArea>
    </format>
    <format dxfId="993">
      <pivotArea dataOnly="0" labelOnly="1" outline="0" fieldPosition="0">
        <references count="3">
          <reference field="0" count="1" selected="0">
            <x v="63"/>
          </reference>
          <reference field="1" count="1" selected="0">
            <x v="99"/>
          </reference>
          <reference field="2" count="1">
            <x v="3"/>
          </reference>
        </references>
      </pivotArea>
    </format>
    <format dxfId="992">
      <pivotArea dataOnly="0" labelOnly="1" outline="0" fieldPosition="0">
        <references count="3">
          <reference field="0" count="1" selected="0">
            <x v="66"/>
          </reference>
          <reference field="1" count="1" selected="0">
            <x v="49"/>
          </reference>
          <reference field="2" count="1">
            <x v="4"/>
          </reference>
        </references>
      </pivotArea>
    </format>
    <format dxfId="991">
      <pivotArea dataOnly="0" labelOnly="1" outline="0" fieldPosition="0">
        <references count="3">
          <reference field="0" count="1" selected="0">
            <x v="88"/>
          </reference>
          <reference field="1" count="1" selected="0">
            <x v="43"/>
          </reference>
          <reference field="2" count="1">
            <x v="2"/>
          </reference>
        </references>
      </pivotArea>
    </format>
    <format dxfId="990">
      <pivotArea dataOnly="0" labelOnly="1" outline="0" fieldPosition="0">
        <references count="3">
          <reference field="0" count="1" selected="0">
            <x v="84"/>
          </reference>
          <reference field="1" count="1" selected="0">
            <x v="32"/>
          </reference>
          <reference field="2" count="1">
            <x v="3"/>
          </reference>
        </references>
      </pivotArea>
    </format>
    <format dxfId="989">
      <pivotArea dataOnly="0" labelOnly="1" outline="0" fieldPosition="0">
        <references count="3">
          <reference field="0" count="1" selected="0">
            <x v="57"/>
          </reference>
          <reference field="1" count="1" selected="0">
            <x v="89"/>
          </reference>
          <reference field="2" count="1">
            <x v="8"/>
          </reference>
        </references>
      </pivotArea>
    </format>
    <format dxfId="988">
      <pivotArea dataOnly="0" labelOnly="1" outline="0" fieldPosition="0">
        <references count="3">
          <reference field="0" count="1" selected="0">
            <x v="74"/>
          </reference>
          <reference field="1" count="1" selected="0">
            <x v="8"/>
          </reference>
          <reference field="2" count="1">
            <x v="3"/>
          </reference>
        </references>
      </pivotArea>
    </format>
    <format dxfId="987">
      <pivotArea dataOnly="0" labelOnly="1" outline="0" fieldPosition="0">
        <references count="3">
          <reference field="0" count="1" selected="0">
            <x v="6"/>
          </reference>
          <reference field="1" count="1" selected="0">
            <x v="19"/>
          </reference>
          <reference field="2" count="1">
            <x v="6"/>
          </reference>
        </references>
      </pivotArea>
    </format>
    <format dxfId="986">
      <pivotArea dataOnly="0" labelOnly="1" outline="0" fieldPosition="0">
        <references count="3">
          <reference field="0" count="1" selected="0">
            <x v="92"/>
          </reference>
          <reference field="1" count="1" selected="0">
            <x v="55"/>
          </reference>
          <reference field="2" count="1">
            <x v="3"/>
          </reference>
        </references>
      </pivotArea>
    </format>
    <format dxfId="985">
      <pivotArea dataOnly="0" labelOnly="1" outline="0" fieldPosition="0">
        <references count="3">
          <reference field="0" count="1" selected="0">
            <x v="20"/>
          </reference>
          <reference field="1" count="1" selected="0">
            <x v="42"/>
          </reference>
          <reference field="2" count="1">
            <x v="5"/>
          </reference>
        </references>
      </pivotArea>
    </format>
    <format dxfId="984">
      <pivotArea dataOnly="0" labelOnly="1" outline="0" fieldPosition="0">
        <references count="3">
          <reference field="0" count="1" selected="0">
            <x v="89"/>
          </reference>
          <reference field="1" count="1" selected="0">
            <x v="44"/>
          </reference>
          <reference field="2" count="1">
            <x v="2"/>
          </reference>
        </references>
      </pivotArea>
    </format>
    <format dxfId="983">
      <pivotArea dataOnly="0" labelOnly="1" outline="0" fieldPosition="0">
        <references count="3">
          <reference field="0" count="1" selected="0">
            <x v="0"/>
          </reference>
          <reference field="1" count="1" selected="0">
            <x v="4"/>
          </reference>
          <reference field="2" count="1">
            <x v="1"/>
          </reference>
        </references>
      </pivotArea>
    </format>
    <format dxfId="982">
      <pivotArea dataOnly="0" labelOnly="1" outline="0" fieldPosition="0">
        <references count="3">
          <reference field="0" count="1" selected="0">
            <x v="64"/>
          </reference>
          <reference field="1" count="1" selected="0">
            <x v="11"/>
          </reference>
          <reference field="2" count="1">
            <x v="2"/>
          </reference>
        </references>
      </pivotArea>
    </format>
    <format dxfId="981">
      <pivotArea dataOnly="0" labelOnly="1" outline="0" fieldPosition="0">
        <references count="3">
          <reference field="0" count="1" selected="0">
            <x v="86"/>
          </reference>
          <reference field="1" count="1" selected="0">
            <x v="40"/>
          </reference>
          <reference field="2" count="1">
            <x v="5"/>
          </reference>
        </references>
      </pivotArea>
    </format>
    <format dxfId="980">
      <pivotArea dataOnly="0" labelOnly="1" outline="0" fieldPosition="0">
        <references count="3">
          <reference field="0" count="1" selected="0">
            <x v="82"/>
          </reference>
          <reference field="1" count="1" selected="0">
            <x v="27"/>
          </reference>
          <reference field="2" count="1">
            <x v="2"/>
          </reference>
        </references>
      </pivotArea>
    </format>
    <format dxfId="979">
      <pivotArea dataOnly="0" labelOnly="1" outline="0" fieldPosition="0">
        <references count="3">
          <reference field="0" count="1" selected="0">
            <x v="81"/>
          </reference>
          <reference field="1" count="1" selected="0">
            <x v="25"/>
          </reference>
          <reference field="2" count="1">
            <x v="3"/>
          </reference>
        </references>
      </pivotArea>
    </format>
    <format dxfId="978">
      <pivotArea dataOnly="0" labelOnly="1" outline="0" fieldPosition="0">
        <references count="3">
          <reference field="0" count="1" selected="0">
            <x v="62"/>
          </reference>
          <reference field="1" count="1" selected="0">
            <x v="98"/>
          </reference>
          <reference field="2" count="1">
            <x v="8"/>
          </reference>
        </references>
      </pivotArea>
    </format>
    <format dxfId="977">
      <pivotArea dataOnly="0" labelOnly="1" outline="0" fieldPosition="0">
        <references count="3">
          <reference field="0" count="1" selected="0">
            <x v="94"/>
          </reference>
          <reference field="1" count="1" selected="0">
            <x v="94"/>
          </reference>
          <reference field="2" count="1">
            <x v="3"/>
          </reference>
        </references>
      </pivotArea>
    </format>
    <format dxfId="976">
      <pivotArea dataOnly="0" labelOnly="1" outline="0" fieldPosition="0">
        <references count="3">
          <reference field="0" count="1" selected="0">
            <x v="7"/>
          </reference>
          <reference field="1" count="1" selected="0">
            <x v="20"/>
          </reference>
          <reference field="2" count="1">
            <x v="2"/>
          </reference>
        </references>
      </pivotArea>
    </format>
    <format dxfId="975">
      <pivotArea dataOnly="0" labelOnly="1" outline="0" fieldPosition="0">
        <references count="3">
          <reference field="0" count="1" selected="0">
            <x v="42"/>
          </reference>
          <reference field="1" count="1" selected="0">
            <x v="74"/>
          </reference>
          <reference field="2" count="1">
            <x v="5"/>
          </reference>
        </references>
      </pivotArea>
    </format>
    <format dxfId="974">
      <pivotArea dataOnly="0" labelOnly="1" outline="0" fieldPosition="0">
        <references count="3">
          <reference field="0" count="1" selected="0">
            <x v="87"/>
          </reference>
          <reference field="1" count="1" selected="0">
            <x v="41"/>
          </reference>
          <reference field="2" count="1">
            <x v="3"/>
          </reference>
        </references>
      </pivotArea>
    </format>
    <format dxfId="973">
      <pivotArea dataOnly="0" labelOnly="1" outline="0" fieldPosition="0">
        <references count="3">
          <reference field="0" count="1" selected="0">
            <x v="27"/>
          </reference>
          <reference field="1" count="1" selected="0">
            <x v="57"/>
          </reference>
          <reference field="2" count="1">
            <x v="2"/>
          </reference>
        </references>
      </pivotArea>
    </format>
    <format dxfId="972">
      <pivotArea dataOnly="0" labelOnly="1" outline="0" fieldPosition="0">
        <references count="3">
          <reference field="0" count="1" selected="0">
            <x v="43"/>
          </reference>
          <reference field="1" count="1" selected="0">
            <x v="75"/>
          </reference>
          <reference field="2" count="1">
            <x v="7"/>
          </reference>
        </references>
      </pivotArea>
    </format>
    <format dxfId="971">
      <pivotArea dataOnly="0" labelOnly="1" outline="0" fieldPosition="0">
        <references count="3">
          <reference field="0" count="1" selected="0">
            <x v="39"/>
          </reference>
          <reference field="1" count="1" selected="0">
            <x v="71"/>
          </reference>
          <reference field="2" count="1">
            <x v="6"/>
          </reference>
        </references>
      </pivotArea>
    </format>
    <format dxfId="970">
      <pivotArea dataOnly="0" labelOnly="1" outline="0" fieldPosition="0">
        <references count="3">
          <reference field="0" count="1" selected="0">
            <x v="5"/>
          </reference>
          <reference field="1" count="1" selected="0">
            <x v="18"/>
          </reference>
          <reference field="2" count="1">
            <x v="1"/>
          </reference>
        </references>
      </pivotArea>
    </format>
    <format dxfId="969">
      <pivotArea dataOnly="0" labelOnly="1" outline="0" fieldPosition="0">
        <references count="3">
          <reference field="0" count="1" selected="0">
            <x v="34"/>
          </reference>
          <reference field="1" count="1" selected="0">
            <x v="65"/>
          </reference>
          <reference field="2" count="1">
            <x v="5"/>
          </reference>
        </references>
      </pivotArea>
    </format>
    <format dxfId="968">
      <pivotArea dataOnly="0" labelOnly="1" outline="0" fieldPosition="0">
        <references count="3">
          <reference field="0" count="1" selected="0">
            <x v="9"/>
          </reference>
          <reference field="1" count="1" selected="0">
            <x v="23"/>
          </reference>
          <reference field="2" count="1">
            <x v="1"/>
          </reference>
        </references>
      </pivotArea>
    </format>
    <format dxfId="967">
      <pivotArea dataOnly="0" labelOnly="1" outline="0" fieldPosition="0">
        <references count="3">
          <reference field="0" count="1" selected="0">
            <x v="76"/>
          </reference>
          <reference field="1" count="1" selected="0">
            <x v="14"/>
          </reference>
          <reference field="2" count="1">
            <x v="3"/>
          </reference>
        </references>
      </pivotArea>
    </format>
    <format dxfId="966">
      <pivotArea dataOnly="0" labelOnly="1" outline="0" fieldPosition="0">
        <references count="3">
          <reference field="0" count="1" selected="0">
            <x v="35"/>
          </reference>
          <reference field="1" count="1" selected="0">
            <x v="66"/>
          </reference>
          <reference field="2" count="1">
            <x v="5"/>
          </reference>
        </references>
      </pivotArea>
    </format>
    <format dxfId="965">
      <pivotArea dataOnly="0" labelOnly="1" outline="0" fieldPosition="0">
        <references count="3">
          <reference field="0" count="1" selected="0">
            <x v="3"/>
          </reference>
          <reference field="1" count="1" selected="0">
            <x v="13"/>
          </reference>
          <reference field="2" count="1">
            <x v="3"/>
          </reference>
        </references>
      </pivotArea>
    </format>
    <format dxfId="964">
      <pivotArea dataOnly="0" labelOnly="1" outline="0" fieldPosition="0">
        <references count="3">
          <reference field="0" count="1" selected="0">
            <x v="40"/>
          </reference>
          <reference field="1" count="1" selected="0">
            <x v="72"/>
          </reference>
          <reference field="2" count="1">
            <x v="6"/>
          </reference>
        </references>
      </pivotArea>
    </format>
    <format dxfId="963">
      <pivotArea dataOnly="0" labelOnly="1" outline="0" fieldPosition="0">
        <references count="3">
          <reference field="0" count="1" selected="0">
            <x v="21"/>
          </reference>
          <reference field="1" count="1" selected="0">
            <x v="45"/>
          </reference>
          <reference field="2" count="1">
            <x v="4"/>
          </reference>
        </references>
      </pivotArea>
    </format>
    <format dxfId="962">
      <pivotArea dataOnly="0" labelOnly="1" outline="0" fieldPosition="0">
        <references count="3">
          <reference field="0" count="1" selected="0">
            <x v="52"/>
          </reference>
          <reference field="1" count="1" selected="0">
            <x v="83"/>
          </reference>
          <reference field="2" count="1">
            <x v="2"/>
          </reference>
        </references>
      </pivotArea>
    </format>
    <format dxfId="961">
      <pivotArea dataOnly="0" labelOnly="1" outline="0" fieldPosition="0">
        <references count="3">
          <reference field="0" count="1" selected="0">
            <x v="95"/>
          </reference>
          <reference field="1" count="1" selected="0">
            <x v="95"/>
          </reference>
          <reference field="2" count="1">
            <x v="3"/>
          </reference>
        </references>
      </pivotArea>
    </format>
    <format dxfId="960">
      <pivotArea dataOnly="0" labelOnly="1" outline="0" fieldPosition="0">
        <references count="3">
          <reference field="0" count="1" selected="0">
            <x v="93"/>
          </reference>
          <reference field="1" count="1" selected="0">
            <x v="91"/>
          </reference>
          <reference field="2" count="1">
            <x v="6"/>
          </reference>
        </references>
      </pivotArea>
    </format>
    <format dxfId="959">
      <pivotArea dataOnly="0" labelOnly="1" outline="0" fieldPosition="0">
        <references count="3">
          <reference field="0" count="1" selected="0">
            <x v="54"/>
          </reference>
          <reference field="1" count="1" selected="0">
            <x v="86"/>
          </reference>
          <reference field="2" count="1">
            <x v="3"/>
          </reference>
        </references>
      </pivotArea>
    </format>
    <format dxfId="958">
      <pivotArea dataOnly="0" labelOnly="1" outline="0" fieldPosition="0">
        <references count="3">
          <reference field="0" count="1" selected="0">
            <x v="44"/>
          </reference>
          <reference field="1" count="1" selected="0">
            <x v="76"/>
          </reference>
          <reference field="2" count="1">
            <x v="2"/>
          </reference>
        </references>
      </pivotArea>
    </format>
    <format dxfId="957">
      <pivotArea dataOnly="0" labelOnly="1" outline="0" fieldPosition="0">
        <references count="3">
          <reference field="0" count="1" selected="0">
            <x v="90"/>
          </reference>
          <reference field="1" count="1" selected="0">
            <x v="47"/>
          </reference>
          <reference field="2" count="1">
            <x v="3"/>
          </reference>
        </references>
      </pivotArea>
    </format>
    <format dxfId="956">
      <pivotArea dataOnly="0" labelOnly="1" outline="0" fieldPosition="0">
        <references count="3">
          <reference field="0" count="1" selected="0">
            <x v="19"/>
          </reference>
          <reference field="1" count="1" selected="0">
            <x v="39"/>
          </reference>
          <reference field="2" count="1">
            <x v="8"/>
          </reference>
        </references>
      </pivotArea>
    </format>
    <format dxfId="955">
      <pivotArea dataOnly="0" labelOnly="1" outline="0" fieldPosition="0">
        <references count="3">
          <reference field="0" count="1" selected="0">
            <x v="8"/>
          </reference>
          <reference field="1" count="1" selected="0">
            <x v="21"/>
          </reference>
          <reference field="2" count="1">
            <x v="2"/>
          </reference>
        </references>
      </pivotArea>
    </format>
    <format dxfId="954">
      <pivotArea dataOnly="0" labelOnly="1" outline="0" fieldPosition="0">
        <references count="3">
          <reference field="0" count="1" selected="0">
            <x v="67"/>
          </reference>
          <reference field="1" count="1" selected="0">
            <x v="64"/>
          </reference>
          <reference field="2" count="1">
            <x v="4"/>
          </reference>
        </references>
      </pivotArea>
    </format>
    <format dxfId="953">
      <pivotArea dataOnly="0" labelOnly="1" outline="0" fieldPosition="0">
        <references count="3">
          <reference field="0" count="1" selected="0">
            <x v="69"/>
          </reference>
          <reference field="1" count="1" selected="0">
            <x v="1"/>
          </reference>
          <reference field="2" count="1">
            <x v="3"/>
          </reference>
        </references>
      </pivotArea>
    </format>
    <format dxfId="952">
      <pivotArea dataOnly="0" labelOnly="1" outline="0" fieldPosition="0">
        <references count="3">
          <reference field="0" count="1" selected="0">
            <x v="72"/>
          </reference>
          <reference field="1" count="1" selected="0">
            <x v="5"/>
          </reference>
          <reference field="2" count="1">
            <x v="5"/>
          </reference>
        </references>
      </pivotArea>
    </format>
    <format dxfId="951">
      <pivotArea dataOnly="0" labelOnly="1" outline="0" fieldPosition="0">
        <references count="3">
          <reference field="0" count="1" selected="0">
            <x v="38"/>
          </reference>
          <reference field="1" count="1" selected="0">
            <x v="69"/>
          </reference>
          <reference field="2" count="1">
            <x v="3"/>
          </reference>
        </references>
      </pivotArea>
    </format>
    <format dxfId="950">
      <pivotArea dataOnly="0" labelOnly="1" outline="0" fieldPosition="0">
        <references count="3">
          <reference field="0" count="1" selected="0">
            <x v="22"/>
          </reference>
          <reference field="1" count="1" selected="0">
            <x v="46"/>
          </reference>
          <reference field="2" count="1">
            <x v="4"/>
          </reference>
        </references>
      </pivotArea>
    </format>
    <format dxfId="949">
      <pivotArea dataOnly="0" labelOnly="1" outline="0" fieldPosition="0">
        <references count="3">
          <reference field="0" count="1" selected="0">
            <x v="96"/>
          </reference>
          <reference field="1" count="1" selected="0">
            <x v="100"/>
          </reference>
          <reference field="2" count="1">
            <x v="3"/>
          </reference>
        </references>
      </pivotArea>
    </format>
    <format dxfId="948">
      <pivotArea dataOnly="0" labelOnly="1" outline="0" fieldPosition="0">
        <references count="3">
          <reference field="0" count="1" selected="0">
            <x v="13"/>
          </reference>
          <reference field="1" count="1" selected="0">
            <x v="30"/>
          </reference>
          <reference field="2" count="1">
            <x v="7"/>
          </reference>
        </references>
      </pivotArea>
    </format>
    <format dxfId="947">
      <pivotArea dataOnly="0" labelOnly="1" outline="0" fieldPosition="0">
        <references count="3">
          <reference field="0" count="1" selected="0">
            <x v="46"/>
          </reference>
          <reference field="1" count="1" selected="0">
            <x v="77"/>
          </reference>
          <reference field="2" count="1">
            <x v="6"/>
          </reference>
        </references>
      </pivotArea>
    </format>
    <format dxfId="946">
      <pivotArea dataOnly="0" labelOnly="1" outline="0" fieldPosition="0">
        <references count="3">
          <reference field="0" count="1" selected="0">
            <x v="58"/>
          </reference>
          <reference field="1" count="1" selected="0">
            <x v="90"/>
          </reference>
          <reference field="2" count="1">
            <x v="3"/>
          </reference>
        </references>
      </pivotArea>
    </format>
    <format dxfId="945">
      <pivotArea dataOnly="0" labelOnly="1" outline="0" fieldPosition="0">
        <references count="3">
          <reference field="0" count="1" selected="0">
            <x v="83"/>
          </reference>
          <reference field="1" count="1" selected="0">
            <x v="31"/>
          </reference>
          <reference field="2" count="1">
            <x v="8"/>
          </reference>
        </references>
      </pivotArea>
    </format>
    <format dxfId="944">
      <pivotArea dataOnly="0" labelOnly="1" outline="0" fieldPosition="0">
        <references count="3">
          <reference field="0" count="1" selected="0">
            <x v="49"/>
          </reference>
          <reference field="1" count="1" selected="0">
            <x v="80"/>
          </reference>
          <reference field="2" count="1">
            <x v="6"/>
          </reference>
        </references>
      </pivotArea>
    </format>
    <format dxfId="943">
      <pivotArea dataOnly="0" labelOnly="1" outline="0" fieldPosition="0">
        <references count="3">
          <reference field="0" count="1" selected="0">
            <x v="48"/>
          </reference>
          <reference field="1" count="1" selected="0">
            <x v="79"/>
          </reference>
          <reference field="2" count="1">
            <x v="2"/>
          </reference>
        </references>
      </pivotArea>
    </format>
    <format dxfId="942">
      <pivotArea dataOnly="0" labelOnly="1" outline="0" fieldPosition="0">
        <references count="3">
          <reference field="0" count="1" selected="0">
            <x v="68"/>
          </reference>
          <reference field="1" count="1" selected="0">
            <x v="0"/>
          </reference>
          <reference field="2" count="1">
            <x v="3"/>
          </reference>
        </references>
      </pivotArea>
    </format>
    <format dxfId="941">
      <pivotArea dataOnly="0" labelOnly="1" outline="0" fieldPosition="0">
        <references count="3">
          <reference field="0" count="1" selected="0">
            <x v="73"/>
          </reference>
          <reference field="1" count="1" selected="0">
            <x v="6"/>
          </reference>
          <reference field="2" count="1">
            <x v="2"/>
          </reference>
        </references>
      </pivotArea>
    </format>
    <format dxfId="940">
      <pivotArea dataOnly="0" labelOnly="1" outline="0" fieldPosition="0">
        <references count="3">
          <reference field="0" count="1" selected="0">
            <x v="79"/>
          </reference>
          <reference field="1" count="1" selected="0">
            <x v="22"/>
          </reference>
          <reference field="2" count="1">
            <x v="8"/>
          </reference>
        </references>
      </pivotArea>
    </format>
    <format dxfId="939">
      <pivotArea dataOnly="0" labelOnly="1" outline="0" fieldPosition="0">
        <references count="3">
          <reference field="0" count="1" selected="0">
            <x v="18"/>
          </reference>
          <reference field="1" count="1" selected="0">
            <x v="38"/>
          </reference>
          <reference field="2" count="1">
            <x v="3"/>
          </reference>
        </references>
      </pivotArea>
    </format>
    <format dxfId="938">
      <pivotArea dataOnly="0" labelOnly="1" outline="0" fieldPosition="0">
        <references count="3">
          <reference field="0" count="1" selected="0">
            <x v="100"/>
          </reference>
          <reference field="1" count="1" selected="0">
            <x v="61"/>
          </reference>
          <reference field="2" count="1">
            <x v="0"/>
          </reference>
        </references>
      </pivotArea>
    </format>
    <format dxfId="937">
      <pivotArea dataOnly="0" labelOnly="1" outline="0" fieldPosition="0">
        <references count="3">
          <reference field="0" count="1" selected="0">
            <x v="85"/>
          </reference>
          <reference field="1" count="1" selected="0">
            <x v="33"/>
          </reference>
          <reference field="2" count="1">
            <x v="4"/>
          </reference>
        </references>
      </pivotArea>
    </format>
    <format dxfId="936">
      <pivotArea dataOnly="0" labelOnly="1" outline="0" fieldPosition="0">
        <references count="3">
          <reference field="0" count="1" selected="0">
            <x v="16"/>
          </reference>
          <reference field="1" count="1" selected="0">
            <x v="36"/>
          </reference>
          <reference field="2" count="1">
            <x v="3"/>
          </reference>
        </references>
      </pivotArea>
    </format>
    <format dxfId="935">
      <pivotArea dataOnly="0" labelOnly="1" outline="0" fieldPosition="0">
        <references count="3">
          <reference field="0" count="1" selected="0">
            <x v="60"/>
          </reference>
          <reference field="1" count="1" selected="0">
            <x v="96"/>
          </reference>
          <reference field="2" count="1">
            <x v="8"/>
          </reference>
        </references>
      </pivotArea>
    </format>
    <format dxfId="934">
      <pivotArea dataOnly="0" labelOnly="1" outline="0" fieldPosition="0">
        <references count="3">
          <reference field="0" count="1" selected="0">
            <x v="1"/>
          </reference>
          <reference field="1" count="1" selected="0">
            <x v="7"/>
          </reference>
          <reference field="2" count="1">
            <x v="2"/>
          </reference>
        </references>
      </pivotArea>
    </format>
    <format dxfId="933">
      <pivotArea dataOnly="0" labelOnly="1" outline="0" fieldPosition="0">
        <references count="3">
          <reference field="0" count="1" selected="0">
            <x v="61"/>
          </reference>
          <reference field="1" count="1" selected="0">
            <x v="97"/>
          </reference>
          <reference field="2" count="1">
            <x v="4"/>
          </reference>
        </references>
      </pivotArea>
    </format>
    <format dxfId="932">
      <pivotArea dataOnly="0" labelOnly="1" outline="0" fieldPosition="0">
        <references count="3">
          <reference field="0" count="1" selected="0">
            <x v="45"/>
          </reference>
          <reference field="1" count="1" selected="0">
            <x v="70"/>
          </reference>
          <reference field="2" count="1">
            <x v="3"/>
          </reference>
        </references>
      </pivotArea>
    </format>
    <format dxfId="931">
      <pivotArea dataOnly="0" labelOnly="1" outline="0" fieldPosition="0">
        <references count="3">
          <reference field="0" count="1" selected="0">
            <x v="23"/>
          </reference>
          <reference field="1" count="1" selected="0">
            <x v="48"/>
          </reference>
          <reference field="2" count="1">
            <x v="7"/>
          </reference>
        </references>
      </pivotArea>
    </format>
    <format dxfId="930">
      <pivotArea dataOnly="0" labelOnly="1" outline="0" fieldPosition="0">
        <references count="3">
          <reference field="0" count="1" selected="0">
            <x v="50"/>
          </reference>
          <reference field="1" count="1" selected="0">
            <x v="81"/>
          </reference>
          <reference field="2" count="1">
            <x v="4"/>
          </reference>
        </references>
      </pivotArea>
    </format>
    <format dxfId="929">
      <pivotArea dataOnly="0" labelOnly="1" outline="0" fieldPosition="0">
        <references count="3">
          <reference field="0" count="1" selected="0">
            <x v="97"/>
          </reference>
          <reference field="1" count="1" selected="0">
            <x v="50"/>
          </reference>
          <reference field="2" count="1">
            <x v="2"/>
          </reference>
        </references>
      </pivotArea>
    </format>
    <format dxfId="928">
      <pivotArea dataOnly="0" labelOnly="1" outline="0" fieldPosition="0">
        <references count="3">
          <reference field="0" count="1" selected="0">
            <x v="53"/>
          </reference>
          <reference field="1" count="1" selected="0">
            <x v="84"/>
          </reference>
          <reference field="2" count="1">
            <x v="6"/>
          </reference>
        </references>
      </pivotArea>
    </format>
    <format dxfId="927">
      <pivotArea dataOnly="0" labelOnly="1" outline="0" fieldPosition="0">
        <references count="3">
          <reference field="0" count="1" selected="0">
            <x v="4"/>
          </reference>
          <reference field="1" count="1" selected="0">
            <x v="15"/>
          </reference>
          <reference field="2" count="1">
            <x v="2"/>
          </reference>
        </references>
      </pivotArea>
    </format>
    <format dxfId="926">
      <pivotArea dataOnly="0" labelOnly="1" outline="0" fieldPosition="0">
        <references count="5">
          <reference field="0" count="1" selected="0">
            <x v="64"/>
          </reference>
          <reference field="1" count="1" selected="0">
            <x v="11"/>
          </reference>
          <reference field="2" count="1" selected="0">
            <x v="2"/>
          </reference>
          <reference field="3" count="1" selected="0">
            <x v="7"/>
          </reference>
          <reference field="4" count="1">
            <x v="3"/>
          </reference>
        </references>
      </pivotArea>
    </format>
    <format dxfId="925">
      <pivotArea dataOnly="0" labelOnly="1" outline="0" fieldPosition="0">
        <references count="5">
          <reference field="0" count="1" selected="0">
            <x v="68"/>
          </reference>
          <reference field="1" count="1" selected="0">
            <x v="0"/>
          </reference>
          <reference field="2" count="1" selected="0">
            <x v="3"/>
          </reference>
          <reference field="3" count="1" selected="0">
            <x v="28"/>
          </reference>
          <reference field="4" count="1">
            <x v="23"/>
          </reference>
        </references>
      </pivotArea>
    </format>
    <format dxfId="924">
      <pivotArea dataOnly="0" labelOnly="1" outline="0" fieldPosition="0">
        <references count="5">
          <reference field="0" count="1" selected="0">
            <x v="28"/>
          </reference>
          <reference field="1" count="1" selected="0">
            <x v="58"/>
          </reference>
          <reference field="2" count="1" selected="0">
            <x v="2"/>
          </reference>
          <reference field="3" count="1" selected="0">
            <x v="8"/>
          </reference>
          <reference field="4" count="1">
            <x v="42"/>
          </reference>
        </references>
      </pivotArea>
    </format>
    <format dxfId="923">
      <pivotArea field="5" type="button" dataOnly="0" labelOnly="1" outline="0" axis="axisRow" fieldPosition="5"/>
    </format>
    <format dxfId="922">
      <pivotArea dataOnly="0" labelOnly="1" outline="0" fieldPosition="0">
        <references count="6">
          <reference field="0" count="1" selected="0">
            <x v="26"/>
          </reference>
          <reference field="1" count="1" selected="0">
            <x v="56"/>
          </reference>
          <reference field="2" count="1" selected="0">
            <x v="2"/>
          </reference>
          <reference field="3" count="1" selected="0">
            <x v="7"/>
          </reference>
          <reference field="4" count="1" selected="0">
            <x v="41"/>
          </reference>
          <reference field="5" count="1">
            <x v="1"/>
          </reference>
        </references>
      </pivotArea>
    </format>
    <format dxfId="921">
      <pivotArea dataOnly="0" labelOnly="1" outline="0" fieldPosition="0">
        <references count="6">
          <reference field="0" count="1" selected="0">
            <x v="65"/>
          </reference>
          <reference field="1" count="1" selected="0">
            <x v="12"/>
          </reference>
          <reference field="2" count="1" selected="0">
            <x v="3"/>
          </reference>
          <reference field="3" count="1" selected="0">
            <x v="31"/>
          </reference>
          <reference field="4" count="1" selected="0">
            <x v="4"/>
          </reference>
          <reference field="5" count="1">
            <x v="0"/>
          </reference>
        </references>
      </pivotArea>
    </format>
    <format dxfId="920">
      <pivotArea dataOnly="0" labelOnly="1" outline="0" fieldPosition="0">
        <references count="6">
          <reference field="0" count="1" selected="0">
            <x v="41"/>
          </reference>
          <reference field="1" count="1" selected="0">
            <x v="73"/>
          </reference>
          <reference field="2" count="1" selected="0">
            <x v="3"/>
          </reference>
          <reference field="3" count="1" selected="0">
            <x v="10"/>
          </reference>
          <reference field="4" count="1" selected="0">
            <x v="48"/>
          </reference>
          <reference field="5" count="1">
            <x v="1"/>
          </reference>
        </references>
      </pivotArea>
    </format>
    <format dxfId="919">
      <pivotArea dataOnly="0" labelOnly="1" outline="0" fieldPosition="0">
        <references count="6">
          <reference field="0" count="1" selected="0">
            <x v="74"/>
          </reference>
          <reference field="1" count="1" selected="0">
            <x v="8"/>
          </reference>
          <reference field="2" count="1" selected="0">
            <x v="3"/>
          </reference>
          <reference field="3" count="1" selected="0">
            <x v="31"/>
          </reference>
          <reference field="4" count="1" selected="0">
            <x v="69"/>
          </reference>
          <reference field="5" count="1">
            <x v="2"/>
          </reference>
        </references>
      </pivotArea>
    </format>
    <format dxfId="918">
      <pivotArea dataOnly="0" labelOnly="1" outline="0" fieldPosition="0">
        <references count="6">
          <reference field="0" count="1" selected="0">
            <x v="64"/>
          </reference>
          <reference field="1" count="1" selected="0">
            <x v="11"/>
          </reference>
          <reference field="2" count="1" selected="0">
            <x v="2"/>
          </reference>
          <reference field="3" count="1" selected="0">
            <x v="7"/>
          </reference>
          <reference field="4" count="1" selected="0">
            <x v="3"/>
          </reference>
          <reference field="5" count="1">
            <x v="0"/>
          </reference>
        </references>
      </pivotArea>
    </format>
    <format dxfId="917">
      <pivotArea dataOnly="0" labelOnly="1" outline="0" fieldPosition="0">
        <references count="6">
          <reference field="0" count="1" selected="0">
            <x v="84"/>
          </reference>
          <reference field="1" count="1" selected="0">
            <x v="32"/>
          </reference>
          <reference field="2" count="1" selected="0">
            <x v="3"/>
          </reference>
          <reference field="3" count="1" selected="0">
            <x v="10"/>
          </reference>
          <reference field="4" count="1" selected="0">
            <x v="33"/>
          </reference>
          <reference field="5" count="1">
            <x v="2"/>
          </reference>
        </references>
      </pivotArea>
    </format>
    <format dxfId="916">
      <pivotArea dataOnly="0" labelOnly="1" outline="0" fieldPosition="0">
        <references count="6">
          <reference field="0" count="1" selected="0">
            <x v="66"/>
          </reference>
          <reference field="1" count="1" selected="0">
            <x v="49"/>
          </reference>
          <reference field="2" count="1" selected="0">
            <x v="4"/>
          </reference>
          <reference field="3" count="1" selected="0">
            <x v="22"/>
          </reference>
          <reference field="4" count="1" selected="0">
            <x v="10"/>
          </reference>
          <reference field="5" count="1">
            <x v="0"/>
          </reference>
        </references>
      </pivotArea>
    </format>
    <format dxfId="915">
      <pivotArea dataOnly="0" labelOnly="1" outline="0" fieldPosition="0">
        <references count="6">
          <reference field="0" count="1" selected="0">
            <x v="82"/>
          </reference>
          <reference field="1" count="1" selected="0">
            <x v="27"/>
          </reference>
          <reference field="2" count="1" selected="0">
            <x v="2"/>
          </reference>
          <reference field="3" count="1" selected="0">
            <x v="9"/>
          </reference>
          <reference field="4" count="1" selected="0">
            <x v="40"/>
          </reference>
          <reference field="5" count="1">
            <x v="2"/>
          </reference>
        </references>
      </pivotArea>
    </format>
    <format dxfId="914">
      <pivotArea dataOnly="0" labelOnly="1" outline="0" fieldPosition="0">
        <references count="6">
          <reference field="0" count="1" selected="0">
            <x v="11"/>
          </reference>
          <reference field="1" count="1" selected="0">
            <x v="28"/>
          </reference>
          <reference field="2" count="1" selected="0">
            <x v="3"/>
          </reference>
          <reference field="3" count="1" selected="0">
            <x v="10"/>
          </reference>
          <reference field="4" count="1" selected="0">
            <x v="21"/>
          </reference>
          <reference field="5" count="1">
            <x v="1"/>
          </reference>
        </references>
      </pivotArea>
    </format>
    <format dxfId="913">
      <pivotArea dataOnly="0" labelOnly="1" outline="0" fieldPosition="0">
        <references count="6">
          <reference field="0" count="1" selected="0">
            <x v="78"/>
          </reference>
          <reference field="1" count="1" selected="0">
            <x v="17"/>
          </reference>
          <reference field="2" count="1" selected="0">
            <x v="3"/>
          </reference>
          <reference field="3" count="1" selected="0">
            <x v="14"/>
          </reference>
          <reference field="4" count="1" selected="0">
            <x v="34"/>
          </reference>
          <reference field="5" count="1">
            <x v="2"/>
          </reference>
        </references>
      </pivotArea>
    </format>
    <format dxfId="912">
      <pivotArea dataOnly="0" labelOnly="1" outline="0" fieldPosition="0">
        <references count="6">
          <reference field="0" count="1" selected="0">
            <x v="6"/>
          </reference>
          <reference field="1" count="1" selected="0">
            <x v="19"/>
          </reference>
          <reference field="2" count="1" selected="0">
            <x v="6"/>
          </reference>
          <reference field="3" count="1" selected="0">
            <x v="4"/>
          </reference>
          <reference field="4" count="1" selected="0">
            <x v="61"/>
          </reference>
          <reference field="5" count="1">
            <x v="1"/>
          </reference>
        </references>
      </pivotArea>
    </format>
    <format dxfId="911">
      <pivotArea dataOnly="0" labelOnly="1" outline="0" fieldPosition="0">
        <references count="6">
          <reference field="0" count="1" selected="0">
            <x v="81"/>
          </reference>
          <reference field="1" count="1" selected="0">
            <x v="25"/>
          </reference>
          <reference field="2" count="1" selected="0">
            <x v="3"/>
          </reference>
          <reference field="3" count="1" selected="0">
            <x v="10"/>
          </reference>
          <reference field="4" count="1" selected="0">
            <x v="19"/>
          </reference>
          <reference field="5" count="1">
            <x v="2"/>
          </reference>
        </references>
      </pivotArea>
    </format>
    <format dxfId="910">
      <pivotArea dataOnly="0" labelOnly="1" outline="0" fieldPosition="0">
        <references count="6">
          <reference field="0" count="1" selected="0">
            <x v="20"/>
          </reference>
          <reference field="1" count="1" selected="0">
            <x v="42"/>
          </reference>
          <reference field="2" count="1" selected="0">
            <x v="5"/>
          </reference>
          <reference field="3" count="1" selected="0">
            <x v="17"/>
          </reference>
          <reference field="4" count="1" selected="0">
            <x v="31"/>
          </reference>
          <reference field="5" count="1">
            <x v="1"/>
          </reference>
        </references>
      </pivotArea>
    </format>
    <format dxfId="909">
      <pivotArea dataOnly="0" labelOnly="1" outline="0" fieldPosition="0">
        <references count="6">
          <reference field="0" count="1" selected="0">
            <x v="94"/>
          </reference>
          <reference field="1" count="1" selected="0">
            <x v="94"/>
          </reference>
          <reference field="2" count="1" selected="0">
            <x v="3"/>
          </reference>
          <reference field="3" count="1" selected="0">
            <x v="31"/>
          </reference>
          <reference field="4" count="1" selected="0">
            <x v="69"/>
          </reference>
          <reference field="5" count="1">
            <x v="2"/>
          </reference>
        </references>
      </pivotArea>
    </format>
    <format dxfId="908">
      <pivotArea dataOnly="0" labelOnly="1" outline="0" fieldPosition="0">
        <references count="6">
          <reference field="0" count="1" selected="0">
            <x v="7"/>
          </reference>
          <reference field="1" count="1" selected="0">
            <x v="20"/>
          </reference>
          <reference field="2" count="1" selected="0">
            <x v="2"/>
          </reference>
          <reference field="3" count="1" selected="0">
            <x v="6"/>
          </reference>
          <reference field="4" count="1" selected="0">
            <x v="39"/>
          </reference>
          <reference field="5" count="1">
            <x v="1"/>
          </reference>
        </references>
      </pivotArea>
    </format>
    <format dxfId="907">
      <pivotArea dataOnly="0" labelOnly="1" outline="0" fieldPosition="0">
        <references count="6">
          <reference field="0" count="1" selected="0">
            <x v="86"/>
          </reference>
          <reference field="1" count="1" selected="0">
            <x v="40"/>
          </reference>
          <reference field="2" count="1" selected="0">
            <x v="5"/>
          </reference>
          <reference field="3" count="1" selected="0">
            <x v="29"/>
          </reference>
          <reference field="4" count="1" selected="0">
            <x v="72"/>
          </reference>
          <reference field="5" count="1">
            <x v="2"/>
          </reference>
        </references>
      </pivotArea>
    </format>
    <format dxfId="906">
      <pivotArea dataOnly="0" labelOnly="1" outline="0" fieldPosition="0">
        <references count="6">
          <reference field="0" count="1" selected="0">
            <x v="27"/>
          </reference>
          <reference field="1" count="1" selected="0">
            <x v="57"/>
          </reference>
          <reference field="2" count="1" selected="0">
            <x v="2"/>
          </reference>
          <reference field="3" count="1" selected="0">
            <x v="8"/>
          </reference>
          <reference field="4" count="1" selected="0">
            <x v="42"/>
          </reference>
          <reference field="5" count="1">
            <x v="1"/>
          </reference>
        </references>
      </pivotArea>
    </format>
    <format dxfId="905">
      <pivotArea dataOnly="0" labelOnly="1" outline="0" fieldPosition="0">
        <references count="6">
          <reference field="0" count="1" selected="0">
            <x v="76"/>
          </reference>
          <reference field="1" count="1" selected="0">
            <x v="14"/>
          </reference>
          <reference field="2" count="1" selected="0">
            <x v="3"/>
          </reference>
          <reference field="3" count="1" selected="0">
            <x v="10"/>
          </reference>
          <reference field="4" count="1" selected="0">
            <x v="60"/>
          </reference>
          <reference field="5" count="1">
            <x v="2"/>
          </reference>
        </references>
      </pivotArea>
    </format>
    <format dxfId="904">
      <pivotArea dataOnly="0" labelOnly="1" outline="0" fieldPosition="0">
        <references count="6">
          <reference field="0" count="1" selected="0">
            <x v="3"/>
          </reference>
          <reference field="1" count="1" selected="0">
            <x v="13"/>
          </reference>
          <reference field="2" count="1" selected="0">
            <x v="3"/>
          </reference>
          <reference field="3" count="1" selected="0">
            <x v="31"/>
          </reference>
          <reference field="4" count="1" selected="0">
            <x v="4"/>
          </reference>
          <reference field="5" count="1">
            <x v="1"/>
          </reference>
        </references>
      </pivotArea>
    </format>
    <format dxfId="903">
      <pivotArea dataOnly="0" labelOnly="1" outline="0" fieldPosition="0">
        <references count="6">
          <reference field="0" count="1" selected="0">
            <x v="90"/>
          </reference>
          <reference field="1" count="1" selected="0">
            <x v="47"/>
          </reference>
          <reference field="2" count="1" selected="0">
            <x v="3"/>
          </reference>
          <reference field="3" count="1" selected="0">
            <x v="20"/>
          </reference>
          <reference field="4" count="1" selected="0">
            <x v="52"/>
          </reference>
          <reference field="5" count="1">
            <x v="2"/>
          </reference>
        </references>
      </pivotArea>
    </format>
    <format dxfId="902">
      <pivotArea dataOnly="0" labelOnly="1" outline="0" fieldPosition="0">
        <references count="6">
          <reference field="0" count="1" selected="0">
            <x v="52"/>
          </reference>
          <reference field="1" count="1" selected="0">
            <x v="83"/>
          </reference>
          <reference field="2" count="1" selected="0">
            <x v="2"/>
          </reference>
          <reference field="3" count="1" selected="0">
            <x v="7"/>
          </reference>
          <reference field="4" count="1" selected="0">
            <x v="58"/>
          </reference>
          <reference field="5" count="1">
            <x v="1"/>
          </reference>
        </references>
      </pivotArea>
    </format>
    <format dxfId="901">
      <pivotArea dataOnly="0" labelOnly="1" outline="0" fieldPosition="0">
        <references count="6">
          <reference field="0" count="1" selected="0">
            <x v="72"/>
          </reference>
          <reference field="1" count="1" selected="0">
            <x v="5"/>
          </reference>
          <reference field="2" count="1" selected="0">
            <x v="5"/>
          </reference>
          <reference field="3" count="1" selected="0">
            <x v="29"/>
          </reference>
          <reference field="4" count="1" selected="0">
            <x v="72"/>
          </reference>
          <reference field="5" count="1">
            <x v="2"/>
          </reference>
        </references>
      </pivotArea>
    </format>
    <format dxfId="900">
      <pivotArea dataOnly="0" labelOnly="1" outline="0" fieldPosition="0">
        <references count="6">
          <reference field="0" count="1" selected="0">
            <x v="9"/>
          </reference>
          <reference field="1" count="1" selected="0">
            <x v="23"/>
          </reference>
          <reference field="2" count="1" selected="0">
            <x v="1"/>
          </reference>
          <reference field="3" count="1" selected="0">
            <x v="2"/>
          </reference>
          <reference field="4" count="1" selected="0">
            <x v="28"/>
          </reference>
          <reference field="5" count="1">
            <x v="1"/>
          </reference>
        </references>
      </pivotArea>
    </format>
    <format dxfId="899">
      <pivotArea dataOnly="0" labelOnly="1" outline="0" fieldPosition="0">
        <references count="6">
          <reference field="0" count="1" selected="0">
            <x v="96"/>
          </reference>
          <reference field="1" count="1" selected="0">
            <x v="100"/>
          </reference>
          <reference field="2" count="1" selected="0">
            <x v="3"/>
          </reference>
          <reference field="3" count="1" selected="0">
            <x v="10"/>
          </reference>
          <reference field="4" count="1" selected="0">
            <x v="73"/>
          </reference>
          <reference field="5" count="1">
            <x v="2"/>
          </reference>
        </references>
      </pivotArea>
    </format>
    <format dxfId="898">
      <pivotArea dataOnly="0" labelOnly="1" outline="0" fieldPosition="0">
        <references count="6">
          <reference field="0" count="1" selected="0">
            <x v="67"/>
          </reference>
          <reference field="1" count="1" selected="0">
            <x v="64"/>
          </reference>
          <reference field="2" count="1" selected="0">
            <x v="4"/>
          </reference>
          <reference field="3" count="1" selected="0">
            <x v="1"/>
          </reference>
          <reference field="4" count="1" selected="0">
            <x v="43"/>
          </reference>
          <reference field="5" count="1">
            <x v="0"/>
          </reference>
        </references>
      </pivotArea>
    </format>
    <format dxfId="897">
      <pivotArea dataOnly="0" labelOnly="1" outline="0" fieldPosition="0">
        <references count="6">
          <reference field="0" count="1" selected="0">
            <x v="34"/>
          </reference>
          <reference field="1" count="1" selected="0">
            <x v="65"/>
          </reference>
          <reference field="2" count="1" selected="0">
            <x v="5"/>
          </reference>
          <reference field="3" count="1" selected="0">
            <x v="29"/>
          </reference>
          <reference field="4" count="1" selected="0">
            <x v="45"/>
          </reference>
          <reference field="5" count="1">
            <x v="1"/>
          </reference>
        </references>
      </pivotArea>
    </format>
    <format dxfId="896">
      <pivotArea dataOnly="0" labelOnly="1" outline="0" fieldPosition="0">
        <references count="6">
          <reference field="0" count="1" selected="0">
            <x v="69"/>
          </reference>
          <reference field="1" count="1" selected="0">
            <x v="1"/>
          </reference>
          <reference field="2" count="1" selected="0">
            <x v="3"/>
          </reference>
          <reference field="3" count="1" selected="0">
            <x v="32"/>
          </reference>
          <reference field="4" count="1" selected="0">
            <x v="53"/>
          </reference>
          <reference field="5" count="1">
            <x v="2"/>
          </reference>
        </references>
      </pivotArea>
    </format>
    <format dxfId="895">
      <pivotArea dataOnly="0" labelOnly="1" outline="0" fieldPosition="0">
        <references count="6">
          <reference field="0" count="1" selected="0">
            <x v="19"/>
          </reference>
          <reference field="1" count="1" selected="0">
            <x v="39"/>
          </reference>
          <reference field="2" count="1" selected="0">
            <x v="8"/>
          </reference>
          <reference field="3" count="1" selected="0">
            <x v="16"/>
          </reference>
          <reference field="4" count="1" selected="0">
            <x v="15"/>
          </reference>
          <reference field="5" count="1">
            <x v="1"/>
          </reference>
        </references>
      </pivotArea>
    </format>
    <format dxfId="894">
      <pivotArea dataOnly="0" labelOnly="1" outline="0" fieldPosition="0">
        <references count="6">
          <reference field="0" count="1" selected="0">
            <x v="83"/>
          </reference>
          <reference field="1" count="1" selected="0">
            <x v="31"/>
          </reference>
          <reference field="2" count="1" selected="0">
            <x v="8"/>
          </reference>
          <reference field="3" count="1" selected="0">
            <x v="16"/>
          </reference>
          <reference field="4" count="1" selected="0">
            <x v="6"/>
          </reference>
          <reference field="5" count="1">
            <x v="2"/>
          </reference>
        </references>
      </pivotArea>
    </format>
    <format dxfId="893">
      <pivotArea dataOnly="0" labelOnly="1" outline="0" fieldPosition="0">
        <references count="6">
          <reference field="0" count="1" selected="0">
            <x v="8"/>
          </reference>
          <reference field="1" count="1" selected="0">
            <x v="21"/>
          </reference>
          <reference field="2" count="1" selected="0">
            <x v="2"/>
          </reference>
          <reference field="3" count="1" selected="0">
            <x v="6"/>
          </reference>
          <reference field="4" count="1" selected="0">
            <x v="27"/>
          </reference>
          <reference field="5" count="1">
            <x v="1"/>
          </reference>
        </references>
      </pivotArea>
    </format>
    <format dxfId="892">
      <pivotArea dataOnly="0" labelOnly="1" outline="0" fieldPosition="0">
        <references count="6">
          <reference field="0" count="1" selected="0">
            <x v="68"/>
          </reference>
          <reference field="1" count="1" selected="0">
            <x v="0"/>
          </reference>
          <reference field="2" count="1" selected="0">
            <x v="3"/>
          </reference>
          <reference field="3" count="1" selected="0">
            <x v="28"/>
          </reference>
          <reference field="4" count="1" selected="0">
            <x v="23"/>
          </reference>
          <reference field="5" count="1">
            <x v="2"/>
          </reference>
        </references>
      </pivotArea>
    </format>
    <format dxfId="891">
      <pivotArea dataOnly="0" labelOnly="1" outline="0" fieldPosition="0">
        <references count="6">
          <reference field="0" count="1" selected="0">
            <x v="35"/>
          </reference>
          <reference field="1" count="1" selected="0">
            <x v="66"/>
          </reference>
          <reference field="2" count="1" selected="0">
            <x v="5"/>
          </reference>
          <reference field="3" count="1" selected="0">
            <x v="29"/>
          </reference>
          <reference field="4" count="1" selected="0">
            <x v="29"/>
          </reference>
          <reference field="5" count="1">
            <x v="1"/>
          </reference>
        </references>
      </pivotArea>
    </format>
    <format dxfId="890">
      <pivotArea dataOnly="0" labelOnly="1" outline="0" fieldPosition="0">
        <references count="6">
          <reference field="0" count="1" selected="0">
            <x v="73"/>
          </reference>
          <reference field="1" count="1" selected="0">
            <x v="6"/>
          </reference>
          <reference field="2" count="1" selected="0">
            <x v="2"/>
          </reference>
          <reference field="3" count="1" selected="0">
            <x v="9"/>
          </reference>
          <reference field="4" count="1" selected="0">
            <x v="17"/>
          </reference>
          <reference field="5" count="1">
            <x v="2"/>
          </reference>
        </references>
      </pivotArea>
    </format>
    <format dxfId="889">
      <pivotArea dataOnly="0" labelOnly="1" outline="0" fieldPosition="0">
        <references count="6">
          <reference field="0" count="1" selected="0">
            <x v="48"/>
          </reference>
          <reference field="1" count="1" selected="0">
            <x v="79"/>
          </reference>
          <reference field="2" count="1" selected="0">
            <x v="2"/>
          </reference>
          <reference field="3" count="1" selected="0">
            <x v="7"/>
          </reference>
          <reference field="4" count="1" selected="0">
            <x v="54"/>
          </reference>
          <reference field="5" count="1">
            <x v="1"/>
          </reference>
        </references>
      </pivotArea>
    </format>
    <format dxfId="888">
      <pivotArea dataOnly="0" labelOnly="1" outline="0" fieldPosition="0">
        <references count="6">
          <reference field="0" count="1" selected="0">
            <x v="99"/>
          </reference>
          <reference field="1" count="1" selected="0">
            <x v="85"/>
          </reference>
          <reference field="2" count="1" selected="0">
            <x v="4"/>
          </reference>
          <reference field="3" count="1" selected="0">
            <x v="40"/>
          </reference>
          <reference field="4" count="1" selected="0">
            <x v="0"/>
          </reference>
          <reference field="5" count="1">
            <x v="3"/>
          </reference>
        </references>
      </pivotArea>
    </format>
    <format dxfId="887">
      <pivotArea dataOnly="0" labelOnly="1" outline="0" fieldPosition="0">
        <references count="6">
          <reference field="0" count="1" selected="0">
            <x v="79"/>
          </reference>
          <reference field="1" count="1" selected="0">
            <x v="22"/>
          </reference>
          <reference field="2" count="1" selected="0">
            <x v="8"/>
          </reference>
          <reference field="3" count="1" selected="0">
            <x v="44"/>
          </reference>
          <reference field="4" count="1" selected="0">
            <x v="14"/>
          </reference>
          <reference field="5" count="1">
            <x v="2"/>
          </reference>
        </references>
      </pivotArea>
    </format>
    <format dxfId="886">
      <pivotArea dataOnly="0" labelOnly="1" outline="0" fieldPosition="0">
        <references count="6">
          <reference field="0" count="1" selected="0">
            <x v="24"/>
          </reference>
          <reference field="1" count="1" selected="0">
            <x v="51"/>
          </reference>
          <reference field="2" count="1" selected="0">
            <x v="3"/>
          </reference>
          <reference field="3" count="1" selected="0">
            <x v="24"/>
          </reference>
          <reference field="4" count="1" selected="0">
            <x v="55"/>
          </reference>
          <reference field="5" count="1">
            <x v="1"/>
          </reference>
        </references>
      </pivotArea>
    </format>
    <format dxfId="885">
      <pivotArea dataOnly="0" labelOnly="1" outline="0" fieldPosition="0">
        <references count="6">
          <reference field="0" count="1" selected="0">
            <x v="85"/>
          </reference>
          <reference field="1" count="1" selected="0">
            <x v="33"/>
          </reference>
          <reference field="2" count="1" selected="0">
            <x v="4"/>
          </reference>
          <reference field="3" count="1" selected="0">
            <x v="1"/>
          </reference>
          <reference field="4" count="1" selected="0">
            <x v="56"/>
          </reference>
          <reference field="5" count="1">
            <x v="2"/>
          </reference>
        </references>
      </pivotArea>
    </format>
    <format dxfId="884">
      <pivotArea dataOnly="0" labelOnly="1" outline="0" fieldPosition="0">
        <references count="6">
          <reference field="0" count="1" selected="0">
            <x v="13"/>
          </reference>
          <reference field="1" count="1" selected="0">
            <x v="30"/>
          </reference>
          <reference field="2" count="1" selected="0">
            <x v="7"/>
          </reference>
          <reference field="3" count="1" selected="0">
            <x v="11"/>
          </reference>
          <reference field="4" count="1" selected="0">
            <x v="20"/>
          </reference>
          <reference field="5" count="1">
            <x v="1"/>
          </reference>
        </references>
      </pivotArea>
    </format>
    <format dxfId="883">
      <pivotArea dataOnly="0" labelOnly="1" outline="0" fieldPosition="0">
        <references count="6">
          <reference field="0" count="1" selected="0">
            <x v="100"/>
          </reference>
          <reference field="1" count="1" selected="0">
            <x v="61"/>
          </reference>
          <reference field="2" count="1" selected="0">
            <x v="0"/>
          </reference>
          <reference field="3" count="1" selected="0">
            <x v="0"/>
          </reference>
          <reference field="4" count="1" selected="0">
            <x v="0"/>
          </reference>
          <reference field="5" count="1">
            <x v="3"/>
          </reference>
        </references>
      </pivotArea>
    </format>
    <format dxfId="882">
      <pivotArea dataOnly="0" labelOnly="1" outline="0" fieldPosition="0">
        <references count="6">
          <reference field="0" count="1" selected="0">
            <x v="18"/>
          </reference>
          <reference field="1" count="1" selected="0">
            <x v="38"/>
          </reference>
          <reference field="2" count="1" selected="0">
            <x v="3"/>
          </reference>
          <reference field="3" count="1" selected="0">
            <x v="15"/>
          </reference>
          <reference field="4" count="1" selected="0">
            <x v="24"/>
          </reference>
          <reference field="5" count="1">
            <x v="1"/>
          </reference>
        </references>
      </pivotArea>
    </format>
    <format dxfId="881">
      <pivotArea dataOnly="0" labelOnly="1" outline="0" fieldPosition="0">
        <references count="6">
          <reference field="0" count="1" selected="0">
            <x v="98"/>
          </reference>
          <reference field="1" count="1" selected="0">
            <x v="52"/>
          </reference>
          <reference field="2" count="1" selected="0">
            <x v="4"/>
          </reference>
          <reference field="3" count="1" selected="0">
            <x v="25"/>
          </reference>
          <reference field="4" count="1" selected="0">
            <x v="0"/>
          </reference>
          <reference field="5" count="1">
            <x v="3"/>
          </reference>
        </references>
      </pivotArea>
    </format>
    <format dxfId="880">
      <pivotArea dataOnly="0" labelOnly="1" outline="0" fieldPosition="0">
        <references count="6">
          <reference field="0" count="1" selected="0">
            <x v="45"/>
          </reference>
          <reference field="1" count="1" selected="0">
            <x v="70"/>
          </reference>
          <reference field="2" count="1" selected="0">
            <x v="3"/>
          </reference>
          <reference field="3" count="1" selected="0">
            <x v="32"/>
          </reference>
          <reference field="4" count="1" selected="0">
            <x v="46"/>
          </reference>
          <reference field="5" count="1">
            <x v="1"/>
          </reference>
        </references>
      </pivotArea>
    </format>
    <format dxfId="879">
      <pivotArea dataOnly="0" labelOnly="1" outline="0" fieldPosition="0">
        <references count="6">
          <reference field="0" count="1" selected="0">
            <x v="97"/>
          </reference>
          <reference field="1" count="1" selected="0">
            <x v="50"/>
          </reference>
          <reference field="2" count="1" selected="0">
            <x v="2"/>
          </reference>
          <reference field="3" count="1" selected="0">
            <x v="23"/>
          </reference>
          <reference field="4" count="1" selected="0">
            <x v="0"/>
          </reference>
          <reference field="5" count="1">
            <x v="3"/>
          </reference>
        </references>
      </pivotArea>
    </format>
    <format dxfId="878">
      <pivotArea dataOnly="0" labelOnly="1" outline="0" fieldPosition="0">
        <references count="6">
          <reference field="0" count="1" selected="0">
            <x v="53"/>
          </reference>
          <reference field="1" count="1" selected="0">
            <x v="84"/>
          </reference>
          <reference field="2" count="1" selected="0">
            <x v="6"/>
          </reference>
          <reference field="3" count="1" selected="0">
            <x v="30"/>
          </reference>
          <reference field="4" count="1" selected="0">
            <x v="59"/>
          </reference>
          <reference field="5" count="1">
            <x v="1"/>
          </reference>
        </references>
      </pivotArea>
    </format>
    <format dxfId="877">
      <pivotArea field="4" type="button" dataOnly="0" labelOnly="1" outline="0" axis="axisRow" fieldPosition="4"/>
    </format>
    <format dxfId="876">
      <pivotArea dataOnly="0" labelOnly="1" outline="0" fieldPosition="0">
        <references count="5">
          <reference field="0" count="1" selected="0">
            <x v="26"/>
          </reference>
          <reference field="1" count="1" selected="0">
            <x v="56"/>
          </reference>
          <reference field="2" count="1" selected="0">
            <x v="2"/>
          </reference>
          <reference field="3" count="1" selected="0">
            <x v="7"/>
          </reference>
          <reference field="4" count="1">
            <x v="41"/>
          </reference>
        </references>
      </pivotArea>
    </format>
    <format dxfId="875">
      <pivotArea dataOnly="0" labelOnly="1" outline="0" fieldPosition="0">
        <references count="5">
          <reference field="0" count="1" selected="0">
            <x v="51"/>
          </reference>
          <reference field="1" count="1" selected="0">
            <x v="82"/>
          </reference>
          <reference field="2" count="1" selected="0">
            <x v="2"/>
          </reference>
          <reference field="3" count="1" selected="0">
            <x v="8"/>
          </reference>
          <reference field="4" count="1">
            <x v="70"/>
          </reference>
        </references>
      </pivotArea>
    </format>
    <format dxfId="874">
      <pivotArea dataOnly="0" labelOnly="1" outline="0" fieldPosition="0">
        <references count="5">
          <reference field="0" count="1" selected="0">
            <x v="65"/>
          </reference>
          <reference field="1" count="1" selected="0">
            <x v="12"/>
          </reference>
          <reference field="2" count="1" selected="0">
            <x v="3"/>
          </reference>
          <reference field="3" count="1" selected="0">
            <x v="31"/>
          </reference>
          <reference field="4" count="1">
            <x v="4"/>
          </reference>
        </references>
      </pivotArea>
    </format>
    <format dxfId="873">
      <pivotArea dataOnly="0" labelOnly="1" outline="0" fieldPosition="0">
        <references count="5">
          <reference field="0" count="1" selected="0">
            <x v="41"/>
          </reference>
          <reference field="1" count="1" selected="0">
            <x v="73"/>
          </reference>
          <reference field="2" count="1" selected="0">
            <x v="3"/>
          </reference>
          <reference field="3" count="1" selected="0">
            <x v="10"/>
          </reference>
          <reference field="4" count="1">
            <x v="48"/>
          </reference>
        </references>
      </pivotArea>
    </format>
    <format dxfId="872">
      <pivotArea dataOnly="0" labelOnly="1" outline="0" fieldPosition="0">
        <references count="5">
          <reference field="0" count="1" selected="0">
            <x v="17"/>
          </reference>
          <reference field="1" count="1" selected="0">
            <x v="37"/>
          </reference>
          <reference field="2" count="1" selected="0">
            <x v="3"/>
          </reference>
          <reference field="3" count="1" selected="0">
            <x v="15"/>
          </reference>
          <reference field="4" count="1">
            <x v="35"/>
          </reference>
        </references>
      </pivotArea>
    </format>
    <format dxfId="871">
      <pivotArea dataOnly="0" labelOnly="1" outline="0" fieldPosition="0">
        <references count="5">
          <reference field="0" count="1" selected="0">
            <x v="29"/>
          </reference>
          <reference field="1" count="1" selected="0">
            <x v="59"/>
          </reference>
          <reference field="2" count="1" selected="0">
            <x v="2"/>
          </reference>
          <reference field="3" count="1" selected="0">
            <x v="8"/>
          </reference>
          <reference field="4" count="1">
            <x v="42"/>
          </reference>
        </references>
      </pivotArea>
    </format>
    <format dxfId="870">
      <pivotArea dataOnly="0" labelOnly="1" outline="0" fieldPosition="0">
        <references count="5">
          <reference field="0" count="1" selected="0">
            <x v="36"/>
          </reference>
          <reference field="1" count="1" selected="0">
            <x v="67"/>
          </reference>
          <reference field="2" count="1" selected="0">
            <x v="2"/>
          </reference>
          <reference field="3" count="1" selected="0">
            <x v="8"/>
          </reference>
          <reference field="4" count="1">
            <x v="70"/>
          </reference>
        </references>
      </pivotArea>
    </format>
    <format dxfId="869">
      <pivotArea dataOnly="0" labelOnly="1" outline="0" fieldPosition="0">
        <references count="5">
          <reference field="0" count="1" selected="0">
            <x v="32"/>
          </reference>
          <reference field="1" count="1" selected="0">
            <x v="93"/>
          </reference>
          <reference field="2" count="1" selected="0">
            <x v="2"/>
          </reference>
          <reference field="3" count="1" selected="0">
            <x v="8"/>
          </reference>
          <reference field="4" count="1">
            <x v="42"/>
          </reference>
        </references>
      </pivotArea>
    </format>
    <format dxfId="868">
      <pivotArea dataOnly="0" labelOnly="1" outline="0" fieldPosition="0">
        <references count="5">
          <reference field="0" count="1" selected="0">
            <x v="2"/>
          </reference>
          <reference field="1" count="1" selected="0">
            <x v="10"/>
          </reference>
          <reference field="2" count="1" selected="0">
            <x v="2"/>
          </reference>
          <reference field="3" count="1" selected="0">
            <x v="7"/>
          </reference>
          <reference field="4" count="1">
            <x v="3"/>
          </reference>
        </references>
      </pivotArea>
    </format>
    <format dxfId="867">
      <pivotArea dataOnly="0" labelOnly="1" outline="0" fieldPosition="0">
        <references count="5">
          <reference field="0" count="1" selected="0">
            <x v="15"/>
          </reference>
          <reference field="1" count="1" selected="0">
            <x v="35"/>
          </reference>
          <reference field="2" count="1" selected="0">
            <x v="2"/>
          </reference>
          <reference field="3" count="1" selected="0">
            <x v="13"/>
          </reference>
          <reference field="4" count="1">
            <x v="68"/>
          </reference>
        </references>
      </pivotArea>
    </format>
    <format dxfId="866">
      <pivotArea dataOnly="0" labelOnly="1" outline="0" fieldPosition="0">
        <references count="5">
          <reference field="0" count="1" selected="0">
            <x v="12"/>
          </reference>
          <reference field="1" count="1" selected="0">
            <x v="29"/>
          </reference>
          <reference field="2" count="1" selected="0">
            <x v="3"/>
          </reference>
          <reference field="3" count="1" selected="0">
            <x v="10"/>
          </reference>
          <reference field="4" count="1">
            <x v="33"/>
          </reference>
        </references>
      </pivotArea>
    </format>
    <format dxfId="865">
      <pivotArea dataOnly="0" labelOnly="1" outline="0" fieldPosition="0">
        <references count="5">
          <reference field="0" count="1" selected="0">
            <x v="37"/>
          </reference>
          <reference field="1" count="1" selected="0">
            <x v="68"/>
          </reference>
          <reference field="2" count="1" selected="0">
            <x v="3"/>
          </reference>
          <reference field="3" count="1" selected="0">
            <x v="31"/>
          </reference>
          <reference field="4" count="1">
            <x v="7"/>
          </reference>
        </references>
      </pivotArea>
    </format>
    <format dxfId="864">
      <pivotArea dataOnly="0" labelOnly="1" outline="0" fieldPosition="0">
        <references count="5">
          <reference field="0" count="1" selected="0">
            <x v="57"/>
          </reference>
          <reference field="1" count="1" selected="0">
            <x v="89"/>
          </reference>
          <reference field="2" count="1" selected="0">
            <x v="8"/>
          </reference>
          <reference field="3" count="1" selected="0">
            <x v="27"/>
          </reference>
          <reference field="4" count="1">
            <x v="44"/>
          </reference>
        </references>
      </pivotArea>
    </format>
    <format dxfId="863">
      <pivotArea dataOnly="0" labelOnly="1" outline="0" fieldPosition="0">
        <references count="5">
          <reference field="0" count="1" selected="0">
            <x v="59"/>
          </reference>
          <reference field="1" count="1" selected="0">
            <x v="92"/>
          </reference>
          <reference field="2" count="1" selected="0">
            <x v="2"/>
          </reference>
          <reference field="3" count="1" selected="0">
            <x v="7"/>
          </reference>
          <reference field="4" count="1">
            <x v="67"/>
          </reference>
        </references>
      </pivotArea>
    </format>
    <format dxfId="862">
      <pivotArea dataOnly="0" labelOnly="1" outline="0" fieldPosition="0">
        <references count="5">
          <reference field="0" count="1" selected="0">
            <x v="66"/>
          </reference>
          <reference field="1" count="1" selected="0">
            <x v="49"/>
          </reference>
          <reference field="2" count="1" selected="0">
            <x v="4"/>
          </reference>
          <reference field="3" count="1" selected="0">
            <x v="22"/>
          </reference>
          <reference field="4" count="1">
            <x v="10"/>
          </reference>
        </references>
      </pivotArea>
    </format>
    <format dxfId="861">
      <pivotArea dataOnly="0" labelOnly="1" outline="0" fieldPosition="0">
        <references count="5">
          <reference field="0" count="1" selected="0">
            <x v="33"/>
          </reference>
          <reference field="1" count="1" selected="0">
            <x v="63"/>
          </reference>
          <reference field="2" count="1" selected="0">
            <x v="4"/>
          </reference>
          <reference field="3" count="1" selected="0">
            <x v="1"/>
          </reference>
          <reference field="4" count="1">
            <x v="43"/>
          </reference>
        </references>
      </pivotArea>
    </format>
    <format dxfId="860">
      <pivotArea dataOnly="0" labelOnly="1" outline="0" fieldPosition="0">
        <references count="5">
          <reference field="0" count="1" selected="0">
            <x v="82"/>
          </reference>
          <reference field="1" count="1" selected="0">
            <x v="27"/>
          </reference>
          <reference field="2" count="1" selected="0">
            <x v="2"/>
          </reference>
          <reference field="3" count="1" selected="0">
            <x v="9"/>
          </reference>
          <reference field="4" count="1">
            <x v="40"/>
          </reference>
        </references>
      </pivotArea>
    </format>
    <format dxfId="859">
      <pivotArea dataOnly="0" labelOnly="1" outline="0" fieldPosition="0">
        <references count="5">
          <reference field="0" count="1" selected="0">
            <x v="88"/>
          </reference>
          <reference field="1" count="1" selected="0">
            <x v="43"/>
          </reference>
          <reference field="2" count="1" selected="0">
            <x v="2"/>
          </reference>
          <reference field="3" count="1" selected="0">
            <x v="7"/>
          </reference>
          <reference field="4" count="1">
            <x v="3"/>
          </reference>
        </references>
      </pivotArea>
    </format>
    <format dxfId="858">
      <pivotArea dataOnly="0" labelOnly="1" outline="0" fieldPosition="0">
        <references count="5">
          <reference field="0" count="1" selected="0">
            <x v="6"/>
          </reference>
          <reference field="1" count="1" selected="0">
            <x v="19"/>
          </reference>
          <reference field="2" count="1" selected="0">
            <x v="6"/>
          </reference>
          <reference field="3" count="1" selected="0">
            <x v="4"/>
          </reference>
          <reference field="4" count="1">
            <x v="61"/>
          </reference>
        </references>
      </pivotArea>
    </format>
    <format dxfId="857">
      <pivotArea dataOnly="0" labelOnly="1" outline="0" fieldPosition="0">
        <references count="5">
          <reference field="0" count="1" selected="0">
            <x v="74"/>
          </reference>
          <reference field="1" count="1" selected="0">
            <x v="8"/>
          </reference>
          <reference field="2" count="1" selected="0">
            <x v="3"/>
          </reference>
          <reference field="3" count="1" selected="0">
            <x v="31"/>
          </reference>
          <reference field="4" count="1">
            <x v="69"/>
          </reference>
        </references>
      </pivotArea>
    </format>
    <format dxfId="856">
      <pivotArea dataOnly="0" labelOnly="1" outline="0" fieldPosition="0">
        <references count="5">
          <reference field="0" count="1" selected="0">
            <x v="84"/>
          </reference>
          <reference field="1" count="1" selected="0">
            <x v="32"/>
          </reference>
          <reference field="2" count="1" selected="0">
            <x v="3"/>
          </reference>
          <reference field="3" count="1" selected="0">
            <x v="10"/>
          </reference>
          <reference field="4" count="1">
            <x v="33"/>
          </reference>
        </references>
      </pivotArea>
    </format>
    <format dxfId="855">
      <pivotArea dataOnly="0" labelOnly="1" outline="0" fieldPosition="0">
        <references count="5">
          <reference field="0" count="1" selected="0">
            <x v="92"/>
          </reference>
          <reference field="1" count="1" selected="0">
            <x v="55"/>
          </reference>
          <reference field="2" count="1" selected="0">
            <x v="3"/>
          </reference>
          <reference field="3" count="1" selected="0">
            <x v="31"/>
          </reference>
          <reference field="4" count="1">
            <x v="69"/>
          </reference>
        </references>
      </pivotArea>
    </format>
    <format dxfId="854">
      <pivotArea dataOnly="0" labelOnly="1" outline="0" fieldPosition="0">
        <references count="5">
          <reference field="0" count="1" selected="0">
            <x v="20"/>
          </reference>
          <reference field="1" count="1" selected="0">
            <x v="42"/>
          </reference>
          <reference field="2" count="1" selected="0">
            <x v="5"/>
          </reference>
          <reference field="3" count="1" selected="0">
            <x v="17"/>
          </reference>
          <reference field="4" count="1">
            <x v="31"/>
          </reference>
        </references>
      </pivotArea>
    </format>
    <format dxfId="853">
      <pivotArea dataOnly="0" labelOnly="1" outline="0" fieldPosition="0">
        <references count="5">
          <reference field="0" count="1" selected="0">
            <x v="80"/>
          </reference>
          <reference field="1" count="1" selected="0">
            <x v="24"/>
          </reference>
          <reference field="2" count="1" selected="0">
            <x v="3"/>
          </reference>
          <reference field="3" count="1" selected="0">
            <x v="31"/>
          </reference>
          <reference field="4" count="1">
            <x v="57"/>
          </reference>
        </references>
      </pivotArea>
    </format>
    <format dxfId="852">
      <pivotArea dataOnly="0" labelOnly="1" outline="0" fieldPosition="0">
        <references count="5">
          <reference field="0" count="1" selected="0">
            <x v="91"/>
          </reference>
          <reference field="1" count="1" selected="0">
            <x v="54"/>
          </reference>
          <reference field="2" count="1" selected="0">
            <x v="3"/>
          </reference>
          <reference field="3" count="1" selected="0">
            <x v="31"/>
          </reference>
          <reference field="4" count="1">
            <x v="69"/>
          </reference>
        </references>
      </pivotArea>
    </format>
    <format dxfId="851">
      <pivotArea dataOnly="0" labelOnly="1" outline="0" fieldPosition="0">
        <references count="5">
          <reference field="0" count="1" selected="0">
            <x v="78"/>
          </reference>
          <reference field="1" count="1" selected="0">
            <x v="17"/>
          </reference>
          <reference field="2" count="1" selected="0">
            <x v="3"/>
          </reference>
          <reference field="3" count="1" selected="0">
            <x v="14"/>
          </reference>
          <reference field="4" count="1">
            <x v="34"/>
          </reference>
        </references>
      </pivotArea>
    </format>
    <format dxfId="850">
      <pivotArea dataOnly="0" labelOnly="1" outline="0" fieldPosition="0">
        <references count="5">
          <reference field="0" count="1" selected="0">
            <x v="11"/>
          </reference>
          <reference field="1" count="1" selected="0">
            <x v="28"/>
          </reference>
          <reference field="2" count="1" selected="0">
            <x v="3"/>
          </reference>
          <reference field="3" count="1" selected="0">
            <x v="10"/>
          </reference>
          <reference field="4" count="1">
            <x v="21"/>
          </reference>
        </references>
      </pivotArea>
    </format>
    <format dxfId="849">
      <pivotArea dataOnly="0" labelOnly="1" outline="0" fieldPosition="0">
        <references count="5">
          <reference field="0" count="1" selected="0">
            <x v="89"/>
          </reference>
          <reference field="1" count="1" selected="0">
            <x v="44"/>
          </reference>
          <reference field="2" count="1" selected="0">
            <x v="2"/>
          </reference>
          <reference field="3" count="1" selected="0">
            <x v="7"/>
          </reference>
          <reference field="4" count="1">
            <x v="13"/>
          </reference>
        </references>
      </pivotArea>
    </format>
    <format dxfId="848">
      <pivotArea dataOnly="0" labelOnly="1" outline="0" fieldPosition="0">
        <references count="5">
          <reference field="0" count="1" selected="0">
            <x v="70"/>
          </reference>
          <reference field="1" count="1" selected="0">
            <x v="2"/>
          </reference>
          <reference field="2" count="1" selected="0">
            <x v="3"/>
          </reference>
          <reference field="3" count="1" selected="0">
            <x v="28"/>
          </reference>
          <reference field="4" count="1">
            <x v="23"/>
          </reference>
        </references>
      </pivotArea>
    </format>
    <format dxfId="847">
      <pivotArea dataOnly="0" labelOnly="1" outline="0" fieldPosition="0">
        <references count="5">
          <reference field="0" count="1" selected="0">
            <x v="86"/>
          </reference>
          <reference field="1" count="1" selected="0">
            <x v="40"/>
          </reference>
          <reference field="2" count="1" selected="0">
            <x v="5"/>
          </reference>
          <reference field="3" count="1" selected="0">
            <x v="29"/>
          </reference>
          <reference field="4" count="1">
            <x v="72"/>
          </reference>
        </references>
      </pivotArea>
    </format>
    <format dxfId="846">
      <pivotArea dataOnly="0" labelOnly="1" outline="0" fieldPosition="0">
        <references count="5">
          <reference field="0" count="1" selected="0">
            <x v="81"/>
          </reference>
          <reference field="1" count="1" selected="0">
            <x v="25"/>
          </reference>
          <reference field="2" count="1" selected="0">
            <x v="3"/>
          </reference>
          <reference field="3" count="1" selected="0">
            <x v="10"/>
          </reference>
          <reference field="4" count="1">
            <x v="19"/>
          </reference>
        </references>
      </pivotArea>
    </format>
    <format dxfId="845">
      <pivotArea dataOnly="0" labelOnly="1" outline="0" fieldPosition="0">
        <references count="5">
          <reference field="0" count="1" selected="0">
            <x v="62"/>
          </reference>
          <reference field="1" count="1" selected="0">
            <x v="98"/>
          </reference>
          <reference field="2" count="1" selected="0">
            <x v="8"/>
          </reference>
          <reference field="3" count="1" selected="0">
            <x v="45"/>
          </reference>
          <reference field="4" count="1">
            <x v="26"/>
          </reference>
        </references>
      </pivotArea>
    </format>
    <format dxfId="844">
      <pivotArea dataOnly="0" labelOnly="1" outline="0" fieldPosition="0">
        <references count="5">
          <reference field="0" count="1" selected="0">
            <x v="94"/>
          </reference>
          <reference field="1" count="1" selected="0">
            <x v="94"/>
          </reference>
          <reference field="2" count="1" selected="0">
            <x v="3"/>
          </reference>
          <reference field="3" count="1" selected="0">
            <x v="31"/>
          </reference>
          <reference field="4" count="1">
            <x v="69"/>
          </reference>
        </references>
      </pivotArea>
    </format>
    <format dxfId="843">
      <pivotArea dataOnly="0" labelOnly="1" outline="0" fieldPosition="0">
        <references count="5">
          <reference field="0" count="1" selected="0">
            <x v="25"/>
          </reference>
          <reference field="1" count="1" selected="0">
            <x v="53"/>
          </reference>
          <reference field="2" count="1" selected="0">
            <x v="3"/>
          </reference>
          <reference field="3" count="1" selected="0">
            <x v="26"/>
          </reference>
          <reference field="4" count="1">
            <x v="64"/>
          </reference>
        </references>
      </pivotArea>
    </format>
    <format dxfId="842">
      <pivotArea dataOnly="0" labelOnly="1" outline="0" fieldPosition="0">
        <references count="5">
          <reference field="0" count="1" selected="0">
            <x v="63"/>
          </reference>
          <reference field="1" count="1" selected="0">
            <x v="99"/>
          </reference>
          <reference field="2" count="1" selected="0">
            <x v="3"/>
          </reference>
          <reference field="3" count="1" selected="0">
            <x v="46"/>
          </reference>
          <reference field="4" count="1">
            <x v="12"/>
          </reference>
        </references>
      </pivotArea>
    </format>
    <format dxfId="841">
      <pivotArea dataOnly="0" labelOnly="1" outline="0" fieldPosition="0">
        <references count="5">
          <reference field="0" count="1" selected="0">
            <x v="27"/>
          </reference>
          <reference field="1" count="1" selected="0">
            <x v="57"/>
          </reference>
          <reference field="2" count="1" selected="0">
            <x v="2"/>
          </reference>
          <reference field="3" count="1" selected="0">
            <x v="8"/>
          </reference>
          <reference field="4" count="1">
            <x v="42"/>
          </reference>
        </references>
      </pivotArea>
    </format>
    <format dxfId="840">
      <pivotArea dataOnly="0" labelOnly="1" outline="0" fieldPosition="0">
        <references count="5">
          <reference field="0" count="1" selected="0">
            <x v="87"/>
          </reference>
          <reference field="1" count="1" selected="0">
            <x v="41"/>
          </reference>
          <reference field="2" count="1" selected="0">
            <x v="3"/>
          </reference>
          <reference field="3" count="1" selected="0">
            <x v="28"/>
          </reference>
          <reference field="4" count="1">
            <x v="23"/>
          </reference>
        </references>
      </pivotArea>
    </format>
    <format dxfId="839">
      <pivotArea dataOnly="0" labelOnly="1" outline="0" fieldPosition="0">
        <references count="5">
          <reference field="0" count="1" selected="0">
            <x v="0"/>
          </reference>
          <reference field="1" count="1" selected="0">
            <x v="4"/>
          </reference>
          <reference field="2" count="1" selected="0">
            <x v="1"/>
          </reference>
          <reference field="3" count="1" selected="0">
            <x v="2"/>
          </reference>
          <reference field="4" count="1">
            <x v="2"/>
          </reference>
        </references>
      </pivotArea>
    </format>
    <format dxfId="838">
      <pivotArea dataOnly="0" labelOnly="1" outline="0" fieldPosition="0">
        <references count="5">
          <reference field="0" count="1" selected="0">
            <x v="7"/>
          </reference>
          <reference field="1" count="1" selected="0">
            <x v="20"/>
          </reference>
          <reference field="2" count="1" selected="0">
            <x v="2"/>
          </reference>
          <reference field="3" count="1" selected="0">
            <x v="6"/>
          </reference>
          <reference field="4" count="1">
            <x v="39"/>
          </reference>
        </references>
      </pivotArea>
    </format>
    <format dxfId="837">
      <pivotArea dataOnly="0" labelOnly="1" outline="0" fieldPosition="0">
        <references count="5">
          <reference field="0" count="1" selected="0">
            <x v="42"/>
          </reference>
          <reference field="1" count="1" selected="0">
            <x v="74"/>
          </reference>
          <reference field="2" count="1" selected="0">
            <x v="5"/>
          </reference>
          <reference field="3" count="1" selected="0">
            <x v="34"/>
          </reference>
          <reference field="4" count="1">
            <x v="49"/>
          </reference>
        </references>
      </pivotArea>
    </format>
    <format dxfId="836">
      <pivotArea dataOnly="0" labelOnly="1" outline="0" fieldPosition="0">
        <references count="5">
          <reference field="0" count="1" selected="0">
            <x v="55"/>
          </reference>
          <reference field="1" count="1" selected="0">
            <x v="87"/>
          </reference>
          <reference field="2" count="1" selected="0">
            <x v="3"/>
          </reference>
          <reference field="3" count="1" selected="0">
            <x v="41"/>
          </reference>
          <reference field="4" count="1">
            <x v="30"/>
          </reference>
        </references>
      </pivotArea>
    </format>
    <format dxfId="835">
      <pivotArea dataOnly="0" labelOnly="1" outline="0" fieldPosition="0">
        <references count="5">
          <reference field="0" count="1" selected="0">
            <x v="43"/>
          </reference>
          <reference field="1" count="1" selected="0">
            <x v="75"/>
          </reference>
          <reference field="2" count="1" selected="0">
            <x v="7"/>
          </reference>
          <reference field="3" count="1" selected="0">
            <x v="35"/>
          </reference>
          <reference field="4" count="1">
            <x v="50"/>
          </reference>
        </references>
      </pivotArea>
    </format>
    <format dxfId="834">
      <pivotArea dataOnly="0" labelOnly="1" outline="0" fieldPosition="0">
        <references count="5">
          <reference field="0" count="1" selected="0">
            <x v="47"/>
          </reference>
          <reference field="1" count="1" selected="0">
            <x v="78"/>
          </reference>
          <reference field="2" count="1" selected="0">
            <x v="7"/>
          </reference>
          <reference field="3" count="1" selected="0">
            <x v="38"/>
          </reference>
          <reference field="4" count="1">
            <x v="18"/>
          </reference>
        </references>
      </pivotArea>
    </format>
    <format dxfId="833">
      <pivotArea dataOnly="0" labelOnly="1" outline="0" fieldPosition="0">
        <references count="5">
          <reference field="0" count="1" selected="0">
            <x v="39"/>
          </reference>
          <reference field="1" count="1" selected="0">
            <x v="71"/>
          </reference>
          <reference field="2" count="1" selected="0">
            <x v="6"/>
          </reference>
          <reference field="3" count="1" selected="0">
            <x v="33"/>
          </reference>
          <reference field="4" count="1">
            <x v="37"/>
          </reference>
        </references>
      </pivotArea>
    </format>
    <format dxfId="832">
      <pivotArea dataOnly="0" labelOnly="1" outline="0" fieldPosition="0">
        <references count="5">
          <reference field="0" count="1" selected="0">
            <x v="5"/>
          </reference>
          <reference field="1" count="1" selected="0">
            <x v="18"/>
          </reference>
          <reference field="2" count="1" selected="0">
            <x v="1"/>
          </reference>
          <reference field="3" count="1" selected="0">
            <x v="3"/>
          </reference>
          <reference field="4" count="1">
            <x v="11"/>
          </reference>
        </references>
      </pivotArea>
    </format>
    <format dxfId="831">
      <pivotArea dataOnly="0" labelOnly="1" outline="0" fieldPosition="0">
        <references count="5">
          <reference field="0" count="1" selected="0">
            <x v="76"/>
          </reference>
          <reference field="1" count="1" selected="0">
            <x v="14"/>
          </reference>
          <reference field="2" count="1" selected="0">
            <x v="3"/>
          </reference>
          <reference field="3" count="1" selected="0">
            <x v="10"/>
          </reference>
          <reference field="4" count="1">
            <x v="60"/>
          </reference>
        </references>
      </pivotArea>
    </format>
    <format dxfId="830">
      <pivotArea dataOnly="0" labelOnly="1" outline="0" fieldPosition="0">
        <references count="5">
          <reference field="0" count="1" selected="0">
            <x v="93"/>
          </reference>
          <reference field="1" count="1" selected="0">
            <x v="91"/>
          </reference>
          <reference field="2" count="1" selected="0">
            <x v="6"/>
          </reference>
          <reference field="3" count="1" selected="0">
            <x v="43"/>
          </reference>
          <reference field="4" count="1">
            <x v="66"/>
          </reference>
        </references>
      </pivotArea>
    </format>
    <format dxfId="829">
      <pivotArea dataOnly="0" labelOnly="1" outline="0" fieldPosition="0">
        <references count="5">
          <reference field="0" count="1" selected="0">
            <x v="3"/>
          </reference>
          <reference field="1" count="1" selected="0">
            <x v="13"/>
          </reference>
          <reference field="2" count="1" selected="0">
            <x v="3"/>
          </reference>
          <reference field="3" count="1" selected="0">
            <x v="31"/>
          </reference>
          <reference field="4" count="1">
            <x v="4"/>
          </reference>
        </references>
      </pivotArea>
    </format>
    <format dxfId="828">
      <pivotArea dataOnly="0" labelOnly="1" outline="0" fieldPosition="0">
        <references count="5">
          <reference field="0" count="1" selected="0">
            <x v="21"/>
          </reference>
          <reference field="1" count="1" selected="0">
            <x v="45"/>
          </reference>
          <reference field="2" count="1" selected="0">
            <x v="4"/>
          </reference>
          <reference field="3" count="1" selected="0">
            <x v="19"/>
          </reference>
          <reference field="4" count="1">
            <x v="8"/>
          </reference>
        </references>
      </pivotArea>
    </format>
    <format dxfId="827">
      <pivotArea dataOnly="0" labelOnly="1" outline="0" fieldPosition="0">
        <references count="5">
          <reference field="0" count="1" selected="0">
            <x v="90"/>
          </reference>
          <reference field="1" count="1" selected="0">
            <x v="47"/>
          </reference>
          <reference field="2" count="1" selected="0">
            <x v="3"/>
          </reference>
          <reference field="3" count="1" selected="0">
            <x v="20"/>
          </reference>
          <reference field="4" count="1">
            <x v="52"/>
          </reference>
        </references>
      </pivotArea>
    </format>
    <format dxfId="826">
      <pivotArea dataOnly="0" labelOnly="1" outline="0" fieldPosition="0">
        <references count="5">
          <reference field="0" count="1" selected="0">
            <x v="95"/>
          </reference>
          <reference field="1" count="1" selected="0">
            <x v="95"/>
          </reference>
          <reference field="2" count="1" selected="0">
            <x v="3"/>
          </reference>
          <reference field="3" count="1" selected="0">
            <x v="28"/>
          </reference>
          <reference field="4" count="1">
            <x v="23"/>
          </reference>
        </references>
      </pivotArea>
    </format>
    <format dxfId="825">
      <pivotArea dataOnly="0" labelOnly="1" outline="0" fieldPosition="0">
        <references count="5">
          <reference field="0" count="1" selected="0">
            <x v="52"/>
          </reference>
          <reference field="1" count="1" selected="0">
            <x v="83"/>
          </reference>
          <reference field="2" count="1" selected="0">
            <x v="2"/>
          </reference>
          <reference field="3" count="1" selected="0">
            <x v="7"/>
          </reference>
          <reference field="4" count="1">
            <x v="58"/>
          </reference>
        </references>
      </pivotArea>
    </format>
    <format dxfId="824">
      <pivotArea dataOnly="0" labelOnly="1" outline="0" fieldPosition="0">
        <references count="5">
          <reference field="0" count="1" selected="0">
            <x v="72"/>
          </reference>
          <reference field="1" count="1" selected="0">
            <x v="5"/>
          </reference>
          <reference field="2" count="1" selected="0">
            <x v="5"/>
          </reference>
          <reference field="3" count="1" selected="0">
            <x v="29"/>
          </reference>
          <reference field="4" count="1">
            <x v="72"/>
          </reference>
        </references>
      </pivotArea>
    </format>
    <format dxfId="823">
      <pivotArea dataOnly="0" labelOnly="1" outline="0" fieldPosition="0">
        <references count="5">
          <reference field="0" count="1" selected="0">
            <x v="9"/>
          </reference>
          <reference field="1" count="1" selected="0">
            <x v="23"/>
          </reference>
          <reference field="2" count="1" selected="0">
            <x v="1"/>
          </reference>
          <reference field="3" count="1" selected="0">
            <x v="2"/>
          </reference>
          <reference field="4" count="1">
            <x v="28"/>
          </reference>
        </references>
      </pivotArea>
    </format>
    <format dxfId="822">
      <pivotArea dataOnly="0" labelOnly="1" outline="0" fieldPosition="0">
        <references count="5">
          <reference field="0" count="1" selected="0">
            <x v="38"/>
          </reference>
          <reference field="1" count="1" selected="0">
            <x v="69"/>
          </reference>
          <reference field="2" count="1" selected="0">
            <x v="3"/>
          </reference>
          <reference field="3" count="1" selected="0">
            <x v="31"/>
          </reference>
          <reference field="4" count="1">
            <x v="69"/>
          </reference>
        </references>
      </pivotArea>
    </format>
    <format dxfId="821">
      <pivotArea dataOnly="0" labelOnly="1" outline="0" fieldPosition="0">
        <references count="5">
          <reference field="0" count="1" selected="0">
            <x v="96"/>
          </reference>
          <reference field="1" count="1" selected="0">
            <x v="100"/>
          </reference>
          <reference field="2" count="1" selected="0">
            <x v="3"/>
          </reference>
          <reference field="3" count="1" selected="0">
            <x v="10"/>
          </reference>
          <reference field="4" count="1">
            <x v="73"/>
          </reference>
        </references>
      </pivotArea>
    </format>
    <format dxfId="820">
      <pivotArea dataOnly="0" labelOnly="1" outline="0" fieldPosition="0">
        <references count="5">
          <reference field="0" count="1" selected="0">
            <x v="77"/>
          </reference>
          <reference field="1" count="1" selected="0">
            <x v="16"/>
          </reference>
          <reference field="2" count="1" selected="0">
            <x v="3"/>
          </reference>
          <reference field="3" count="1" selected="0">
            <x v="10"/>
          </reference>
          <reference field="4" count="1">
            <x v="33"/>
          </reference>
        </references>
      </pivotArea>
    </format>
    <format dxfId="819">
      <pivotArea dataOnly="0" labelOnly="1" outline="0" fieldPosition="0">
        <references count="5">
          <reference field="0" count="1" selected="0">
            <x v="67"/>
          </reference>
          <reference field="1" count="1" selected="0">
            <x v="64"/>
          </reference>
          <reference field="2" count="1" selected="0">
            <x v="4"/>
          </reference>
          <reference field="3" count="1" selected="0">
            <x v="1"/>
          </reference>
          <reference field="4" count="1">
            <x v="43"/>
          </reference>
        </references>
      </pivotArea>
    </format>
    <format dxfId="818">
      <pivotArea dataOnly="0" labelOnly="1" outline="0" fieldPosition="0">
        <references count="5">
          <reference field="0" count="1" selected="0">
            <x v="34"/>
          </reference>
          <reference field="1" count="1" selected="0">
            <x v="65"/>
          </reference>
          <reference field="2" count="1" selected="0">
            <x v="5"/>
          </reference>
          <reference field="3" count="1" selected="0">
            <x v="29"/>
          </reference>
          <reference field="4" count="1">
            <x v="45"/>
          </reference>
        </references>
      </pivotArea>
    </format>
    <format dxfId="817">
      <pivotArea dataOnly="0" labelOnly="1" outline="0" fieldPosition="0">
        <references count="5">
          <reference field="0" count="1" selected="0">
            <x v="69"/>
          </reference>
          <reference field="1" count="1" selected="0">
            <x v="1"/>
          </reference>
          <reference field="2" count="1" selected="0">
            <x v="3"/>
          </reference>
          <reference field="3" count="1" selected="0">
            <x v="32"/>
          </reference>
          <reference field="4" count="1">
            <x v="53"/>
          </reference>
        </references>
      </pivotArea>
    </format>
    <format dxfId="816">
      <pivotArea dataOnly="0" labelOnly="1" outline="0" fieldPosition="0">
        <references count="5">
          <reference field="0" count="1" selected="0">
            <x v="54"/>
          </reference>
          <reference field="1" count="1" selected="0">
            <x v="86"/>
          </reference>
          <reference field="2" count="1" selected="0">
            <x v="3"/>
          </reference>
          <reference field="3" count="1" selected="0">
            <x v="41"/>
          </reference>
          <reference field="4" count="1">
            <x v="25"/>
          </reference>
        </references>
      </pivotArea>
    </format>
    <format dxfId="815">
      <pivotArea dataOnly="0" labelOnly="1" outline="0" fieldPosition="0">
        <references count="5">
          <reference field="0" count="1" selected="0">
            <x v="19"/>
          </reference>
          <reference field="1" count="1" selected="0">
            <x v="39"/>
          </reference>
          <reference field="2" count="1" selected="0">
            <x v="8"/>
          </reference>
          <reference field="3" count="1" selected="0">
            <x v="16"/>
          </reference>
          <reference field="4" count="1">
            <x v="15"/>
          </reference>
        </references>
      </pivotArea>
    </format>
    <format dxfId="814">
      <pivotArea dataOnly="0" labelOnly="1" outline="0" fieldPosition="0">
        <references count="5">
          <reference field="0" count="1" selected="0">
            <x v="44"/>
          </reference>
          <reference field="1" count="1" selected="0">
            <x v="76"/>
          </reference>
          <reference field="2" count="1" selected="0">
            <x v="2"/>
          </reference>
          <reference field="3" count="1" selected="0">
            <x v="36"/>
          </reference>
          <reference field="4" count="1">
            <x v="16"/>
          </reference>
        </references>
      </pivotArea>
    </format>
    <format dxfId="813">
      <pivotArea dataOnly="0" labelOnly="1" outline="0" fieldPosition="0">
        <references count="5">
          <reference field="0" count="1" selected="0">
            <x v="58"/>
          </reference>
          <reference field="1" count="1" selected="0">
            <x v="90"/>
          </reference>
          <reference field="2" count="1" selected="0">
            <x v="3"/>
          </reference>
          <reference field="3" count="1" selected="0">
            <x v="14"/>
          </reference>
          <reference field="4" count="1">
            <x v="65"/>
          </reference>
        </references>
      </pivotArea>
    </format>
    <format dxfId="812">
      <pivotArea dataOnly="0" labelOnly="1" outline="0" fieldPosition="0">
        <references count="5">
          <reference field="0" count="1" selected="0">
            <x v="22"/>
          </reference>
          <reference field="1" count="1" selected="0">
            <x v="46"/>
          </reference>
          <reference field="2" count="1" selected="0">
            <x v="4"/>
          </reference>
          <reference field="3" count="1" selected="0">
            <x v="19"/>
          </reference>
          <reference field="4" count="1">
            <x v="71"/>
          </reference>
        </references>
      </pivotArea>
    </format>
    <format dxfId="811">
      <pivotArea dataOnly="0" labelOnly="1" outline="0" fieldPosition="0">
        <references count="5">
          <reference field="0" count="1" selected="0">
            <x v="40"/>
          </reference>
          <reference field="1" count="1" selected="0">
            <x v="72"/>
          </reference>
          <reference field="2" count="1" selected="0">
            <x v="6"/>
          </reference>
          <reference field="3" count="1" selected="0">
            <x v="33"/>
          </reference>
          <reference field="4" count="1">
            <x v="47"/>
          </reference>
        </references>
      </pivotArea>
    </format>
    <format dxfId="810">
      <pivotArea dataOnly="0" labelOnly="1" outline="0" fieldPosition="0">
        <references count="5">
          <reference field="0" count="1" selected="0">
            <x v="83"/>
          </reference>
          <reference field="1" count="1" selected="0">
            <x v="31"/>
          </reference>
          <reference field="2" count="1" selected="0">
            <x v="8"/>
          </reference>
          <reference field="3" count="1" selected="0">
            <x v="16"/>
          </reference>
          <reference field="4" count="1">
            <x v="6"/>
          </reference>
        </references>
      </pivotArea>
    </format>
    <format dxfId="809">
      <pivotArea dataOnly="0" labelOnly="1" outline="0" fieldPosition="0">
        <references count="5">
          <reference field="0" count="1" selected="0">
            <x v="8"/>
          </reference>
          <reference field="1" count="1" selected="0">
            <x v="21"/>
          </reference>
          <reference field="2" count="1" selected="0">
            <x v="2"/>
          </reference>
          <reference field="3" count="1" selected="0">
            <x v="6"/>
          </reference>
          <reference field="4" count="1">
            <x v="27"/>
          </reference>
        </references>
      </pivotArea>
    </format>
    <format dxfId="808">
      <pivotArea dataOnly="0" labelOnly="1" outline="0" fieldPosition="0">
        <references count="5">
          <reference field="0" count="1" selected="0">
            <x v="71"/>
          </reference>
          <reference field="1" count="1" selected="0">
            <x v="3"/>
          </reference>
          <reference field="2" count="1" selected="0">
            <x v="3"/>
          </reference>
          <reference field="3" count="1" selected="0">
            <x v="28"/>
          </reference>
          <reference field="4" count="1">
            <x v="23"/>
          </reference>
        </references>
      </pivotArea>
    </format>
    <format dxfId="807">
      <pivotArea dataOnly="0" labelOnly="1" outline="0" fieldPosition="0">
        <references count="5">
          <reference field="0" count="1" selected="0">
            <x v="73"/>
          </reference>
          <reference field="1" count="1" selected="0">
            <x v="6"/>
          </reference>
          <reference field="2" count="1" selected="0">
            <x v="2"/>
          </reference>
          <reference field="3" count="1" selected="0">
            <x v="9"/>
          </reference>
          <reference field="4" count="1">
            <x v="17"/>
          </reference>
        </references>
      </pivotArea>
    </format>
    <format dxfId="806">
      <pivotArea dataOnly="0" labelOnly="1" outline="0" fieldPosition="0">
        <references count="5">
          <reference field="0" count="1" selected="0">
            <x v="35"/>
          </reference>
          <reference field="1" count="1" selected="0">
            <x v="66"/>
          </reference>
          <reference field="2" count="1" selected="0">
            <x v="5"/>
          </reference>
          <reference field="3" count="1" selected="0">
            <x v="29"/>
          </reference>
          <reference field="4" count="1">
            <x v="29"/>
          </reference>
        </references>
      </pivotArea>
    </format>
    <format dxfId="805">
      <pivotArea dataOnly="0" labelOnly="1" outline="0" fieldPosition="0">
        <references count="5">
          <reference field="0" count="1" selected="0">
            <x v="48"/>
          </reference>
          <reference field="1" count="1" selected="0">
            <x v="79"/>
          </reference>
          <reference field="2" count="1" selected="0">
            <x v="2"/>
          </reference>
          <reference field="3" count="1" selected="0">
            <x v="7"/>
          </reference>
          <reference field="4" count="1">
            <x v="54"/>
          </reference>
        </references>
      </pivotArea>
    </format>
    <format dxfId="804">
      <pivotArea dataOnly="0" labelOnly="1" outline="0" fieldPosition="0">
        <references count="5">
          <reference field="0" count="1" selected="0">
            <x v="99"/>
          </reference>
          <reference field="1" count="1" selected="0">
            <x v="85"/>
          </reference>
          <reference field="2" count="1" selected="0">
            <x v="4"/>
          </reference>
          <reference field="3" count="1" selected="0">
            <x v="40"/>
          </reference>
          <reference field="4" count="1">
            <x v="0"/>
          </reference>
        </references>
      </pivotArea>
    </format>
    <format dxfId="803">
      <pivotArea dataOnly="0" labelOnly="1" outline="0" fieldPosition="0">
        <references count="5">
          <reference field="0" count="1" selected="0">
            <x v="79"/>
          </reference>
          <reference field="1" count="1" selected="0">
            <x v="22"/>
          </reference>
          <reference field="2" count="1" selected="0">
            <x v="8"/>
          </reference>
          <reference field="3" count="1" selected="0">
            <x v="44"/>
          </reference>
          <reference field="4" count="1">
            <x v="14"/>
          </reference>
        </references>
      </pivotArea>
    </format>
    <format dxfId="802">
      <pivotArea dataOnly="0" labelOnly="1" outline="0" fieldPosition="0">
        <references count="5">
          <reference field="0" count="1" selected="0">
            <x v="24"/>
          </reference>
          <reference field="1" count="1" selected="0">
            <x v="51"/>
          </reference>
          <reference field="2" count="1" selected="0">
            <x v="3"/>
          </reference>
          <reference field="3" count="1" selected="0">
            <x v="24"/>
          </reference>
          <reference field="4" count="1">
            <x v="55"/>
          </reference>
        </references>
      </pivotArea>
    </format>
    <format dxfId="801">
      <pivotArea dataOnly="0" labelOnly="1" outline="0" fieldPosition="0">
        <references count="5">
          <reference field="0" count="1" selected="0">
            <x v="46"/>
          </reference>
          <reference field="1" count="1" selected="0">
            <x v="77"/>
          </reference>
          <reference field="2" count="1" selected="0">
            <x v="6"/>
          </reference>
          <reference field="3" count="1" selected="0">
            <x v="37"/>
          </reference>
          <reference field="4" count="1">
            <x v="9"/>
          </reference>
        </references>
      </pivotArea>
    </format>
    <format dxfId="800">
      <pivotArea dataOnly="0" labelOnly="1" outline="0" fieldPosition="0">
        <references count="5">
          <reference field="0" count="1" selected="0">
            <x v="14"/>
          </reference>
          <reference field="1" count="1" selected="0">
            <x v="34"/>
          </reference>
          <reference field="2" count="1" selected="0">
            <x v="3"/>
          </reference>
          <reference field="3" count="1" selected="0">
            <x v="12"/>
          </reference>
          <reference field="4" count="1">
            <x v="22"/>
          </reference>
        </references>
      </pivotArea>
    </format>
    <format dxfId="799">
      <pivotArea dataOnly="0" labelOnly="1" outline="0" fieldPosition="0">
        <references count="5">
          <reference field="0" count="1" selected="0">
            <x v="85"/>
          </reference>
          <reference field="1" count="1" selected="0">
            <x v="33"/>
          </reference>
          <reference field="2" count="1" selected="0">
            <x v="4"/>
          </reference>
          <reference field="3" count="1" selected="0">
            <x v="1"/>
          </reference>
          <reference field="4" count="1">
            <x v="56"/>
          </reference>
        </references>
      </pivotArea>
    </format>
    <format dxfId="798">
      <pivotArea dataOnly="0" labelOnly="1" outline="0" fieldPosition="0">
        <references count="5">
          <reference field="0" count="1" selected="0">
            <x v="13"/>
          </reference>
          <reference field="1" count="1" selected="0">
            <x v="30"/>
          </reference>
          <reference field="2" count="1" selected="0">
            <x v="7"/>
          </reference>
          <reference field="3" count="1" selected="0">
            <x v="11"/>
          </reference>
          <reference field="4" count="1">
            <x v="20"/>
          </reference>
        </references>
      </pivotArea>
    </format>
    <format dxfId="797">
      <pivotArea dataOnly="0" labelOnly="1" outline="0" fieldPosition="0">
        <references count="5">
          <reference field="0" count="1" selected="0">
            <x v="10"/>
          </reference>
          <reference field="1" count="1" selected="0">
            <x v="26"/>
          </reference>
          <reference field="2" count="1" selected="0">
            <x v="2"/>
          </reference>
          <reference field="3" count="1" selected="0">
            <x v="8"/>
          </reference>
          <reference field="4" count="1">
            <x v="42"/>
          </reference>
        </references>
      </pivotArea>
    </format>
    <format dxfId="796">
      <pivotArea dataOnly="0" labelOnly="1" outline="0" fieldPosition="0">
        <references count="5">
          <reference field="0" count="1" selected="0">
            <x v="30"/>
          </reference>
          <reference field="1" count="1" selected="0">
            <x v="60"/>
          </reference>
          <reference field="2" count="1" selected="0">
            <x v="2"/>
          </reference>
          <reference field="3" count="1" selected="0">
            <x v="8"/>
          </reference>
          <reference field="4" count="1">
            <x v="32"/>
          </reference>
        </references>
      </pivotArea>
    </format>
    <format dxfId="795">
      <pivotArea dataOnly="0" labelOnly="1" outline="0" fieldPosition="0">
        <references count="5">
          <reference field="0" count="1" selected="0">
            <x v="31"/>
          </reference>
          <reference field="1" count="1" selected="0">
            <x v="62"/>
          </reference>
          <reference field="2" count="1" selected="0">
            <x v="2"/>
          </reference>
          <reference field="3" count="1" selected="0">
            <x v="8"/>
          </reference>
          <reference field="4" count="1">
            <x v="42"/>
          </reference>
        </references>
      </pivotArea>
    </format>
    <format dxfId="794">
      <pivotArea dataOnly="0" labelOnly="1" outline="0" fieldPosition="0">
        <references count="5">
          <reference field="0" count="1" selected="0">
            <x v="49"/>
          </reference>
          <reference field="1" count="1" selected="0">
            <x v="80"/>
          </reference>
          <reference field="2" count="1" selected="0">
            <x v="6"/>
          </reference>
          <reference field="3" count="1" selected="0">
            <x v="39"/>
          </reference>
          <reference field="4" count="1">
            <x v="51"/>
          </reference>
        </references>
      </pivotArea>
    </format>
    <format dxfId="793">
      <pivotArea dataOnly="0" labelOnly="1" outline="0" fieldPosition="0">
        <references count="5">
          <reference field="0" count="1" selected="0">
            <x v="100"/>
          </reference>
          <reference field="1" count="1" selected="0">
            <x v="61"/>
          </reference>
          <reference field="2" count="1" selected="0">
            <x v="0"/>
          </reference>
          <reference field="3" count="1" selected="0">
            <x v="0"/>
          </reference>
          <reference field="4" count="1">
            <x v="0"/>
          </reference>
        </references>
      </pivotArea>
    </format>
    <format dxfId="792">
      <pivotArea dataOnly="0" labelOnly="1" outline="0" fieldPosition="0">
        <references count="5">
          <reference field="0" count="1" selected="0">
            <x v="18"/>
          </reference>
          <reference field="1" count="1" selected="0">
            <x v="38"/>
          </reference>
          <reference field="2" count="1" selected="0">
            <x v="3"/>
          </reference>
          <reference field="3" count="1" selected="0">
            <x v="15"/>
          </reference>
          <reference field="4" count="1">
            <x v="24"/>
          </reference>
        </references>
      </pivotArea>
    </format>
    <format dxfId="791">
      <pivotArea dataOnly="0" labelOnly="1" outline="0" fieldPosition="0">
        <references count="5">
          <reference field="0" count="1" selected="0">
            <x v="1"/>
          </reference>
          <reference field="1" count="1" selected="0">
            <x v="7"/>
          </reference>
          <reference field="2" count="1" selected="0">
            <x v="2"/>
          </reference>
          <reference field="3" count="1" selected="0">
            <x v="18"/>
          </reference>
          <reference field="4" count="1">
            <x v="38"/>
          </reference>
        </references>
      </pivotArea>
    </format>
    <format dxfId="790">
      <pivotArea dataOnly="0" labelOnly="1" outline="0" fieldPosition="0">
        <references count="5">
          <reference field="0" count="1" selected="0">
            <x v="60"/>
          </reference>
          <reference field="1" count="1" selected="0">
            <x v="96"/>
          </reference>
          <reference field="2" count="1" selected="0">
            <x v="8"/>
          </reference>
          <reference field="3" count="1" selected="0">
            <x v="44"/>
          </reference>
          <reference field="4" count="1">
            <x v="1"/>
          </reference>
        </references>
      </pivotArea>
    </format>
    <format dxfId="789">
      <pivotArea dataOnly="0" labelOnly="1" outline="0" fieldPosition="0">
        <references count="5">
          <reference field="0" count="1" selected="0">
            <x v="61"/>
          </reference>
          <reference field="1" count="1" selected="0">
            <x v="97"/>
          </reference>
          <reference field="2" count="1" selected="0">
            <x v="4"/>
          </reference>
          <reference field="3" count="1" selected="0">
            <x v="1"/>
          </reference>
          <reference field="4" count="1">
            <x v="62"/>
          </reference>
        </references>
      </pivotArea>
    </format>
    <format dxfId="788">
      <pivotArea dataOnly="0" labelOnly="1" outline="0" fieldPosition="0">
        <references count="5">
          <reference field="0" count="1" selected="0">
            <x v="23"/>
          </reference>
          <reference field="1" count="1" selected="0">
            <x v="48"/>
          </reference>
          <reference field="2" count="1" selected="0">
            <x v="7"/>
          </reference>
          <reference field="3" count="1" selected="0">
            <x v="21"/>
          </reference>
          <reference field="4" count="1">
            <x v="36"/>
          </reference>
        </references>
      </pivotArea>
    </format>
    <format dxfId="787">
      <pivotArea dataOnly="0" labelOnly="1" outline="0" fieldPosition="0">
        <references count="5">
          <reference field="0" count="1" selected="0">
            <x v="98"/>
          </reference>
          <reference field="1" count="1" selected="0">
            <x v="52"/>
          </reference>
          <reference field="2" count="1" selected="0">
            <x v="4"/>
          </reference>
          <reference field="3" count="1" selected="0">
            <x v="25"/>
          </reference>
          <reference field="4" count="1">
            <x v="0"/>
          </reference>
        </references>
      </pivotArea>
    </format>
    <format dxfId="786">
      <pivotArea dataOnly="0" labelOnly="1" outline="0" fieldPosition="0">
        <references count="5">
          <reference field="0" count="1" selected="0">
            <x v="45"/>
          </reference>
          <reference field="1" count="1" selected="0">
            <x v="70"/>
          </reference>
          <reference field="2" count="1" selected="0">
            <x v="3"/>
          </reference>
          <reference field="3" count="1" selected="0">
            <x v="32"/>
          </reference>
          <reference field="4" count="1">
            <x v="46"/>
          </reference>
        </references>
      </pivotArea>
    </format>
    <format dxfId="785">
      <pivotArea dataOnly="0" labelOnly="1" outline="0" fieldPosition="0">
        <references count="5">
          <reference field="0" count="1" selected="0">
            <x v="16"/>
          </reference>
          <reference field="1" count="1" selected="0">
            <x v="36"/>
          </reference>
          <reference field="2" count="1" selected="0">
            <x v="3"/>
          </reference>
          <reference field="3" count="1" selected="0">
            <x v="28"/>
          </reference>
          <reference field="4" count="1">
            <x v="23"/>
          </reference>
        </references>
      </pivotArea>
    </format>
    <format dxfId="784">
      <pivotArea dataOnly="0" labelOnly="1" outline="0" fieldPosition="0">
        <references count="5">
          <reference field="0" count="1" selected="0">
            <x v="50"/>
          </reference>
          <reference field="1" count="1" selected="0">
            <x v="81"/>
          </reference>
          <reference field="2" count="1" selected="0">
            <x v="4"/>
          </reference>
          <reference field="3" count="1" selected="0">
            <x v="1"/>
          </reference>
          <reference field="4" count="1">
            <x v="56"/>
          </reference>
        </references>
      </pivotArea>
    </format>
    <format dxfId="783">
      <pivotArea dataOnly="0" labelOnly="1" outline="0" fieldPosition="0">
        <references count="5">
          <reference field="0" count="1" selected="0">
            <x v="97"/>
          </reference>
          <reference field="1" count="1" selected="0">
            <x v="50"/>
          </reference>
          <reference field="2" count="1" selected="0">
            <x v="2"/>
          </reference>
          <reference field="3" count="1" selected="0">
            <x v="23"/>
          </reference>
          <reference field="4" count="1">
            <x v="0"/>
          </reference>
        </references>
      </pivotArea>
    </format>
    <format dxfId="782">
      <pivotArea dataOnly="0" labelOnly="1" outline="0" fieldPosition="0">
        <references count="5">
          <reference field="0" count="1" selected="0">
            <x v="53"/>
          </reference>
          <reference field="1" count="1" selected="0">
            <x v="84"/>
          </reference>
          <reference field="2" count="1" selected="0">
            <x v="6"/>
          </reference>
          <reference field="3" count="1" selected="0">
            <x v="30"/>
          </reference>
          <reference field="4" count="1">
            <x v="59"/>
          </reference>
        </references>
      </pivotArea>
    </format>
    <format dxfId="781">
      <pivotArea dataOnly="0" labelOnly="1" outline="0" fieldPosition="0">
        <references count="5">
          <reference field="0" count="1" selected="0">
            <x v="4"/>
          </reference>
          <reference field="1" count="1" selected="0">
            <x v="15"/>
          </reference>
          <reference field="2" count="1" selected="0">
            <x v="2"/>
          </reference>
          <reference field="3" count="1" selected="0">
            <x v="5"/>
          </reference>
          <reference field="4" count="1">
            <x v="5"/>
          </reference>
        </references>
      </pivotArea>
    </format>
  </formats>
  <conditionalFormats count="1">
    <conditionalFormat priority="1">
      <pivotAreas count="1">
        <pivotArea type="data" outline="0" collapsedLevelsAreSubtotals="1" fieldPosition="0">
          <references count="1">
            <reference field="4294967294" count="1" selected="0">
              <x v="2"/>
            </reference>
          </references>
        </pivotArea>
      </pivotAreas>
    </conditionalFormat>
  </conditionalFormats>
  <pivotTableStyleInfo name="PivotStyleLight7" showRowHeaders="0"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D4224CF-9CF4-4094-A9DB-64B0D04B4E1A}"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olHeaderCaption="Priority Level">
  <location ref="I4:N8" firstHeaderRow="1" firstDataRow="2" firstDataCol="1"/>
  <pivotFields count="74">
    <pivotField showAll="0"/>
    <pivotField axis="axisRow" showAll="0">
      <items count="103">
        <item x="68"/>
        <item x="69"/>
        <item x="70"/>
        <item x="71"/>
        <item x="0"/>
        <item x="72"/>
        <item x="73"/>
        <item x="1"/>
        <item x="74"/>
        <item x="75"/>
        <item x="64"/>
        <item x="2"/>
        <item x="3"/>
        <item x="65"/>
        <item x="76"/>
        <item x="4"/>
        <item x="77"/>
        <item x="78"/>
        <item x="98"/>
        <item x="5"/>
        <item x="6"/>
        <item x="7"/>
        <item x="8"/>
        <item x="79"/>
        <item x="9"/>
        <item x="80"/>
        <item x="81"/>
        <item x="10"/>
        <item x="82"/>
        <item x="11"/>
        <item x="12"/>
        <item x="13"/>
        <item x="83"/>
        <item x="84"/>
        <item x="85"/>
        <item x="14"/>
        <item x="15"/>
        <item x="16"/>
        <item x="17"/>
        <item x="18"/>
        <item x="19"/>
        <item x="86"/>
        <item x="87"/>
        <item x="20"/>
        <item x="88"/>
        <item x="89"/>
        <item x="21"/>
        <item x="22"/>
        <item x="90"/>
        <item x="23"/>
        <item x="66"/>
        <item x="99"/>
        <item x="24"/>
        <item x="100"/>
        <item x="25"/>
        <item x="91"/>
        <item x="92"/>
        <item x="97"/>
        <item x="26"/>
        <item x="27"/>
        <item x="28"/>
        <item x="29"/>
        <item x="30"/>
        <item x="31"/>
        <item x="32"/>
        <item x="33"/>
        <item x="67"/>
        <item x="34"/>
        <item x="35"/>
        <item x="36"/>
        <item x="37"/>
        <item x="38"/>
        <item x="45"/>
        <item x="39"/>
        <item x="40"/>
        <item x="41"/>
        <item x="42"/>
        <item x="43"/>
        <item x="44"/>
        <item x="46"/>
        <item x="47"/>
        <item x="48"/>
        <item x="49"/>
        <item x="50"/>
        <item x="51"/>
        <item x="52"/>
        <item x="53"/>
        <item x="101"/>
        <item x="54"/>
        <item x="55"/>
        <item x="56"/>
        <item x="57"/>
        <item x="58"/>
        <item x="93"/>
        <item x="59"/>
        <item x="94"/>
        <item x="95"/>
        <item x="60"/>
        <item x="61"/>
        <item x="62"/>
        <item x="63"/>
        <item x="96"/>
        <item t="default"/>
      </items>
    </pivotField>
    <pivotField axis="axisRow" showAll="0">
      <items count="9">
        <item x="0"/>
        <item x="1"/>
        <item x="2"/>
        <item x="7"/>
        <item x="6"/>
        <item x="3"/>
        <item x="4"/>
        <item x="5"/>
        <item t="default"/>
      </items>
    </pivotField>
    <pivotField showAll="0"/>
    <pivotField showAll="0"/>
    <pivotField showAll="0"/>
    <pivotField showAll="0"/>
    <pivotField showAll="0"/>
    <pivotField axis="axisCol" dataField="1" showAll="0">
      <items count="6">
        <item x="4"/>
        <item x="1"/>
        <item x="2"/>
        <item x="0"/>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3">
        <item sd="0" x="1"/>
        <item sd="0"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3">
    <field x="23"/>
    <field x="2"/>
    <field x="1"/>
  </rowFields>
  <rowItems count="3">
    <i>
      <x/>
    </i>
    <i>
      <x v="1"/>
    </i>
    <i t="grand">
      <x/>
    </i>
  </rowItems>
  <colFields count="1">
    <field x="8"/>
  </colFields>
  <colItems count="5">
    <i>
      <x/>
    </i>
    <i>
      <x v="1"/>
    </i>
    <i>
      <x v="2"/>
    </i>
    <i>
      <x v="3"/>
    </i>
    <i t="grand">
      <x/>
    </i>
  </colItems>
  <dataFields count="1">
    <dataField name="Pre-Feasibility/Feasibility Study" fld="8" subtotal="count" baseField="0" baseItem="0"/>
  </dataFields>
  <formats count="128">
    <format dxfId="141">
      <pivotArea type="all" dataOnly="0" outline="0" fieldPosition="0"/>
    </format>
    <format dxfId="140">
      <pivotArea outline="0" collapsedLevelsAreSubtotals="1" fieldPosition="0"/>
    </format>
    <format dxfId="139">
      <pivotArea type="origin" dataOnly="0" labelOnly="1" outline="0" fieldPosition="0"/>
    </format>
    <format dxfId="138">
      <pivotArea field="8" type="button" dataOnly="0" labelOnly="1" outline="0" axis="axisCol" fieldPosition="0"/>
    </format>
    <format dxfId="137">
      <pivotArea type="topRight" dataOnly="0" labelOnly="1" outline="0" fieldPosition="0"/>
    </format>
    <format dxfId="136">
      <pivotArea field="23" type="button" dataOnly="0" labelOnly="1" outline="0" axis="axisRow" fieldPosition="0"/>
    </format>
    <format dxfId="135">
      <pivotArea dataOnly="0" labelOnly="1" fieldPosition="0">
        <references count="1">
          <reference field="23" count="0"/>
        </references>
      </pivotArea>
    </format>
    <format dxfId="134">
      <pivotArea dataOnly="0" labelOnly="1" grandRow="1" outline="0" fieldPosition="0"/>
    </format>
    <format dxfId="133">
      <pivotArea dataOnly="0" labelOnly="1" fieldPosition="0">
        <references count="1">
          <reference field="8" count="0"/>
        </references>
      </pivotArea>
    </format>
    <format dxfId="132">
      <pivotArea dataOnly="0" labelOnly="1" grandCol="1" outline="0" fieldPosition="0"/>
    </format>
    <format dxfId="131">
      <pivotArea type="all" dataOnly="0" outline="0" fieldPosition="0"/>
    </format>
    <format dxfId="130">
      <pivotArea outline="0" collapsedLevelsAreSubtotals="1" fieldPosition="0"/>
    </format>
    <format dxfId="129">
      <pivotArea type="origin" dataOnly="0" labelOnly="1" outline="0" fieldPosition="0"/>
    </format>
    <format dxfId="128">
      <pivotArea field="8" type="button" dataOnly="0" labelOnly="1" outline="0" axis="axisCol" fieldPosition="0"/>
    </format>
    <format dxfId="127">
      <pivotArea type="topRight" dataOnly="0" labelOnly="1" outline="0" fieldPosition="0"/>
    </format>
    <format dxfId="126">
      <pivotArea field="23" type="button" dataOnly="0" labelOnly="1" outline="0" axis="axisRow" fieldPosition="0"/>
    </format>
    <format dxfId="125">
      <pivotArea dataOnly="0" labelOnly="1" fieldPosition="0">
        <references count="1">
          <reference field="23" count="0"/>
        </references>
      </pivotArea>
    </format>
    <format dxfId="124">
      <pivotArea dataOnly="0" labelOnly="1" grandRow="1" outline="0" fieldPosition="0"/>
    </format>
    <format dxfId="123">
      <pivotArea dataOnly="0" labelOnly="1" fieldPosition="0">
        <references count="1">
          <reference field="8" count="0"/>
        </references>
      </pivotArea>
    </format>
    <format dxfId="122">
      <pivotArea dataOnly="0" labelOnly="1" grandCol="1" outline="0" fieldPosition="0"/>
    </format>
    <format dxfId="121">
      <pivotArea type="all" dataOnly="0" outline="0" fieldPosition="0"/>
    </format>
    <format dxfId="120">
      <pivotArea outline="0" collapsedLevelsAreSubtotals="1" fieldPosition="0"/>
    </format>
    <format dxfId="119">
      <pivotArea type="origin" dataOnly="0" labelOnly="1" outline="0" fieldPosition="0"/>
    </format>
    <format dxfId="118">
      <pivotArea field="8" type="button" dataOnly="0" labelOnly="1" outline="0" axis="axisCol" fieldPosition="0"/>
    </format>
    <format dxfId="117">
      <pivotArea type="topRight" dataOnly="0" labelOnly="1" outline="0" fieldPosition="0"/>
    </format>
    <format dxfId="116">
      <pivotArea field="23" type="button" dataOnly="0" labelOnly="1" outline="0" axis="axisRow" fieldPosition="0"/>
    </format>
    <format dxfId="115">
      <pivotArea dataOnly="0" labelOnly="1" fieldPosition="0">
        <references count="1">
          <reference field="23" count="0"/>
        </references>
      </pivotArea>
    </format>
    <format dxfId="114">
      <pivotArea dataOnly="0" labelOnly="1" grandRow="1" outline="0" fieldPosition="0"/>
    </format>
    <format dxfId="113">
      <pivotArea dataOnly="0" labelOnly="1" fieldPosition="0">
        <references count="1">
          <reference field="8" count="0"/>
        </references>
      </pivotArea>
    </format>
    <format dxfId="112">
      <pivotArea dataOnly="0" labelOnly="1" grandCol="1" outline="0" fieldPosition="0"/>
    </format>
    <format dxfId="111">
      <pivotArea type="all" dataOnly="0" outline="0" fieldPosition="0"/>
    </format>
    <format dxfId="110">
      <pivotArea outline="0" collapsedLevelsAreSubtotals="1" fieldPosition="0"/>
    </format>
    <format dxfId="109">
      <pivotArea type="origin" dataOnly="0" labelOnly="1" outline="0" fieldPosition="0"/>
    </format>
    <format dxfId="108">
      <pivotArea field="8" type="button" dataOnly="0" labelOnly="1" outline="0" axis="axisCol" fieldPosition="0"/>
    </format>
    <format dxfId="107">
      <pivotArea type="topRight" dataOnly="0" labelOnly="1" outline="0" fieldPosition="0"/>
    </format>
    <format dxfId="106">
      <pivotArea field="23" type="button" dataOnly="0" labelOnly="1" outline="0" axis="axisRow" fieldPosition="0"/>
    </format>
    <format dxfId="105">
      <pivotArea dataOnly="0" labelOnly="1" fieldPosition="0">
        <references count="1">
          <reference field="23" count="0"/>
        </references>
      </pivotArea>
    </format>
    <format dxfId="104">
      <pivotArea dataOnly="0" labelOnly="1" grandRow="1" outline="0" fieldPosition="0"/>
    </format>
    <format dxfId="103">
      <pivotArea dataOnly="0" labelOnly="1" fieldPosition="0">
        <references count="1">
          <reference field="8" count="0"/>
        </references>
      </pivotArea>
    </format>
    <format dxfId="102">
      <pivotArea dataOnly="0" labelOnly="1" grandCol="1" outline="0" fieldPosition="0"/>
    </format>
    <format dxfId="101">
      <pivotArea outline="0" collapsedLevelsAreSubtotals="1" fieldPosition="0">
        <references count="1">
          <reference field="8" count="4" selected="0">
            <x v="1"/>
            <x v="2"/>
            <x v="3"/>
            <x v="4"/>
          </reference>
        </references>
      </pivotArea>
    </format>
    <format dxfId="100">
      <pivotArea grandCol="1" outline="0" collapsedLevelsAreSubtotals="1" fieldPosition="0"/>
    </format>
    <format dxfId="99">
      <pivotArea outline="0" collapsedLevelsAreSubtotals="1" fieldPosition="0">
        <references count="1">
          <reference field="8" count="1" selected="0">
            <x v="0"/>
          </reference>
        </references>
      </pivotArea>
    </format>
    <format dxfId="98">
      <pivotArea dataOnly="0" labelOnly="1" fieldPosition="0">
        <references count="1">
          <reference field="8" count="1">
            <x v="0"/>
          </reference>
        </references>
      </pivotArea>
    </format>
    <format dxfId="97">
      <pivotArea type="all" dataOnly="0" outline="0" fieldPosition="0"/>
    </format>
    <format dxfId="96">
      <pivotArea outline="0" collapsedLevelsAreSubtotals="1" fieldPosition="0"/>
    </format>
    <format dxfId="95">
      <pivotArea type="origin" dataOnly="0" labelOnly="1" outline="0" fieldPosition="0"/>
    </format>
    <format dxfId="94">
      <pivotArea field="8" type="button" dataOnly="0" labelOnly="1" outline="0" axis="axisCol" fieldPosition="0"/>
    </format>
    <format dxfId="93">
      <pivotArea type="topRight" dataOnly="0" labelOnly="1" outline="0" fieldPosition="0"/>
    </format>
    <format dxfId="92">
      <pivotArea field="23" type="button" dataOnly="0" labelOnly="1" outline="0" axis="axisRow" fieldPosition="0"/>
    </format>
    <format dxfId="91">
      <pivotArea dataOnly="0" labelOnly="1" grandRow="1" outline="0" fieldPosition="0"/>
    </format>
    <format dxfId="90">
      <pivotArea dataOnly="0" labelOnly="1" fieldPosition="0">
        <references count="1">
          <reference field="8" count="0"/>
        </references>
      </pivotArea>
    </format>
    <format dxfId="89">
      <pivotArea dataOnly="0" labelOnly="1" grandCol="1" outline="0" fieldPosition="0"/>
    </format>
    <format dxfId="88">
      <pivotArea collapsedLevelsAreSubtotals="1" fieldPosition="0">
        <references count="1">
          <reference field="23" count="1">
            <x v="0"/>
          </reference>
        </references>
      </pivotArea>
    </format>
    <format dxfId="87">
      <pivotArea collapsedLevelsAreSubtotals="1" fieldPosition="0">
        <references count="1">
          <reference field="23" count="1">
            <x v="1"/>
          </reference>
        </references>
      </pivotArea>
    </format>
    <format dxfId="86">
      <pivotArea collapsedLevelsAreSubtotals="1" fieldPosition="0">
        <references count="2">
          <reference field="2" count="1">
            <x v="0"/>
          </reference>
          <reference field="23" count="1" selected="0">
            <x v="1"/>
          </reference>
        </references>
      </pivotArea>
    </format>
    <format dxfId="85">
      <pivotArea collapsedLevelsAreSubtotals="1" fieldPosition="0">
        <references count="3">
          <reference field="1" count="2">
            <x v="4"/>
            <x v="19"/>
          </reference>
          <reference field="2" count="1" selected="0">
            <x v="0"/>
          </reference>
          <reference field="23" count="1" selected="0">
            <x v="1"/>
          </reference>
        </references>
      </pivotArea>
    </format>
    <format dxfId="84">
      <pivotArea collapsedLevelsAreSubtotals="1" fieldPosition="0">
        <references count="2">
          <reference field="2" count="1">
            <x v="1"/>
          </reference>
          <reference field="23" count="1" selected="0">
            <x v="1"/>
          </reference>
        </references>
      </pivotArea>
    </format>
    <format dxfId="83">
      <pivotArea collapsedLevelsAreSubtotals="1" fieldPosition="0">
        <references count="3">
          <reference field="1" count="12">
            <x v="10"/>
            <x v="11"/>
            <x v="21"/>
            <x v="36"/>
            <x v="57"/>
            <x v="58"/>
            <x v="59"/>
            <x v="61"/>
            <x v="64"/>
            <x v="69"/>
            <x v="84"/>
            <x v="94"/>
          </reference>
          <reference field="2" count="1" selected="0">
            <x v="1"/>
          </reference>
          <reference field="23" count="1" selected="0">
            <x v="1"/>
          </reference>
        </references>
      </pivotArea>
    </format>
    <format dxfId="82">
      <pivotArea collapsedLevelsAreSubtotals="1" fieldPosition="0">
        <references count="2">
          <reference field="2" count="1">
            <x v="2"/>
          </reference>
          <reference field="23" count="1" selected="0">
            <x v="1"/>
          </reference>
        </references>
      </pivotArea>
    </format>
    <format dxfId="81">
      <pivotArea collapsedLevelsAreSubtotals="1" fieldPosition="0">
        <references count="3">
          <reference field="1" count="8">
            <x v="13"/>
            <x v="30"/>
            <x v="38"/>
            <x v="54"/>
            <x v="70"/>
            <x v="75"/>
            <x v="89"/>
            <x v="100"/>
          </reference>
          <reference field="2" count="1" selected="0">
            <x v="2"/>
          </reference>
          <reference field="23" count="1" selected="0">
            <x v="1"/>
          </reference>
        </references>
      </pivotArea>
    </format>
    <format dxfId="80">
      <pivotArea collapsedLevelsAreSubtotals="1" fieldPosition="0">
        <references count="2">
          <reference field="2" count="1">
            <x v="3"/>
          </reference>
          <reference field="23" count="1" selected="0">
            <x v="1"/>
          </reference>
        </references>
      </pivotArea>
    </format>
    <format dxfId="79">
      <pivotArea collapsedLevelsAreSubtotals="1" fieldPosition="0">
        <references count="3">
          <reference field="1" count="1">
            <x v="65"/>
          </reference>
          <reference field="2" count="1" selected="0">
            <x v="3"/>
          </reference>
          <reference field="23" count="1" selected="0">
            <x v="1"/>
          </reference>
        </references>
      </pivotArea>
    </format>
    <format dxfId="78">
      <pivotArea type="all" dataOnly="0" outline="0" fieldPosition="0"/>
    </format>
    <format dxfId="77">
      <pivotArea outline="0" collapsedLevelsAreSubtotals="1" fieldPosition="0"/>
    </format>
    <format dxfId="76">
      <pivotArea type="origin" dataOnly="0" labelOnly="1" outline="0" fieldPosition="0"/>
    </format>
    <format dxfId="75">
      <pivotArea field="8" type="button" dataOnly="0" labelOnly="1" outline="0" axis="axisCol" fieldPosition="0"/>
    </format>
    <format dxfId="74">
      <pivotArea type="topRight" dataOnly="0" labelOnly="1" outline="0" fieldPosition="0"/>
    </format>
    <format dxfId="73">
      <pivotArea field="23" type="button" dataOnly="0" labelOnly="1" outline="0" axis="axisRow" fieldPosition="0"/>
    </format>
    <format dxfId="72">
      <pivotArea dataOnly="0" labelOnly="1" fieldPosition="0">
        <references count="1">
          <reference field="23" count="0"/>
        </references>
      </pivotArea>
    </format>
    <format dxfId="71">
      <pivotArea dataOnly="0" labelOnly="1" grandRow="1" outline="0" fieldPosition="0"/>
    </format>
    <format dxfId="70">
      <pivotArea dataOnly="0" labelOnly="1" fieldPosition="0">
        <references count="1">
          <reference field="8" count="0"/>
        </references>
      </pivotArea>
    </format>
    <format dxfId="69">
      <pivotArea dataOnly="0" labelOnly="1" grandCol="1" outline="0" fieldPosition="0"/>
    </format>
    <format dxfId="68">
      <pivotArea type="all" dataOnly="0" outline="0" fieldPosition="0"/>
    </format>
    <format dxfId="67">
      <pivotArea outline="0" collapsedLevelsAreSubtotals="1" fieldPosition="0"/>
    </format>
    <format dxfId="66">
      <pivotArea type="origin" dataOnly="0" labelOnly="1" outline="0" fieldPosition="0"/>
    </format>
    <format dxfId="65">
      <pivotArea field="8" type="button" dataOnly="0" labelOnly="1" outline="0" axis="axisCol" fieldPosition="0"/>
    </format>
    <format dxfId="64">
      <pivotArea type="topRight" dataOnly="0" labelOnly="1" outline="0" fieldPosition="0"/>
    </format>
    <format dxfId="63">
      <pivotArea field="23" type="button" dataOnly="0" labelOnly="1" outline="0" axis="axisRow" fieldPosition="0"/>
    </format>
    <format dxfId="62">
      <pivotArea dataOnly="0" labelOnly="1" fieldPosition="0">
        <references count="1">
          <reference field="23" count="0"/>
        </references>
      </pivotArea>
    </format>
    <format dxfId="61">
      <pivotArea dataOnly="0" labelOnly="1" grandRow="1" outline="0" fieldPosition="0"/>
    </format>
    <format dxfId="60">
      <pivotArea dataOnly="0" labelOnly="1" fieldPosition="0">
        <references count="1">
          <reference field="8" count="0"/>
        </references>
      </pivotArea>
    </format>
    <format dxfId="59">
      <pivotArea dataOnly="0" labelOnly="1" grandCol="1" outline="0" fieldPosition="0"/>
    </format>
    <format dxfId="58">
      <pivotArea type="all" dataOnly="0" outline="0" fieldPosition="0"/>
    </format>
    <format dxfId="57">
      <pivotArea outline="0" collapsedLevelsAreSubtotals="1" fieldPosition="0"/>
    </format>
    <format dxfId="56">
      <pivotArea type="origin" dataOnly="0" labelOnly="1" outline="0" fieldPosition="0"/>
    </format>
    <format dxfId="55">
      <pivotArea field="8" type="button" dataOnly="0" labelOnly="1" outline="0" axis="axisCol" fieldPosition="0"/>
    </format>
    <format dxfId="54">
      <pivotArea type="topRight" dataOnly="0" labelOnly="1" outline="0" fieldPosition="0"/>
    </format>
    <format dxfId="53">
      <pivotArea field="23" type="button" dataOnly="0" labelOnly="1" outline="0" axis="axisRow" fieldPosition="0"/>
    </format>
    <format dxfId="52">
      <pivotArea dataOnly="0" labelOnly="1" fieldPosition="0">
        <references count="1">
          <reference field="23" count="0"/>
        </references>
      </pivotArea>
    </format>
    <format dxfId="51">
      <pivotArea dataOnly="0" labelOnly="1" grandRow="1" outline="0" fieldPosition="0"/>
    </format>
    <format dxfId="50">
      <pivotArea dataOnly="0" labelOnly="1" fieldPosition="0">
        <references count="1">
          <reference field="8" count="0"/>
        </references>
      </pivotArea>
    </format>
    <format dxfId="49">
      <pivotArea dataOnly="0" labelOnly="1" grandCol="1" outline="0" fieldPosition="0"/>
    </format>
    <format dxfId="48">
      <pivotArea collapsedLevelsAreSubtotals="1" fieldPosition="0">
        <references count="2">
          <reference field="8" count="0" selected="0"/>
          <reference field="23" count="1">
            <x v="0"/>
          </reference>
        </references>
      </pivotArea>
    </format>
    <format dxfId="47">
      <pivotArea collapsedLevelsAreSubtotals="1" fieldPosition="0">
        <references count="2">
          <reference field="8" count="0" selected="0"/>
          <reference field="23" count="1">
            <x v="1"/>
          </reference>
        </references>
      </pivotArea>
    </format>
    <format dxfId="46">
      <pivotArea collapsedLevelsAreSubtotals="1" fieldPosition="0">
        <references count="2">
          <reference field="8" count="0" selected="0"/>
          <reference field="23" count="1">
            <x v="0"/>
          </reference>
        </references>
      </pivotArea>
    </format>
    <format dxfId="45">
      <pivotArea collapsedLevelsAreSubtotals="1" fieldPosition="0">
        <references count="2">
          <reference field="8" count="0" selected="0"/>
          <reference field="23" count="1">
            <x v="1"/>
          </reference>
        </references>
      </pivotArea>
    </format>
    <format dxfId="44">
      <pivotArea type="all" dataOnly="0" outline="0" fieldPosition="0"/>
    </format>
    <format dxfId="43">
      <pivotArea outline="0" collapsedLevelsAreSubtotals="1" fieldPosition="0"/>
    </format>
    <format dxfId="42">
      <pivotArea type="origin" dataOnly="0" labelOnly="1" outline="0" fieldPosition="0"/>
    </format>
    <format dxfId="41">
      <pivotArea field="8" type="button" dataOnly="0" labelOnly="1" outline="0" axis="axisCol" fieldPosition="0"/>
    </format>
    <format dxfId="40">
      <pivotArea type="topRight" dataOnly="0" labelOnly="1" outline="0" fieldPosition="0"/>
    </format>
    <format dxfId="39">
      <pivotArea field="23" type="button" dataOnly="0" labelOnly="1" outline="0" axis="axisRow" fieldPosition="0"/>
    </format>
    <format dxfId="38">
      <pivotArea dataOnly="0" labelOnly="1" fieldPosition="0">
        <references count="1">
          <reference field="23" count="0"/>
        </references>
      </pivotArea>
    </format>
    <format dxfId="37">
      <pivotArea dataOnly="0" labelOnly="1" grandRow="1" outline="0" fieldPosition="0"/>
    </format>
    <format dxfId="36">
      <pivotArea dataOnly="0" labelOnly="1" fieldPosition="0">
        <references count="1">
          <reference field="8" count="0"/>
        </references>
      </pivotArea>
    </format>
    <format dxfId="35">
      <pivotArea dataOnly="0" labelOnly="1" grandCol="1" outline="0" fieldPosition="0"/>
    </format>
    <format dxfId="34">
      <pivotArea type="all" dataOnly="0" outline="0" fieldPosition="0"/>
    </format>
    <format dxfId="33">
      <pivotArea outline="0" collapsedLevelsAreSubtotals="1" fieldPosition="0"/>
    </format>
    <format dxfId="32">
      <pivotArea dataOnly="0" labelOnly="1" fieldPosition="0">
        <references count="1">
          <reference field="23" count="0"/>
        </references>
      </pivotArea>
    </format>
    <format dxfId="31">
      <pivotArea dataOnly="0" labelOnly="1" grandRow="1" outline="0" fieldPosition="0"/>
    </format>
    <format dxfId="30">
      <pivotArea type="all" dataOnly="0" outline="0" fieldPosition="0"/>
    </format>
    <format dxfId="29">
      <pivotArea outline="0" collapsedLevelsAreSubtotals="1" fieldPosition="0"/>
    </format>
    <format dxfId="28">
      <pivotArea type="origin" dataOnly="0" labelOnly="1" outline="0" fieldPosition="0"/>
    </format>
    <format dxfId="27">
      <pivotArea field="8" type="button" dataOnly="0" labelOnly="1" outline="0" axis="axisCol" fieldPosition="0"/>
    </format>
    <format dxfId="26">
      <pivotArea type="topRight" dataOnly="0" labelOnly="1" outline="0" fieldPosition="0"/>
    </format>
    <format dxfId="25">
      <pivotArea field="23" type="button" dataOnly="0" labelOnly="1" outline="0" axis="axisRow" fieldPosition="0"/>
    </format>
    <format dxfId="24">
      <pivotArea dataOnly="0" labelOnly="1" fieldPosition="0">
        <references count="1">
          <reference field="23" count="0"/>
        </references>
      </pivotArea>
    </format>
    <format dxfId="23">
      <pivotArea dataOnly="0" labelOnly="1" grandRow="1" outline="0" fieldPosition="0"/>
    </format>
    <format dxfId="22">
      <pivotArea dataOnly="0" labelOnly="1" fieldPosition="0">
        <references count="1">
          <reference field="8" count="0"/>
        </references>
      </pivotArea>
    </format>
    <format dxfId="21">
      <pivotArea dataOnly="0" labelOnly="1" grandCol="1" outline="0" fieldPosition="0"/>
    </format>
    <format dxfId="20">
      <pivotArea field="23" type="button" dataOnly="0" labelOnly="1" outline="0" axis="axisRow" fieldPosition="0"/>
    </format>
    <format dxfId="19">
      <pivotArea dataOnly="0" labelOnly="1" fieldPosition="0">
        <references count="1">
          <reference field="8" count="0"/>
        </references>
      </pivotArea>
    </format>
    <format dxfId="18">
      <pivotArea dataOnly="0" labelOnly="1" grandCol="1" outline="0" fieldPosition="0"/>
    </format>
    <format dxfId="17">
      <pivotArea type="origin" dataOnly="0" labelOnly="1" outline="0" fieldPosition="0"/>
    </format>
    <format dxfId="16">
      <pivotArea field="8" type="button" dataOnly="0" labelOnly="1" outline="0" axis="axisCol" fieldPosition="0"/>
    </format>
    <format dxfId="15">
      <pivotArea type="topRight" dataOnly="0" labelOnly="1" outline="0" fieldPosition="0"/>
    </format>
    <format dxfId="14">
      <pivotArea type="origin" dataOnly="0" labelOnly="1" outline="0" fieldPosition="0"/>
    </format>
  </formats>
  <pivotTableStyleInfo name="PivotStyleLight7"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5CA5A4A-4428-4DD2-A987-A4135FBC99F7}" name="PivotTable1" cacheId="1" applyNumberFormats="0" applyBorderFormats="0" applyFontFormats="0" applyPatternFormats="0" applyAlignmentFormats="0" applyWidthHeightFormats="1" dataCaption="Values" updatedVersion="8" minRefreshableVersion="3" useAutoFormatting="1" itemPrintTitles="1" createdVersion="7" indent="0" compact="0" compactData="0" multipleFieldFilters="0" colHeaderCaption="Zone Priority">
  <location ref="B4:G15" firstHeaderRow="1" firstDataRow="2" firstDataCol="1" rowPageCount="1" colPageCount="1"/>
  <pivotFields count="63">
    <pivotField compact="0" outline="0" showAll="0"/>
    <pivotField compact="0" outline="0" showAll="0"/>
    <pivotField axis="axisRow" compact="0" outline="0" showAll="0">
      <items count="10">
        <item x="0"/>
        <item x="1"/>
        <item x="4"/>
        <item x="6"/>
        <item x="2"/>
        <item x="3"/>
        <item x="5"/>
        <item x="7"/>
        <item x="8"/>
        <item t="default"/>
      </items>
    </pivotField>
    <pivotField compact="0" outline="0" showAll="0"/>
    <pivotField compact="0" outline="0" showAll="0"/>
    <pivotField axis="axisPage" compact="0" outline="0" showAll="0">
      <items count="5">
        <item x="1"/>
        <item x="0"/>
        <item x="2"/>
        <item x="3"/>
        <item t="default"/>
      </items>
    </pivotField>
    <pivotField compact="0" outline="0" showAll="0"/>
    <pivotField compact="0" outline="0" showAll="0"/>
    <pivotField axis="axisCol" dataField="1" compact="0" outline="0" showAll="0">
      <items count="6">
        <item x="4"/>
        <item x="1"/>
        <item x="2"/>
        <item x="0"/>
        <item h="1" x="3"/>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
  </rowFields>
  <rowItems count="10">
    <i>
      <x/>
    </i>
    <i>
      <x v="1"/>
    </i>
    <i>
      <x v="2"/>
    </i>
    <i>
      <x v="3"/>
    </i>
    <i>
      <x v="4"/>
    </i>
    <i>
      <x v="5"/>
    </i>
    <i>
      <x v="6"/>
    </i>
    <i>
      <x v="7"/>
    </i>
    <i>
      <x v="8"/>
    </i>
    <i t="grand">
      <x/>
    </i>
  </rowItems>
  <colFields count="1">
    <field x="8"/>
  </colFields>
  <colItems count="5">
    <i>
      <x/>
    </i>
    <i>
      <x v="1"/>
    </i>
    <i>
      <x v="2"/>
    </i>
    <i>
      <x v="3"/>
    </i>
    <i t="grand">
      <x/>
    </i>
  </colItems>
  <pageFields count="1">
    <pageField fld="5" hier="-1"/>
  </pageFields>
  <dataFields count="1">
    <dataField name="Count of Zone" fld="8" subtotal="count" baseField="0" baseItem="0"/>
  </dataFields>
  <formats count="163">
    <format dxfId="304">
      <pivotArea outline="0" collapsedLevelsAreSubtotals="1" fieldPosition="0"/>
    </format>
    <format dxfId="303">
      <pivotArea dataOnly="0" labelOnly="1" fieldPosition="0">
        <references count="1">
          <reference field="8" count="0"/>
        </references>
      </pivotArea>
    </format>
    <format dxfId="302">
      <pivotArea dataOnly="0" labelOnly="1" grandCol="1" outline="0" fieldPosition="0"/>
    </format>
    <format dxfId="301">
      <pivotArea type="all" dataOnly="0" outline="0" fieldPosition="0"/>
    </format>
    <format dxfId="300">
      <pivotArea outline="0" collapsedLevelsAreSubtotals="1" fieldPosition="0"/>
    </format>
    <format dxfId="299">
      <pivotArea type="origin" dataOnly="0" labelOnly="1" outline="0" fieldPosition="0"/>
    </format>
    <format dxfId="298">
      <pivotArea field="8" type="button" dataOnly="0" labelOnly="1" outline="0" axis="axisCol" fieldPosition="0"/>
    </format>
    <format dxfId="297">
      <pivotArea type="topRight" dataOnly="0" labelOnly="1" outline="0" fieldPosition="0"/>
    </format>
    <format dxfId="296">
      <pivotArea field="2" type="button" dataOnly="0" labelOnly="1" outline="0" axis="axisRow" fieldPosition="0"/>
    </format>
    <format dxfId="295">
      <pivotArea dataOnly="0" labelOnly="1" fieldPosition="0">
        <references count="1">
          <reference field="2" count="0"/>
        </references>
      </pivotArea>
    </format>
    <format dxfId="294">
      <pivotArea dataOnly="0" labelOnly="1" grandRow="1" outline="0" fieldPosition="0"/>
    </format>
    <format dxfId="293">
      <pivotArea dataOnly="0" labelOnly="1" fieldPosition="0">
        <references count="1">
          <reference field="8" count="0"/>
        </references>
      </pivotArea>
    </format>
    <format dxfId="292">
      <pivotArea dataOnly="0" labelOnly="1" grandCol="1" outline="0" fieldPosition="0"/>
    </format>
    <format dxfId="291">
      <pivotArea type="all" dataOnly="0" outline="0" fieldPosition="0"/>
    </format>
    <format dxfId="290">
      <pivotArea outline="0" collapsedLevelsAreSubtotals="1" fieldPosition="0"/>
    </format>
    <format dxfId="289">
      <pivotArea type="origin" dataOnly="0" labelOnly="1" outline="0" fieldPosition="0"/>
    </format>
    <format dxfId="288">
      <pivotArea type="topRight" dataOnly="0" labelOnly="1" outline="0" fieldPosition="0"/>
    </format>
    <format dxfId="287">
      <pivotArea field="2" type="button" dataOnly="0" labelOnly="1" outline="0" axis="axisRow" fieldPosition="0"/>
    </format>
    <format dxfId="286">
      <pivotArea dataOnly="0" labelOnly="1" fieldPosition="0">
        <references count="1">
          <reference field="2" count="0"/>
        </references>
      </pivotArea>
    </format>
    <format dxfId="285">
      <pivotArea dataOnly="0" labelOnly="1" grandRow="1" outline="0" fieldPosition="0"/>
    </format>
    <format dxfId="284">
      <pivotArea dataOnly="0" labelOnly="1" fieldPosition="0">
        <references count="1">
          <reference field="8" count="0"/>
        </references>
      </pivotArea>
    </format>
    <format dxfId="283">
      <pivotArea dataOnly="0" labelOnly="1" grandCol="1" outline="0" fieldPosition="0"/>
    </format>
    <format dxfId="282">
      <pivotArea collapsedLevelsAreSubtotals="1" fieldPosition="0">
        <references count="2">
          <reference field="2" count="3">
            <x v="2"/>
            <x v="3"/>
            <x v="4"/>
          </reference>
          <reference field="8" count="1" selected="0">
            <x v="2"/>
          </reference>
        </references>
      </pivotArea>
    </format>
    <format dxfId="281">
      <pivotArea collapsedLevelsAreSubtotals="1" fieldPosition="0">
        <references count="2">
          <reference field="2" count="2">
            <x v="6"/>
            <x v="7"/>
          </reference>
          <reference field="8" count="1" selected="0">
            <x v="2"/>
          </reference>
        </references>
      </pivotArea>
    </format>
    <format dxfId="280">
      <pivotArea collapsedLevelsAreSubtotals="1" fieldPosition="0">
        <references count="2">
          <reference field="2" count="1">
            <x v="7"/>
          </reference>
          <reference field="8" count="1" selected="0">
            <x v="1"/>
          </reference>
        </references>
      </pivotArea>
    </format>
    <format dxfId="279">
      <pivotArea outline="0" collapsedLevelsAreSubtotals="1" fieldPosition="0">
        <references count="1">
          <reference field="8" count="1" selected="0">
            <x v="0"/>
          </reference>
        </references>
      </pivotArea>
    </format>
    <format dxfId="278">
      <pivotArea field="8" type="button" dataOnly="0" labelOnly="1" outline="0" axis="axisCol" fieldPosition="0"/>
    </format>
    <format dxfId="277">
      <pivotArea dataOnly="0" labelOnly="1" fieldPosition="0">
        <references count="1">
          <reference field="8" count="1">
            <x v="0"/>
          </reference>
        </references>
      </pivotArea>
    </format>
    <format dxfId="276">
      <pivotArea field="8" type="button" dataOnly="0" labelOnly="1" outline="0" axis="axisCol" fieldPosition="0"/>
    </format>
    <format dxfId="275">
      <pivotArea type="all" dataOnly="0" outline="0" fieldPosition="0"/>
    </format>
    <format dxfId="274">
      <pivotArea outline="0" collapsedLevelsAreSubtotals="1" fieldPosition="0"/>
    </format>
    <format dxfId="273">
      <pivotArea type="origin" dataOnly="0" labelOnly="1" outline="0" fieldPosition="0"/>
    </format>
    <format dxfId="272">
      <pivotArea field="8" type="button" dataOnly="0" labelOnly="1" outline="0" axis="axisCol" fieldPosition="0"/>
    </format>
    <format dxfId="271">
      <pivotArea type="topRight" dataOnly="0" labelOnly="1" outline="0" fieldPosition="0"/>
    </format>
    <format dxfId="270">
      <pivotArea field="2" type="button" dataOnly="0" labelOnly="1" outline="0" axis="axisRow" fieldPosition="0"/>
    </format>
    <format dxfId="269">
      <pivotArea dataOnly="0" labelOnly="1" fieldPosition="0">
        <references count="1">
          <reference field="2" count="0"/>
        </references>
      </pivotArea>
    </format>
    <format dxfId="268">
      <pivotArea dataOnly="0" labelOnly="1" grandRow="1" outline="0" fieldPosition="0"/>
    </format>
    <format dxfId="267">
      <pivotArea dataOnly="0" labelOnly="1" fieldPosition="0">
        <references count="1">
          <reference field="8" count="0"/>
        </references>
      </pivotArea>
    </format>
    <format dxfId="266">
      <pivotArea dataOnly="0" labelOnly="1" grandCol="1" outline="0" fieldPosition="0"/>
    </format>
    <format dxfId="265">
      <pivotArea type="all" dataOnly="0" outline="0" fieldPosition="0"/>
    </format>
    <format dxfId="264">
      <pivotArea outline="0" collapsedLevelsAreSubtotals="1" fieldPosition="0"/>
    </format>
    <format dxfId="263">
      <pivotArea type="origin" dataOnly="0" labelOnly="1" outline="0" fieldPosition="0"/>
    </format>
    <format dxfId="262">
      <pivotArea field="8" type="button" dataOnly="0" labelOnly="1" outline="0" axis="axisCol" fieldPosition="0"/>
    </format>
    <format dxfId="261">
      <pivotArea type="topRight" dataOnly="0" labelOnly="1" outline="0" fieldPosition="0"/>
    </format>
    <format dxfId="260">
      <pivotArea field="2" type="button" dataOnly="0" labelOnly="1" outline="0" axis="axisRow" fieldPosition="0"/>
    </format>
    <format dxfId="259">
      <pivotArea dataOnly="0" labelOnly="1" fieldPosition="0">
        <references count="1">
          <reference field="2" count="0"/>
        </references>
      </pivotArea>
    </format>
    <format dxfId="258">
      <pivotArea dataOnly="0" labelOnly="1" grandRow="1" outline="0" fieldPosition="0"/>
    </format>
    <format dxfId="257">
      <pivotArea dataOnly="0" labelOnly="1" fieldPosition="0">
        <references count="1">
          <reference field="8" count="0"/>
        </references>
      </pivotArea>
    </format>
    <format dxfId="256">
      <pivotArea dataOnly="0" labelOnly="1" grandCol="1" outline="0" fieldPosition="0"/>
    </format>
    <format dxfId="255">
      <pivotArea type="all" dataOnly="0" outline="0" fieldPosition="0"/>
    </format>
    <format dxfId="254">
      <pivotArea type="origin" dataOnly="0" labelOnly="1" outline="0" fieldPosition="0"/>
    </format>
    <format dxfId="253">
      <pivotArea type="topRight" dataOnly="0" labelOnly="1" outline="0" fieldPosition="0"/>
    </format>
    <format dxfId="252">
      <pivotArea field="2" type="button" dataOnly="0" labelOnly="1" outline="0" axis="axisRow" fieldPosition="0"/>
    </format>
    <format dxfId="251">
      <pivotArea dataOnly="0" labelOnly="1" fieldPosition="0">
        <references count="1">
          <reference field="2" count="0"/>
        </references>
      </pivotArea>
    </format>
    <format dxfId="250">
      <pivotArea dataOnly="0" labelOnly="1" grandRow="1" outline="0" fieldPosition="0"/>
    </format>
    <format dxfId="249">
      <pivotArea dataOnly="0" labelOnly="1" fieldPosition="0">
        <references count="1">
          <reference field="8" count="0"/>
        </references>
      </pivotArea>
    </format>
    <format dxfId="248">
      <pivotArea type="all" dataOnly="0" outline="0" fieldPosition="0"/>
    </format>
    <format dxfId="247">
      <pivotArea outline="0" collapsedLevelsAreSubtotals="1" fieldPosition="0"/>
    </format>
    <format dxfId="246">
      <pivotArea type="origin" dataOnly="0" labelOnly="1" outline="0" fieldPosition="0"/>
    </format>
    <format dxfId="245">
      <pivotArea field="8" type="button" dataOnly="0" labelOnly="1" outline="0" axis="axisCol" fieldPosition="0"/>
    </format>
    <format dxfId="244">
      <pivotArea type="topRight" dataOnly="0" labelOnly="1" outline="0" fieldPosition="0"/>
    </format>
    <format dxfId="243">
      <pivotArea field="2" type="button" dataOnly="0" labelOnly="1" outline="0" axis="axisRow" fieldPosition="0"/>
    </format>
    <format dxfId="242">
      <pivotArea dataOnly="0" labelOnly="1" fieldPosition="0">
        <references count="1">
          <reference field="2" count="0"/>
        </references>
      </pivotArea>
    </format>
    <format dxfId="241">
      <pivotArea dataOnly="0" labelOnly="1" grandRow="1" outline="0" fieldPosition="0"/>
    </format>
    <format dxfId="240">
      <pivotArea dataOnly="0" labelOnly="1" fieldPosition="0">
        <references count="1">
          <reference field="8" count="0"/>
        </references>
      </pivotArea>
    </format>
    <format dxfId="239">
      <pivotArea dataOnly="0" labelOnly="1" grandCol="1" outline="0" fieldPosition="0"/>
    </format>
    <format dxfId="238">
      <pivotArea outline="0" collapsedLevelsAreSubtotals="1" fieldPosition="0"/>
    </format>
    <format dxfId="237">
      <pivotArea field="8" type="button" dataOnly="0" labelOnly="1" outline="0" axis="axisCol" fieldPosition="0"/>
    </format>
    <format dxfId="236">
      <pivotArea dataOnly="0" labelOnly="1" fieldPosition="0">
        <references count="1">
          <reference field="8" count="1">
            <x v="0"/>
          </reference>
        </references>
      </pivotArea>
    </format>
    <format dxfId="235">
      <pivotArea dataOnly="0" labelOnly="1" grandCol="1" outline="0" fieldPosition="0"/>
    </format>
    <format dxfId="234">
      <pivotArea outline="0" collapsedLevelsAreSubtotals="1" fieldPosition="0"/>
    </format>
    <format dxfId="233">
      <pivotArea field="2" type="button" dataOnly="0" labelOnly="1" outline="0" axis="axisRow" fieldPosition="0"/>
    </format>
    <format dxfId="232">
      <pivotArea dataOnly="0" labelOnly="1" fieldPosition="0">
        <references count="1">
          <reference field="2" count="0"/>
        </references>
      </pivotArea>
    </format>
    <format dxfId="231">
      <pivotArea dataOnly="0" labelOnly="1" grandRow="1" outline="0" fieldPosition="0"/>
    </format>
    <format dxfId="230">
      <pivotArea dataOnly="0" labelOnly="1" fieldPosition="0">
        <references count="1">
          <reference field="8" count="0"/>
        </references>
      </pivotArea>
    </format>
    <format dxfId="229">
      <pivotArea dataOnly="0" labelOnly="1" grandCol="1" outline="0" fieldPosition="0"/>
    </format>
    <format dxfId="228">
      <pivotArea type="all" dataOnly="0" outline="0" fieldPosition="0"/>
    </format>
    <format dxfId="227">
      <pivotArea outline="0" collapsedLevelsAreSubtotals="1" fieldPosition="0"/>
    </format>
    <format dxfId="226">
      <pivotArea type="origin" dataOnly="0" labelOnly="1" outline="0" fieldPosition="0"/>
    </format>
    <format dxfId="225">
      <pivotArea field="8" type="button" dataOnly="0" labelOnly="1" outline="0" axis="axisCol" fieldPosition="0"/>
    </format>
    <format dxfId="224">
      <pivotArea type="topRight" dataOnly="0" labelOnly="1" outline="0" fieldPosition="0"/>
    </format>
    <format dxfId="223">
      <pivotArea field="2" type="button" dataOnly="0" labelOnly="1" outline="0" axis="axisRow" fieldPosition="0"/>
    </format>
    <format dxfId="222">
      <pivotArea dataOnly="0" labelOnly="1" fieldPosition="0">
        <references count="1">
          <reference field="2" count="0"/>
        </references>
      </pivotArea>
    </format>
    <format dxfId="221">
      <pivotArea dataOnly="0" labelOnly="1" grandRow="1" outline="0" fieldPosition="0"/>
    </format>
    <format dxfId="220">
      <pivotArea dataOnly="0" labelOnly="1" fieldPosition="0">
        <references count="1">
          <reference field="8" count="0"/>
        </references>
      </pivotArea>
    </format>
    <format dxfId="219">
      <pivotArea dataOnly="0" labelOnly="1" grandCol="1" outline="0" fieldPosition="0"/>
    </format>
    <format dxfId="218">
      <pivotArea type="all" dataOnly="0" outline="0" fieldPosition="0"/>
    </format>
    <format dxfId="217">
      <pivotArea outline="0" collapsedLevelsAreSubtotals="1" fieldPosition="0"/>
    </format>
    <format dxfId="216">
      <pivotArea type="origin" dataOnly="0" labelOnly="1" outline="0" fieldPosition="0"/>
    </format>
    <format dxfId="215">
      <pivotArea field="8" type="button" dataOnly="0" labelOnly="1" outline="0" axis="axisCol" fieldPosition="0"/>
    </format>
    <format dxfId="214">
      <pivotArea type="topRight" dataOnly="0" labelOnly="1" outline="0" fieldPosition="0"/>
    </format>
    <format dxfId="213">
      <pivotArea field="2" type="button" dataOnly="0" labelOnly="1" outline="0" axis="axisRow" fieldPosition="0"/>
    </format>
    <format dxfId="212">
      <pivotArea dataOnly="0" labelOnly="1" fieldPosition="0">
        <references count="1">
          <reference field="2" count="0"/>
        </references>
      </pivotArea>
    </format>
    <format dxfId="211">
      <pivotArea dataOnly="0" labelOnly="1" grandRow="1" outline="0" fieldPosition="0"/>
    </format>
    <format dxfId="210">
      <pivotArea dataOnly="0" labelOnly="1" fieldPosition="0">
        <references count="1">
          <reference field="8" count="0"/>
        </references>
      </pivotArea>
    </format>
    <format dxfId="209">
      <pivotArea dataOnly="0" labelOnly="1" grandCol="1" outline="0" fieldPosition="0"/>
    </format>
    <format dxfId="208">
      <pivotArea field="2" grandCol="1" collapsedLevelsAreSubtotals="1" axis="axisRow" fieldPosition="0">
        <references count="1">
          <reference field="2" count="0"/>
        </references>
      </pivotArea>
    </format>
    <format dxfId="207">
      <pivotArea type="all" dataOnly="0" outline="0" fieldPosition="0"/>
    </format>
    <format dxfId="206">
      <pivotArea outline="0" collapsedLevelsAreSubtotals="1" fieldPosition="0"/>
    </format>
    <format dxfId="205">
      <pivotArea type="origin" dataOnly="0" labelOnly="1" outline="0" fieldPosition="0"/>
    </format>
    <format dxfId="204">
      <pivotArea field="8" type="button" dataOnly="0" labelOnly="1" outline="0" axis="axisCol" fieldPosition="0"/>
    </format>
    <format dxfId="203">
      <pivotArea type="topRight" dataOnly="0" labelOnly="1" outline="0" fieldPosition="0"/>
    </format>
    <format dxfId="202">
      <pivotArea field="2" type="button" dataOnly="0" labelOnly="1" outline="0" axis="axisRow" fieldPosition="0"/>
    </format>
    <format dxfId="201">
      <pivotArea dataOnly="0" labelOnly="1" fieldPosition="0">
        <references count="1">
          <reference field="2" count="0"/>
        </references>
      </pivotArea>
    </format>
    <format dxfId="200">
      <pivotArea dataOnly="0" labelOnly="1" grandRow="1" outline="0" fieldPosition="0"/>
    </format>
    <format dxfId="199">
      <pivotArea dataOnly="0" labelOnly="1" fieldPosition="0">
        <references count="1">
          <reference field="8" count="0"/>
        </references>
      </pivotArea>
    </format>
    <format dxfId="198">
      <pivotArea dataOnly="0" labelOnly="1" grandCol="1" outline="0" fieldPosition="0"/>
    </format>
    <format dxfId="197">
      <pivotArea collapsedLevelsAreSubtotals="1" fieldPosition="0">
        <references count="2">
          <reference field="2" count="5">
            <x v="1"/>
            <x v="2"/>
            <x v="3"/>
            <x v="4"/>
            <x v="5"/>
          </reference>
          <reference field="8" count="1" selected="0">
            <x v="1"/>
          </reference>
        </references>
      </pivotArea>
    </format>
    <format dxfId="196">
      <pivotArea outline="0" collapsedLevelsAreSubtotals="1" fieldPosition="0"/>
    </format>
    <format dxfId="195">
      <pivotArea field="2" type="button" dataOnly="0" labelOnly="1" outline="0" axis="axisRow" fieldPosition="0"/>
    </format>
    <format dxfId="194">
      <pivotArea dataOnly="0" labelOnly="1" fieldPosition="0">
        <references count="1">
          <reference field="2" count="0"/>
        </references>
      </pivotArea>
    </format>
    <format dxfId="193">
      <pivotArea dataOnly="0" labelOnly="1" grandRow="1" outline="0" fieldPosition="0"/>
    </format>
    <format dxfId="192">
      <pivotArea dataOnly="0" labelOnly="1" fieldPosition="0">
        <references count="1">
          <reference field="8" count="0"/>
        </references>
      </pivotArea>
    </format>
    <format dxfId="191">
      <pivotArea dataOnly="0" labelOnly="1" grandCol="1" outline="0" fieldPosition="0"/>
    </format>
    <format dxfId="190">
      <pivotArea outline="0" fieldPosition="0">
        <references count="1">
          <reference field="8" count="0" selected="0"/>
        </references>
      </pivotArea>
    </format>
    <format dxfId="189">
      <pivotArea dataOnly="0" labelOnly="1" outline="0" fieldPosition="0">
        <references count="1">
          <reference field="8" count="0"/>
        </references>
      </pivotArea>
    </format>
    <format dxfId="188">
      <pivotArea type="all" dataOnly="0" outline="0" fieldPosition="0"/>
    </format>
    <format dxfId="187">
      <pivotArea outline="0" collapsedLevelsAreSubtotals="1" fieldPosition="0"/>
    </format>
    <format dxfId="186">
      <pivotArea type="origin" dataOnly="0" labelOnly="1" outline="0" fieldPosition="0"/>
    </format>
    <format dxfId="185">
      <pivotArea field="8" type="button" dataOnly="0" labelOnly="1" outline="0" axis="axisCol" fieldPosition="0"/>
    </format>
    <format dxfId="184">
      <pivotArea type="topRight" dataOnly="0" labelOnly="1" outline="0" fieldPosition="0"/>
    </format>
    <format dxfId="183">
      <pivotArea field="2" type="button" dataOnly="0" labelOnly="1" outline="0" axis="axisRow" fieldPosition="0"/>
    </format>
    <format dxfId="182">
      <pivotArea dataOnly="0" labelOnly="1" outline="0" fieldPosition="0">
        <references count="1">
          <reference field="2" count="0"/>
        </references>
      </pivotArea>
    </format>
    <format dxfId="181">
      <pivotArea dataOnly="0" labelOnly="1" grandRow="1" outline="0" fieldPosition="0"/>
    </format>
    <format dxfId="180">
      <pivotArea dataOnly="0" labelOnly="1" outline="0" fieldPosition="0">
        <references count="1">
          <reference field="8" count="0"/>
        </references>
      </pivotArea>
    </format>
    <format dxfId="179">
      <pivotArea dataOnly="0" labelOnly="1" grandCol="1" outline="0" fieldPosition="0"/>
    </format>
    <format dxfId="178">
      <pivotArea type="all" dataOnly="0" outline="0" fieldPosition="0"/>
    </format>
    <format dxfId="177">
      <pivotArea outline="0" collapsedLevelsAreSubtotals="1" fieldPosition="0"/>
    </format>
    <format dxfId="176">
      <pivotArea field="2" type="button" dataOnly="0" labelOnly="1" outline="0" axis="axisRow" fieldPosition="0"/>
    </format>
    <format dxfId="175">
      <pivotArea dataOnly="0" labelOnly="1" outline="0" fieldPosition="0">
        <references count="1">
          <reference field="2" count="0"/>
        </references>
      </pivotArea>
    </format>
    <format dxfId="174">
      <pivotArea dataOnly="0" labelOnly="1" grandRow="1" outline="0" fieldPosition="0"/>
    </format>
    <format dxfId="173">
      <pivotArea dataOnly="0" labelOnly="1" outline="0" fieldPosition="0">
        <references count="1">
          <reference field="8" count="0"/>
        </references>
      </pivotArea>
    </format>
    <format dxfId="172">
      <pivotArea dataOnly="0" labelOnly="1" grandCol="1" outline="0" fieldPosition="0"/>
    </format>
    <format dxfId="171">
      <pivotArea type="all" dataOnly="0" outline="0" fieldPosition="0"/>
    </format>
    <format dxfId="170">
      <pivotArea outline="0" collapsedLevelsAreSubtotals="1" fieldPosition="0"/>
    </format>
    <format dxfId="169">
      <pivotArea type="origin" dataOnly="0" labelOnly="1" outline="0" fieldPosition="0"/>
    </format>
    <format dxfId="168">
      <pivotArea field="8" type="button" dataOnly="0" labelOnly="1" outline="0" axis="axisCol" fieldPosition="0"/>
    </format>
    <format dxfId="167">
      <pivotArea type="topRight" dataOnly="0" labelOnly="1" outline="0" fieldPosition="0"/>
    </format>
    <format dxfId="166">
      <pivotArea field="2" type="button" dataOnly="0" labelOnly="1" outline="0" axis="axisRow" fieldPosition="0"/>
    </format>
    <format dxfId="165">
      <pivotArea dataOnly="0" labelOnly="1" outline="0" fieldPosition="0">
        <references count="1">
          <reference field="2" count="0"/>
        </references>
      </pivotArea>
    </format>
    <format dxfId="164">
      <pivotArea dataOnly="0" labelOnly="1" grandRow="1" outline="0" fieldPosition="0"/>
    </format>
    <format dxfId="163">
      <pivotArea dataOnly="0" labelOnly="1" outline="0" fieldPosition="0">
        <references count="1">
          <reference field="8" count="0"/>
        </references>
      </pivotArea>
    </format>
    <format dxfId="162">
      <pivotArea dataOnly="0" labelOnly="1" grandCol="1" outline="0" fieldPosition="0"/>
    </format>
    <format dxfId="161">
      <pivotArea field="2" type="button" dataOnly="0" labelOnly="1" outline="0" axis="axisRow" fieldPosition="0"/>
    </format>
    <format dxfId="160">
      <pivotArea dataOnly="0" labelOnly="1" outline="0" fieldPosition="0">
        <references count="1">
          <reference field="8" count="0"/>
        </references>
      </pivotArea>
    </format>
    <format dxfId="159">
      <pivotArea dataOnly="0" labelOnly="1" grandCol="1" outline="0" fieldPosition="0"/>
    </format>
    <format dxfId="158">
      <pivotArea field="2" type="button" dataOnly="0" labelOnly="1" outline="0" axis="axisRow" fieldPosition="0"/>
    </format>
    <format dxfId="157">
      <pivotArea dataOnly="0" labelOnly="1" outline="0" fieldPosition="0">
        <references count="1">
          <reference field="8" count="0"/>
        </references>
      </pivotArea>
    </format>
    <format dxfId="156">
      <pivotArea dataOnly="0" labelOnly="1" grandCol="1" outline="0" fieldPosition="0"/>
    </format>
    <format dxfId="155">
      <pivotArea type="origin" dataOnly="0" labelOnly="1" outline="0" fieldPosition="0"/>
    </format>
    <format dxfId="154">
      <pivotArea field="8" type="button" dataOnly="0" labelOnly="1" outline="0" axis="axisCol" fieldPosition="0"/>
    </format>
    <format dxfId="153">
      <pivotArea type="topRight" dataOnly="0" labelOnly="1" outline="0" fieldPosition="0"/>
    </format>
    <format dxfId="152">
      <pivotArea type="origin" dataOnly="0" labelOnly="1" outline="0" fieldPosition="0"/>
    </format>
    <format dxfId="151">
      <pivotArea outline="0" fieldPosition="0">
        <references count="2">
          <reference field="2" count="5" selected="0">
            <x v="1"/>
            <x v="2"/>
            <x v="3"/>
            <x v="4"/>
            <x v="5"/>
          </reference>
          <reference field="8" count="1" selected="0">
            <x v="1"/>
          </reference>
        </references>
      </pivotArea>
    </format>
    <format dxfId="150">
      <pivotArea outline="0" fieldPosition="0">
        <references count="2">
          <reference field="2" count="3" selected="0">
            <x v="2"/>
            <x v="3"/>
            <x v="4"/>
          </reference>
          <reference field="8" count="1" selected="0">
            <x v="2"/>
          </reference>
        </references>
      </pivotArea>
    </format>
    <format dxfId="149">
      <pivotArea outline="0" fieldPosition="0">
        <references count="2">
          <reference field="2" count="2" selected="0">
            <x v="6"/>
            <x v="7"/>
          </reference>
          <reference field="8" count="1" selected="0">
            <x v="2"/>
          </reference>
        </references>
      </pivotArea>
    </format>
    <format dxfId="148">
      <pivotArea outline="0" fieldPosition="0">
        <references count="2">
          <reference field="2" count="1" selected="0">
            <x v="7"/>
          </reference>
          <reference field="8" count="1" selected="0">
            <x v="1"/>
          </reference>
        </references>
      </pivotArea>
    </format>
    <format dxfId="147">
      <pivotArea type="origin" dataOnly="0" labelOnly="1" outline="0" fieldPosition="0"/>
    </format>
    <format dxfId="146">
      <pivotArea field="8" type="button" dataOnly="0" labelOnly="1" outline="0" axis="axisCol" fieldPosition="0"/>
    </format>
    <format dxfId="145">
      <pivotArea type="topRight" dataOnly="0" labelOnly="1" outline="0" fieldPosition="0"/>
    </format>
    <format dxfId="144">
      <pivotArea field="2" type="button" dataOnly="0" labelOnly="1" outline="0" axis="axisRow" fieldPosition="0"/>
    </format>
    <format dxfId="143">
      <pivotArea dataOnly="0" labelOnly="1" outline="0" fieldPosition="0">
        <references count="1">
          <reference field="8" count="0"/>
        </references>
      </pivotArea>
    </format>
    <format dxfId="142">
      <pivotArea dataOnly="0" labelOnly="1" grandCol="1" outline="0" fieldPosition="0"/>
    </format>
  </formats>
  <conditionalFormats count="1">
    <conditionalFormat priority="1">
      <pivotAreas count="1">
        <pivotArea type="data" collapsedLevelsAreSubtotals="1" fieldPosition="0">
          <references count="3">
            <reference field="4294967294" count="1" selected="0">
              <x v="0"/>
            </reference>
            <reference field="2" count="9">
              <x v="0"/>
              <x v="1"/>
              <x v="2"/>
              <x v="3"/>
              <x v="4"/>
              <x v="5"/>
              <x v="6"/>
              <x v="7"/>
              <x v="8"/>
            </reference>
            <reference field="8" count="4" selected="0">
              <x v="0"/>
              <x v="1"/>
              <x v="2"/>
              <x v="3"/>
            </reference>
          </references>
        </pivotArea>
      </pivotAreas>
    </conditionalFormat>
  </conditionalFormats>
  <pivotTableStyleInfo name="PivotStyleLight7"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09E7721-FB0E-43DB-8BFB-B362270E7220}" name="PivotTable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Y3:AE10" firstHeaderRow="1" firstDataRow="2" firstDataCol="1"/>
  <pivotFields count="78">
    <pivotField showAll="0"/>
    <pivotField axis="axisRow" showAll="0">
      <items count="101">
        <item x="68"/>
        <item x="69"/>
        <item x="70"/>
        <item x="71"/>
        <item x="0"/>
        <item x="72"/>
        <item x="73"/>
        <item x="1"/>
        <item x="74"/>
        <item x="75"/>
        <item x="64"/>
        <item x="2"/>
        <item x="3"/>
        <item x="65"/>
        <item x="76"/>
        <item x="4"/>
        <item x="77"/>
        <item x="78"/>
        <item x="5"/>
        <item x="6"/>
        <item x="7"/>
        <item x="8"/>
        <item x="79"/>
        <item x="9"/>
        <item x="80"/>
        <item x="81"/>
        <item x="10"/>
        <item x="82"/>
        <item x="11"/>
        <item x="12"/>
        <item x="13"/>
        <item x="83"/>
        <item x="84"/>
        <item x="85"/>
        <item x="14"/>
        <item x="15"/>
        <item x="16"/>
        <item x="17"/>
        <item x="18"/>
        <item x="19"/>
        <item x="86"/>
        <item x="87"/>
        <item x="20"/>
        <item x="88"/>
        <item x="89"/>
        <item x="21"/>
        <item x="22"/>
        <item x="90"/>
        <item x="23"/>
        <item x="66"/>
        <item x="97"/>
        <item x="24"/>
        <item x="98"/>
        <item x="25"/>
        <item x="91"/>
        <item x="92"/>
        <item x="26"/>
        <item x="27"/>
        <item x="28"/>
        <item x="29"/>
        <item x="30"/>
        <item x="31"/>
        <item x="33"/>
        <item x="67"/>
        <item x="34"/>
        <item x="35"/>
        <item x="36"/>
        <item x="37"/>
        <item x="38"/>
        <item x="45"/>
        <item x="39"/>
        <item x="40"/>
        <item x="41"/>
        <item x="42"/>
        <item x="43"/>
        <item x="44"/>
        <item x="46"/>
        <item x="47"/>
        <item x="48"/>
        <item x="49"/>
        <item x="50"/>
        <item x="51"/>
        <item x="52"/>
        <item x="53"/>
        <item x="99"/>
        <item x="54"/>
        <item x="55"/>
        <item x="56"/>
        <item x="57"/>
        <item x="58"/>
        <item x="93"/>
        <item x="59"/>
        <item x="32"/>
        <item x="94"/>
        <item x="95"/>
        <item x="60"/>
        <item x="61"/>
        <item x="62"/>
        <item x="63"/>
        <item x="96"/>
        <item t="default"/>
      </items>
    </pivotField>
    <pivotField showAll="0"/>
    <pivotField showAll="0"/>
    <pivotField showAll="0"/>
    <pivotField showAll="0"/>
    <pivotField showAll="0"/>
    <pivotField showAll="0"/>
    <pivotField axis="axisRow" dataField="1" showAll="0">
      <items count="6">
        <item sd="0" x="4"/>
        <item sd="0" x="1"/>
        <item sd="0" x="2"/>
        <item sd="0" x="0"/>
        <item sd="0"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sd="0" x="1"/>
        <item sd="0" x="2"/>
        <item sd="0" x="3"/>
        <item sd="0" x="0"/>
        <item sd="0"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8"/>
    <field x="1"/>
  </rowFields>
  <rowItems count="6">
    <i>
      <x/>
    </i>
    <i>
      <x v="1"/>
    </i>
    <i>
      <x v="2"/>
    </i>
    <i>
      <x v="3"/>
    </i>
    <i>
      <x v="4"/>
    </i>
    <i t="grand">
      <x/>
    </i>
  </rowItems>
  <colFields count="1">
    <field x="42"/>
  </colFields>
  <colItems count="6">
    <i>
      <x/>
    </i>
    <i>
      <x v="1"/>
    </i>
    <i>
      <x v="2"/>
    </i>
    <i>
      <x v="3"/>
    </i>
    <i>
      <x v="4"/>
    </i>
    <i t="grand">
      <x/>
    </i>
  </colItems>
  <dataFields count="1">
    <dataField name="Count of Zone Priority" fld="8" subtotal="count" baseField="0" baseItem="0"/>
  </dataFields>
  <formats count="34">
    <format dxfId="338">
      <pivotArea field="42" type="button" dataOnly="0" labelOnly="1" outline="0" axis="axisCol" fieldPosition="0"/>
    </format>
    <format dxfId="337">
      <pivotArea dataOnly="0" labelOnly="1" outline="0" axis="axisValues" fieldPosition="0"/>
    </format>
    <format dxfId="336">
      <pivotArea type="all" dataOnly="0" outline="0" fieldPosition="0"/>
    </format>
    <format dxfId="335">
      <pivotArea outline="0" collapsedLevelsAreSubtotals="1" fieldPosition="0"/>
    </format>
    <format dxfId="334">
      <pivotArea field="42" type="button" dataOnly="0" labelOnly="1" outline="0" axis="axisCol" fieldPosition="0"/>
    </format>
    <format dxfId="333">
      <pivotArea dataOnly="0" labelOnly="1" grandRow="1" outline="0" fieldPosition="0"/>
    </format>
    <format dxfId="332">
      <pivotArea dataOnly="0" labelOnly="1" outline="0" axis="axisValues" fieldPosition="0"/>
    </format>
    <format dxfId="331">
      <pivotArea outline="0" collapsedLevelsAreSubtotals="1" fieldPosition="0"/>
    </format>
    <format dxfId="330">
      <pivotArea dataOnly="0" labelOnly="1" grandRow="1" outline="0" fieldPosition="0"/>
    </format>
    <format dxfId="329">
      <pivotArea field="8" type="button" dataOnly="0" labelOnly="1" outline="0" axis="axisRow" fieldPosition="0"/>
    </format>
    <format dxfId="328">
      <pivotArea dataOnly="0" labelOnly="1" outline="0" axis="axisValues" fieldPosition="0"/>
    </format>
    <format dxfId="327">
      <pivotArea collapsedLevelsAreSubtotals="1" fieldPosition="0">
        <references count="1">
          <reference field="8" count="1">
            <x v="0"/>
          </reference>
        </references>
      </pivotArea>
    </format>
    <format dxfId="326">
      <pivotArea collapsedLevelsAreSubtotals="1" fieldPosition="0">
        <references count="1">
          <reference field="8" count="1">
            <x v="1"/>
          </reference>
        </references>
      </pivotArea>
    </format>
    <format dxfId="325">
      <pivotArea collapsedLevelsAreSubtotals="1" fieldPosition="0">
        <references count="1">
          <reference field="8" count="1">
            <x v="2"/>
          </reference>
        </references>
      </pivotArea>
    </format>
    <format dxfId="324">
      <pivotArea collapsedLevelsAreSubtotals="1" fieldPosition="0">
        <references count="1">
          <reference field="8" count="1">
            <x v="3"/>
          </reference>
        </references>
      </pivotArea>
    </format>
    <format dxfId="323">
      <pivotArea collapsedLevelsAreSubtotals="1" fieldPosition="0">
        <references count="1">
          <reference field="8" count="1">
            <x v="4"/>
          </reference>
        </references>
      </pivotArea>
    </format>
    <format dxfId="322">
      <pivotArea dataOnly="0" labelOnly="1" fieldPosition="0">
        <references count="1">
          <reference field="8" count="0"/>
        </references>
      </pivotArea>
    </format>
    <format dxfId="321">
      <pivotArea outline="0" collapsedLevelsAreSubtotals="1" fieldPosition="0"/>
    </format>
    <format dxfId="320">
      <pivotArea dataOnly="0" labelOnly="1" outline="0" axis="axisValues" fieldPosition="0"/>
    </format>
    <format dxfId="319">
      <pivotArea type="all" dataOnly="0" outline="0" fieldPosition="0"/>
    </format>
    <format dxfId="318">
      <pivotArea outline="0" collapsedLevelsAreSubtotals="1" fieldPosition="0"/>
    </format>
    <format dxfId="317">
      <pivotArea field="8" type="button" dataOnly="0" labelOnly="1" outline="0" axis="axisRow" fieldPosition="0"/>
    </format>
    <format dxfId="316">
      <pivotArea dataOnly="0" labelOnly="1" fieldPosition="0">
        <references count="1">
          <reference field="8" count="0"/>
        </references>
      </pivotArea>
    </format>
    <format dxfId="315">
      <pivotArea dataOnly="0" labelOnly="1" grandRow="1" outline="0" fieldPosition="0"/>
    </format>
    <format dxfId="314">
      <pivotArea dataOnly="0" labelOnly="1" fieldPosition="0">
        <references count="2">
          <reference field="1" count="16">
            <x v="10"/>
            <x v="13"/>
            <x v="19"/>
            <x v="35"/>
            <x v="37"/>
            <x v="42"/>
            <x v="56"/>
            <x v="59"/>
            <x v="62"/>
            <x v="63"/>
            <x v="66"/>
            <x v="72"/>
            <x v="81"/>
            <x v="88"/>
            <x v="91"/>
            <x v="92"/>
          </reference>
          <reference field="8" count="1" selected="0">
            <x v="1"/>
          </reference>
        </references>
      </pivotArea>
    </format>
    <format dxfId="313">
      <pivotArea dataOnly="0" labelOnly="1" outline="0" axis="axisValues" fieldPosition="0"/>
    </format>
    <format dxfId="312">
      <pivotArea dataOnly="0" labelOnly="1" fieldPosition="0">
        <references count="1">
          <reference field="42" count="0"/>
        </references>
      </pivotArea>
    </format>
    <format dxfId="311">
      <pivotArea dataOnly="0" labelOnly="1" fieldPosition="0">
        <references count="1">
          <reference field="42" count="0"/>
        </references>
      </pivotArea>
    </format>
    <format dxfId="310">
      <pivotArea dataOnly="0" labelOnly="1" fieldPosition="0">
        <references count="1">
          <reference field="42" count="0"/>
        </references>
      </pivotArea>
    </format>
    <format dxfId="309">
      <pivotArea collapsedLevelsAreSubtotals="1" fieldPosition="0">
        <references count="2">
          <reference field="8" count="1">
            <x v="0"/>
          </reference>
          <reference field="42" count="1" selected="0">
            <x v="0"/>
          </reference>
        </references>
      </pivotArea>
    </format>
    <format dxfId="308">
      <pivotArea collapsedLevelsAreSubtotals="1" fieldPosition="0">
        <references count="2">
          <reference field="8" count="1">
            <x v="3"/>
          </reference>
          <reference field="42" count="1" selected="0">
            <x v="3"/>
          </reference>
        </references>
      </pivotArea>
    </format>
    <format dxfId="307">
      <pivotArea type="origin" dataOnly="0" labelOnly="1" outline="0" fieldPosition="0"/>
    </format>
    <format dxfId="306">
      <pivotArea collapsedLevelsAreSubtotals="1" fieldPosition="0">
        <references count="2">
          <reference field="8" count="1">
            <x v="0"/>
          </reference>
          <reference field="42" count="1" selected="0">
            <x v="0"/>
          </reference>
        </references>
      </pivotArea>
    </format>
    <format dxfId="305">
      <pivotArea collapsedLevelsAreSubtotals="1" fieldPosition="0">
        <references count="2">
          <reference field="8" count="1">
            <x v="3"/>
          </reference>
          <reference field="42" count="1" selected="0">
            <x v="3"/>
          </reference>
        </references>
      </pivotArea>
    </format>
  </formats>
  <pivotTableStyleInfo name="PivotStyleLight7"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2802692-51D8-4402-AF88-12AFC5E33BC5}"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V4:W21" firstHeaderRow="1" firstDataRow="1" firstDataCol="1"/>
  <pivotFields count="74">
    <pivotField showAll="0"/>
    <pivotField axis="axisRow" showAll="0">
      <items count="103">
        <item x="68"/>
        <item x="69"/>
        <item x="70"/>
        <item x="71"/>
        <item x="0"/>
        <item x="72"/>
        <item x="73"/>
        <item x="1"/>
        <item x="74"/>
        <item x="75"/>
        <item x="64"/>
        <item x="2"/>
        <item x="3"/>
        <item x="65"/>
        <item x="76"/>
        <item x="4"/>
        <item x="77"/>
        <item x="78"/>
        <item x="98"/>
        <item x="5"/>
        <item x="6"/>
        <item x="7"/>
        <item x="8"/>
        <item x="79"/>
        <item x="9"/>
        <item x="80"/>
        <item x="81"/>
        <item x="10"/>
        <item x="82"/>
        <item x="11"/>
        <item x="12"/>
        <item x="13"/>
        <item x="83"/>
        <item x="84"/>
        <item x="85"/>
        <item x="14"/>
        <item x="15"/>
        <item x="16"/>
        <item x="17"/>
        <item x="18"/>
        <item x="19"/>
        <item x="86"/>
        <item x="87"/>
        <item x="20"/>
        <item x="88"/>
        <item x="89"/>
        <item x="21"/>
        <item x="22"/>
        <item x="90"/>
        <item x="23"/>
        <item x="66"/>
        <item x="99"/>
        <item x="24"/>
        <item x="100"/>
        <item x="25"/>
        <item x="91"/>
        <item x="92"/>
        <item x="97"/>
        <item x="26"/>
        <item x="27"/>
        <item x="28"/>
        <item x="29"/>
        <item x="30"/>
        <item x="31"/>
        <item x="32"/>
        <item x="33"/>
        <item x="67"/>
        <item x="34"/>
        <item x="35"/>
        <item x="36"/>
        <item x="37"/>
        <item x="38"/>
        <item x="45"/>
        <item x="39"/>
        <item x="40"/>
        <item x="41"/>
        <item x="42"/>
        <item x="43"/>
        <item x="44"/>
        <item x="46"/>
        <item x="47"/>
        <item x="48"/>
        <item x="49"/>
        <item x="50"/>
        <item x="51"/>
        <item x="52"/>
        <item x="53"/>
        <item x="101"/>
        <item x="54"/>
        <item x="55"/>
        <item x="56"/>
        <item x="57"/>
        <item x="58"/>
        <item x="93"/>
        <item x="59"/>
        <item x="94"/>
        <item x="95"/>
        <item x="60"/>
        <item x="61"/>
        <item x="62"/>
        <item x="63"/>
        <item x="96"/>
        <item t="default"/>
      </items>
    </pivotField>
    <pivotField showAll="0"/>
    <pivotField showAll="0"/>
    <pivotField showAll="0"/>
    <pivotField showAll="0"/>
    <pivotField showAll="0"/>
    <pivotField axis="axisRow" dataField="1" showAll="0">
      <items count="6">
        <item x="1"/>
        <item sd="0" x="3"/>
        <item sd="0" x="0"/>
        <item sd="0" x="2"/>
        <item sd="0"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7"/>
    <field x="1"/>
  </rowFields>
  <rowItems count="17">
    <i>
      <x/>
    </i>
    <i r="1">
      <x/>
    </i>
    <i r="1">
      <x v="3"/>
    </i>
    <i r="1">
      <x v="6"/>
    </i>
    <i r="1">
      <x v="9"/>
    </i>
    <i r="1">
      <x v="23"/>
    </i>
    <i r="1">
      <x v="26"/>
    </i>
    <i r="1">
      <x v="32"/>
    </i>
    <i r="1">
      <x v="34"/>
    </i>
    <i r="1">
      <x v="41"/>
    </i>
    <i r="1">
      <x v="45"/>
    </i>
    <i r="1">
      <x v="96"/>
    </i>
    <i>
      <x v="1"/>
    </i>
    <i>
      <x v="2"/>
    </i>
    <i>
      <x v="3"/>
    </i>
    <i>
      <x v="4"/>
    </i>
    <i t="grand">
      <x/>
    </i>
  </rowItems>
  <colItems count="1">
    <i/>
  </colItems>
  <dataFields count="1">
    <dataField name="Count of License Status" fld="7" subtotal="count" baseField="0" baseItem="0"/>
  </dataFields>
  <formats count="67">
    <format dxfId="405">
      <pivotArea type="all" dataOnly="0" outline="0" fieldPosition="0"/>
    </format>
    <format dxfId="404">
      <pivotArea outline="0" collapsedLevelsAreSubtotals="1" fieldPosition="0"/>
    </format>
    <format dxfId="403">
      <pivotArea field="7" type="button" dataOnly="0" labelOnly="1" outline="0" axis="axisRow" fieldPosition="0"/>
    </format>
    <format dxfId="402">
      <pivotArea dataOnly="0" labelOnly="1" fieldPosition="0">
        <references count="1">
          <reference field="7" count="0"/>
        </references>
      </pivotArea>
    </format>
    <format dxfId="401">
      <pivotArea dataOnly="0" labelOnly="1" grandRow="1" outline="0" fieldPosition="0"/>
    </format>
    <format dxfId="400">
      <pivotArea dataOnly="0" labelOnly="1" outline="0" axis="axisValues" fieldPosition="0"/>
    </format>
    <format dxfId="399">
      <pivotArea type="all" dataOnly="0" outline="0" fieldPosition="0"/>
    </format>
    <format dxfId="398">
      <pivotArea outline="0" collapsedLevelsAreSubtotals="1" fieldPosition="0"/>
    </format>
    <format dxfId="397">
      <pivotArea field="7" type="button" dataOnly="0" labelOnly="1" outline="0" axis="axisRow" fieldPosition="0"/>
    </format>
    <format dxfId="396">
      <pivotArea dataOnly="0" labelOnly="1" fieldPosition="0">
        <references count="1">
          <reference field="7" count="0"/>
        </references>
      </pivotArea>
    </format>
    <format dxfId="395">
      <pivotArea dataOnly="0" labelOnly="1" grandRow="1" outline="0" fieldPosition="0"/>
    </format>
    <format dxfId="394">
      <pivotArea dataOnly="0" labelOnly="1" outline="0" axis="axisValues" fieldPosition="0"/>
    </format>
    <format dxfId="393">
      <pivotArea type="all" dataOnly="0" outline="0" fieldPosition="0"/>
    </format>
    <format dxfId="392">
      <pivotArea field="7" type="button" dataOnly="0" labelOnly="1" outline="0" axis="axisRow" fieldPosition="0"/>
    </format>
    <format dxfId="391">
      <pivotArea dataOnly="0" labelOnly="1" fieldPosition="0">
        <references count="1">
          <reference field="7" count="0"/>
        </references>
      </pivotArea>
    </format>
    <format dxfId="390">
      <pivotArea dataOnly="0" labelOnly="1" grandRow="1" outline="0" fieldPosition="0"/>
    </format>
    <format dxfId="389">
      <pivotArea type="all" dataOnly="0" outline="0" fieldPosition="0"/>
    </format>
    <format dxfId="388">
      <pivotArea outline="0" collapsedLevelsAreSubtotals="1" fieldPosition="0"/>
    </format>
    <format dxfId="387">
      <pivotArea field="7" type="button" dataOnly="0" labelOnly="1" outline="0" axis="axisRow" fieldPosition="0"/>
    </format>
    <format dxfId="386">
      <pivotArea dataOnly="0" labelOnly="1" fieldPosition="0">
        <references count="1">
          <reference field="7" count="0"/>
        </references>
      </pivotArea>
    </format>
    <format dxfId="385">
      <pivotArea dataOnly="0" labelOnly="1" grandRow="1" outline="0" fieldPosition="0"/>
    </format>
    <format dxfId="384">
      <pivotArea dataOnly="0" labelOnly="1" outline="0" axis="axisValues" fieldPosition="0"/>
    </format>
    <format dxfId="383">
      <pivotArea outline="0" collapsedLevelsAreSubtotals="1" fieldPosition="0"/>
    </format>
    <format dxfId="382">
      <pivotArea dataOnly="0" labelOnly="1" outline="0" axis="axisValues" fieldPosition="0"/>
    </format>
    <format dxfId="381">
      <pivotArea type="all" dataOnly="0" outline="0" fieldPosition="0"/>
    </format>
    <format dxfId="380">
      <pivotArea outline="0" collapsedLevelsAreSubtotals="1" fieldPosition="0"/>
    </format>
    <format dxfId="379">
      <pivotArea field="7" type="button" dataOnly="0" labelOnly="1" outline="0" axis="axisRow" fieldPosition="0"/>
    </format>
    <format dxfId="378">
      <pivotArea dataOnly="0" labelOnly="1" fieldPosition="0">
        <references count="1">
          <reference field="7" count="0"/>
        </references>
      </pivotArea>
    </format>
    <format dxfId="377">
      <pivotArea dataOnly="0" labelOnly="1" grandRow="1" outline="0" fieldPosition="0"/>
    </format>
    <format dxfId="376">
      <pivotArea dataOnly="0" labelOnly="1" outline="0" axis="axisValues" fieldPosition="0"/>
    </format>
    <format dxfId="375">
      <pivotArea type="all" dataOnly="0" outline="0" fieldPosition="0"/>
    </format>
    <format dxfId="374">
      <pivotArea outline="0" collapsedLevelsAreSubtotals="1" fieldPosition="0"/>
    </format>
    <format dxfId="373">
      <pivotArea field="7" type="button" dataOnly="0" labelOnly="1" outline="0" axis="axisRow" fieldPosition="0"/>
    </format>
    <format dxfId="372">
      <pivotArea dataOnly="0" labelOnly="1" fieldPosition="0">
        <references count="1">
          <reference field="7" count="0"/>
        </references>
      </pivotArea>
    </format>
    <format dxfId="371">
      <pivotArea dataOnly="0" labelOnly="1" grandRow="1" outline="0" fieldPosition="0"/>
    </format>
    <format dxfId="370">
      <pivotArea dataOnly="0" labelOnly="1" outline="0" axis="axisValues" fieldPosition="0"/>
    </format>
    <format dxfId="369">
      <pivotArea type="all" dataOnly="0" outline="0" fieldPosition="0"/>
    </format>
    <format dxfId="368">
      <pivotArea outline="0" collapsedLevelsAreSubtotals="1" fieldPosition="0"/>
    </format>
    <format dxfId="367">
      <pivotArea field="7" type="button" dataOnly="0" labelOnly="1" outline="0" axis="axisRow" fieldPosition="0"/>
    </format>
    <format dxfId="366">
      <pivotArea dataOnly="0" labelOnly="1" fieldPosition="0">
        <references count="1">
          <reference field="7" count="0"/>
        </references>
      </pivotArea>
    </format>
    <format dxfId="365">
      <pivotArea dataOnly="0" labelOnly="1" grandRow="1" outline="0" fieldPosition="0"/>
    </format>
    <format dxfId="364">
      <pivotArea dataOnly="0" labelOnly="1" outline="0" axis="axisValues" fieldPosition="0"/>
    </format>
    <format dxfId="363">
      <pivotArea type="all" dataOnly="0" outline="0" fieldPosition="0"/>
    </format>
    <format dxfId="362">
      <pivotArea outline="0" collapsedLevelsAreSubtotals="1" fieldPosition="0"/>
    </format>
    <format dxfId="361">
      <pivotArea field="7" type="button" dataOnly="0" labelOnly="1" outline="0" axis="axisRow" fieldPosition="0"/>
    </format>
    <format dxfId="360">
      <pivotArea dataOnly="0" labelOnly="1" fieldPosition="0">
        <references count="1">
          <reference field="7" count="0"/>
        </references>
      </pivotArea>
    </format>
    <format dxfId="359">
      <pivotArea dataOnly="0" labelOnly="1" grandRow="1" outline="0" fieldPosition="0"/>
    </format>
    <format dxfId="358">
      <pivotArea dataOnly="0" labelOnly="1" outline="0" axis="axisValues" fieldPosition="0"/>
    </format>
    <format dxfId="357">
      <pivotArea type="all" dataOnly="0" outline="0" fieldPosition="0"/>
    </format>
    <format dxfId="356">
      <pivotArea outline="0" collapsedLevelsAreSubtotals="1" fieldPosition="0"/>
    </format>
    <format dxfId="355">
      <pivotArea dataOnly="0" labelOnly="1" fieldPosition="0">
        <references count="1">
          <reference field="7" count="0"/>
        </references>
      </pivotArea>
    </format>
    <format dxfId="354">
      <pivotArea dataOnly="0" labelOnly="1" grandRow="1" outline="0" fieldPosition="0"/>
    </format>
    <format dxfId="353">
      <pivotArea type="all" dataOnly="0" outline="0" fieldPosition="0"/>
    </format>
    <format dxfId="352">
      <pivotArea outline="0" collapsedLevelsAreSubtotals="1" fieldPosition="0"/>
    </format>
    <format dxfId="351">
      <pivotArea field="7" type="button" dataOnly="0" labelOnly="1" outline="0" axis="axisRow" fieldPosition="0"/>
    </format>
    <format dxfId="350">
      <pivotArea dataOnly="0" labelOnly="1" fieldPosition="0">
        <references count="1">
          <reference field="7" count="0"/>
        </references>
      </pivotArea>
    </format>
    <format dxfId="349">
      <pivotArea dataOnly="0" labelOnly="1" grandRow="1" outline="0" fieldPosition="0"/>
    </format>
    <format dxfId="348">
      <pivotArea dataOnly="0" labelOnly="1" outline="0" axis="axisValues" fieldPosition="0"/>
    </format>
    <format dxfId="347">
      <pivotArea field="7" type="button" dataOnly="0" labelOnly="1" outline="0" axis="axisRow" fieldPosition="0"/>
    </format>
    <format dxfId="346">
      <pivotArea dataOnly="0" labelOnly="1" outline="0" axis="axisValues" fieldPosition="0"/>
    </format>
    <format dxfId="345">
      <pivotArea type="all" dataOnly="0" outline="0" fieldPosition="0"/>
    </format>
    <format dxfId="344">
      <pivotArea outline="0" collapsedLevelsAreSubtotals="1" fieldPosition="0"/>
    </format>
    <format dxfId="343">
      <pivotArea field="7" type="button" dataOnly="0" labelOnly="1" outline="0" axis="axisRow" fieldPosition="0"/>
    </format>
    <format dxfId="342">
      <pivotArea dataOnly="0" labelOnly="1" fieldPosition="0">
        <references count="1">
          <reference field="7" count="0"/>
        </references>
      </pivotArea>
    </format>
    <format dxfId="341">
      <pivotArea dataOnly="0" labelOnly="1" grandRow="1" outline="0" fieldPosition="0"/>
    </format>
    <format dxfId="340">
      <pivotArea dataOnly="0" labelOnly="1" fieldPosition="0">
        <references count="2">
          <reference field="1" count="11">
            <x v="0"/>
            <x v="3"/>
            <x v="6"/>
            <x v="9"/>
            <x v="23"/>
            <x v="26"/>
            <x v="32"/>
            <x v="34"/>
            <x v="41"/>
            <x v="45"/>
            <x v="96"/>
          </reference>
          <reference field="7" count="1" selected="0">
            <x v="0"/>
          </reference>
        </references>
      </pivotArea>
    </format>
    <format dxfId="339">
      <pivotArea dataOnly="0" labelOnly="1" outline="0" axis="axisValues" fieldPosition="0"/>
    </format>
  </formats>
  <pivotTableStyleInfo name="PivotStyleLight7"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C9A414F-3BDA-46FA-9E03-9F5852421BAB}"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P4:Q48" firstHeaderRow="1" firstDataRow="1" firstDataCol="1"/>
  <pivotFields count="74">
    <pivotField showAll="0"/>
    <pivotField axis="axisRow" showAll="0">
      <items count="103">
        <item x="68"/>
        <item x="69"/>
        <item x="70"/>
        <item x="71"/>
        <item x="0"/>
        <item x="72"/>
        <item x="73"/>
        <item x="1"/>
        <item x="74"/>
        <item x="75"/>
        <item x="64"/>
        <item x="2"/>
        <item x="3"/>
        <item x="65"/>
        <item x="76"/>
        <item x="4"/>
        <item x="77"/>
        <item x="78"/>
        <item x="98"/>
        <item x="5"/>
        <item x="6"/>
        <item x="7"/>
        <item x="8"/>
        <item x="79"/>
        <item x="9"/>
        <item x="80"/>
        <item x="81"/>
        <item x="10"/>
        <item x="82"/>
        <item x="11"/>
        <item x="12"/>
        <item x="13"/>
        <item x="83"/>
        <item x="84"/>
        <item x="85"/>
        <item x="14"/>
        <item x="15"/>
        <item x="16"/>
        <item x="17"/>
        <item x="18"/>
        <item x="19"/>
        <item x="86"/>
        <item x="87"/>
        <item x="20"/>
        <item x="88"/>
        <item x="89"/>
        <item x="21"/>
        <item x="22"/>
        <item x="90"/>
        <item x="23"/>
        <item x="66"/>
        <item x="99"/>
        <item x="24"/>
        <item x="100"/>
        <item x="25"/>
        <item x="91"/>
        <item x="92"/>
        <item x="97"/>
        <item x="26"/>
        <item x="27"/>
        <item x="28"/>
        <item x="29"/>
        <item x="30"/>
        <item x="31"/>
        <item x="32"/>
        <item x="33"/>
        <item x="67"/>
        <item x="34"/>
        <item x="35"/>
        <item x="36"/>
        <item x="37"/>
        <item x="38"/>
        <item x="45"/>
        <item x="39"/>
        <item x="40"/>
        <item x="41"/>
        <item x="42"/>
        <item x="43"/>
        <item x="44"/>
        <item x="46"/>
        <item x="47"/>
        <item x="48"/>
        <item x="49"/>
        <item x="50"/>
        <item x="51"/>
        <item x="52"/>
        <item x="53"/>
        <item x="101"/>
        <item x="54"/>
        <item x="55"/>
        <item x="56"/>
        <item x="57"/>
        <item x="58"/>
        <item x="93"/>
        <item x="59"/>
        <item x="94"/>
        <item x="95"/>
        <item x="60"/>
        <item x="61"/>
        <item x="62"/>
        <item x="63"/>
        <item x="96"/>
        <item t="default"/>
      </items>
    </pivotField>
    <pivotField showAll="0"/>
    <pivotField showAll="0"/>
    <pivotField showAll="0"/>
    <pivotField showAll="0"/>
    <pivotField axis="axisRow" dataField="1" showAll="0">
      <items count="6">
        <item x="1"/>
        <item sd="0" x="0"/>
        <item sd="0" x="2"/>
        <item sd="0" x="3"/>
        <item sd="0"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6"/>
    <field x="1"/>
  </rowFields>
  <rowItems count="44">
    <i>
      <x/>
    </i>
    <i r="1">
      <x/>
    </i>
    <i r="1">
      <x v="3"/>
    </i>
    <i r="1">
      <x v="6"/>
    </i>
    <i r="1">
      <x v="7"/>
    </i>
    <i r="1">
      <x v="9"/>
    </i>
    <i r="1">
      <x v="12"/>
    </i>
    <i r="1">
      <x v="15"/>
    </i>
    <i r="1">
      <x v="23"/>
    </i>
    <i r="1">
      <x v="27"/>
    </i>
    <i r="1">
      <x v="31"/>
    </i>
    <i r="1">
      <x v="32"/>
    </i>
    <i r="1">
      <x v="34"/>
    </i>
    <i r="1">
      <x v="35"/>
    </i>
    <i r="1">
      <x v="37"/>
    </i>
    <i r="1">
      <x v="38"/>
    </i>
    <i r="1">
      <x v="40"/>
    </i>
    <i r="1">
      <x v="41"/>
    </i>
    <i r="1">
      <x v="45"/>
    </i>
    <i r="1">
      <x v="47"/>
    </i>
    <i r="1">
      <x v="49"/>
    </i>
    <i r="1">
      <x v="60"/>
    </i>
    <i r="1">
      <x v="62"/>
    </i>
    <i r="1">
      <x v="63"/>
    </i>
    <i r="1">
      <x v="68"/>
    </i>
    <i r="1">
      <x v="71"/>
    </i>
    <i r="1">
      <x v="72"/>
    </i>
    <i r="1">
      <x v="73"/>
    </i>
    <i r="1">
      <x v="74"/>
    </i>
    <i r="1">
      <x v="79"/>
    </i>
    <i r="1">
      <x v="81"/>
    </i>
    <i r="1">
      <x v="82"/>
    </i>
    <i r="1">
      <x v="83"/>
    </i>
    <i r="1">
      <x v="85"/>
    </i>
    <i r="1">
      <x v="86"/>
    </i>
    <i r="1">
      <x v="92"/>
    </i>
    <i r="1">
      <x v="96"/>
    </i>
    <i r="1">
      <x v="97"/>
    </i>
    <i r="1">
      <x v="98"/>
    </i>
    <i>
      <x v="1"/>
    </i>
    <i>
      <x v="2"/>
    </i>
    <i>
      <x v="3"/>
    </i>
    <i>
      <x v="4"/>
    </i>
    <i t="grand">
      <x/>
    </i>
  </rowItems>
  <colItems count="1">
    <i/>
  </colItems>
  <dataFields count="1">
    <dataField name="Count of Development Status" fld="6" subtotal="count" baseField="0" baseItem="0"/>
  </dataFields>
  <formats count="61">
    <format dxfId="466">
      <pivotArea type="all" dataOnly="0" outline="0" fieldPosition="0"/>
    </format>
    <format dxfId="465">
      <pivotArea outline="0" collapsedLevelsAreSubtotals="1" fieldPosition="0"/>
    </format>
    <format dxfId="464">
      <pivotArea field="6" type="button" dataOnly="0" labelOnly="1" outline="0" axis="axisRow" fieldPosition="0"/>
    </format>
    <format dxfId="463">
      <pivotArea dataOnly="0" labelOnly="1" fieldPosition="0">
        <references count="1">
          <reference field="6" count="0"/>
        </references>
      </pivotArea>
    </format>
    <format dxfId="462">
      <pivotArea dataOnly="0" labelOnly="1" grandRow="1" outline="0" fieldPosition="0"/>
    </format>
    <format dxfId="461">
      <pivotArea dataOnly="0" labelOnly="1" outline="0" axis="axisValues" fieldPosition="0"/>
    </format>
    <format dxfId="460">
      <pivotArea type="all" dataOnly="0" outline="0" fieldPosition="0"/>
    </format>
    <format dxfId="459">
      <pivotArea outline="0" collapsedLevelsAreSubtotals="1" fieldPosition="0"/>
    </format>
    <format dxfId="458">
      <pivotArea field="6" type="button" dataOnly="0" labelOnly="1" outline="0" axis="axisRow" fieldPosition="0"/>
    </format>
    <format dxfId="457">
      <pivotArea dataOnly="0" labelOnly="1" fieldPosition="0">
        <references count="1">
          <reference field="6" count="0"/>
        </references>
      </pivotArea>
    </format>
    <format dxfId="456">
      <pivotArea dataOnly="0" labelOnly="1" grandRow="1" outline="0" fieldPosition="0"/>
    </format>
    <format dxfId="455">
      <pivotArea dataOnly="0" labelOnly="1" outline="0" axis="axisValues" fieldPosition="0"/>
    </format>
    <format dxfId="454">
      <pivotArea type="all" dataOnly="0" outline="0" fieldPosition="0"/>
    </format>
    <format dxfId="453">
      <pivotArea field="6" type="button" dataOnly="0" labelOnly="1" outline="0" axis="axisRow" fieldPosition="0"/>
    </format>
    <format dxfId="452">
      <pivotArea dataOnly="0" labelOnly="1" fieldPosition="0">
        <references count="1">
          <reference field="6" count="0"/>
        </references>
      </pivotArea>
    </format>
    <format dxfId="451">
      <pivotArea dataOnly="0" labelOnly="1" grandRow="1" outline="0" fieldPosition="0"/>
    </format>
    <format dxfId="450">
      <pivotArea type="all" dataOnly="0" outline="0" fieldPosition="0"/>
    </format>
    <format dxfId="449">
      <pivotArea outline="0" collapsedLevelsAreSubtotals="1" fieldPosition="0"/>
    </format>
    <format dxfId="448">
      <pivotArea field="6" type="button" dataOnly="0" labelOnly="1" outline="0" axis="axisRow" fieldPosition="0"/>
    </format>
    <format dxfId="447">
      <pivotArea dataOnly="0" labelOnly="1" fieldPosition="0">
        <references count="1">
          <reference field="6" count="0"/>
        </references>
      </pivotArea>
    </format>
    <format dxfId="446">
      <pivotArea dataOnly="0" labelOnly="1" grandRow="1" outline="0" fieldPosition="0"/>
    </format>
    <format dxfId="445">
      <pivotArea dataOnly="0" labelOnly="1" outline="0" axis="axisValues" fieldPosition="0"/>
    </format>
    <format dxfId="444">
      <pivotArea outline="0" collapsedLevelsAreSubtotals="1" fieldPosition="0"/>
    </format>
    <format dxfId="443">
      <pivotArea dataOnly="0" labelOnly="1" outline="0" axis="axisValues" fieldPosition="0"/>
    </format>
    <format dxfId="442">
      <pivotArea dataOnly="0" labelOnly="1" outline="0" axis="axisValues" fieldPosition="0"/>
    </format>
    <format dxfId="441">
      <pivotArea type="all" dataOnly="0" outline="0" fieldPosition="0"/>
    </format>
    <format dxfId="440">
      <pivotArea outline="0" collapsedLevelsAreSubtotals="1" fieldPosition="0"/>
    </format>
    <format dxfId="439">
      <pivotArea field="6" type="button" dataOnly="0" labelOnly="1" outline="0" axis="axisRow" fieldPosition="0"/>
    </format>
    <format dxfId="438">
      <pivotArea dataOnly="0" labelOnly="1" fieldPosition="0">
        <references count="1">
          <reference field="6" count="0"/>
        </references>
      </pivotArea>
    </format>
    <format dxfId="437">
      <pivotArea dataOnly="0" labelOnly="1" grandRow="1" outline="0" fieldPosition="0"/>
    </format>
    <format dxfId="436">
      <pivotArea dataOnly="0" labelOnly="1" outline="0" axis="axisValues" fieldPosition="0"/>
    </format>
    <format dxfId="435">
      <pivotArea type="all" dataOnly="0" outline="0" fieldPosition="0"/>
    </format>
    <format dxfId="434">
      <pivotArea outline="0" collapsedLevelsAreSubtotals="1" fieldPosition="0"/>
    </format>
    <format dxfId="433">
      <pivotArea field="6" type="button" dataOnly="0" labelOnly="1" outline="0" axis="axisRow" fieldPosition="0"/>
    </format>
    <format dxfId="432">
      <pivotArea dataOnly="0" labelOnly="1" fieldPosition="0">
        <references count="1">
          <reference field="6" count="0"/>
        </references>
      </pivotArea>
    </format>
    <format dxfId="431">
      <pivotArea dataOnly="0" labelOnly="1" grandRow="1" outline="0" fieldPosition="0"/>
    </format>
    <format dxfId="430">
      <pivotArea dataOnly="0" labelOnly="1" outline="0" axis="axisValues" fieldPosition="0"/>
    </format>
    <format dxfId="429">
      <pivotArea type="all" dataOnly="0" outline="0" fieldPosition="0"/>
    </format>
    <format dxfId="428">
      <pivotArea outline="0" collapsedLevelsAreSubtotals="1" fieldPosition="0"/>
    </format>
    <format dxfId="427">
      <pivotArea field="6" type="button" dataOnly="0" labelOnly="1" outline="0" axis="axisRow" fieldPosition="0"/>
    </format>
    <format dxfId="426">
      <pivotArea dataOnly="0" labelOnly="1" fieldPosition="0">
        <references count="1">
          <reference field="6" count="0"/>
        </references>
      </pivotArea>
    </format>
    <format dxfId="425">
      <pivotArea dataOnly="0" labelOnly="1" grandRow="1" outline="0" fieldPosition="0"/>
    </format>
    <format dxfId="424">
      <pivotArea dataOnly="0" labelOnly="1" outline="0" axis="axisValues" fieldPosition="0"/>
    </format>
    <format dxfId="423">
      <pivotArea type="all" dataOnly="0" outline="0" fieldPosition="0"/>
    </format>
    <format dxfId="422">
      <pivotArea outline="0" collapsedLevelsAreSubtotals="1" fieldPosition="0"/>
    </format>
    <format dxfId="421">
      <pivotArea field="6" type="button" dataOnly="0" labelOnly="1" outline="0" axis="axisRow" fieldPosition="0"/>
    </format>
    <format dxfId="420">
      <pivotArea dataOnly="0" labelOnly="1" fieldPosition="0">
        <references count="1">
          <reference field="6" count="0"/>
        </references>
      </pivotArea>
    </format>
    <format dxfId="419">
      <pivotArea dataOnly="0" labelOnly="1" grandRow="1" outline="0" fieldPosition="0"/>
    </format>
    <format dxfId="418">
      <pivotArea dataOnly="0" labelOnly="1" outline="0" axis="axisValues" fieldPosition="0"/>
    </format>
    <format dxfId="417">
      <pivotArea type="all" dataOnly="0" outline="0" fieldPosition="0"/>
    </format>
    <format dxfId="416">
      <pivotArea outline="0" collapsedLevelsAreSubtotals="1" fieldPosition="0"/>
    </format>
    <format dxfId="415">
      <pivotArea dataOnly="0" labelOnly="1" fieldPosition="0">
        <references count="1">
          <reference field="6" count="0"/>
        </references>
      </pivotArea>
    </format>
    <format dxfId="414">
      <pivotArea dataOnly="0" labelOnly="1" grandRow="1" outline="0" fieldPosition="0"/>
    </format>
    <format dxfId="413">
      <pivotArea type="all" dataOnly="0" outline="0" fieldPosition="0"/>
    </format>
    <format dxfId="412">
      <pivotArea outline="0" collapsedLevelsAreSubtotals="1" fieldPosition="0"/>
    </format>
    <format dxfId="411">
      <pivotArea field="6" type="button" dataOnly="0" labelOnly="1" outline="0" axis="axisRow" fieldPosition="0"/>
    </format>
    <format dxfId="410">
      <pivotArea dataOnly="0" labelOnly="1" fieldPosition="0">
        <references count="1">
          <reference field="6" count="0"/>
        </references>
      </pivotArea>
    </format>
    <format dxfId="409">
      <pivotArea dataOnly="0" labelOnly="1" grandRow="1" outline="0" fieldPosition="0"/>
    </format>
    <format dxfId="408">
      <pivotArea dataOnly="0" labelOnly="1" outline="0" axis="axisValues" fieldPosition="0"/>
    </format>
    <format dxfId="407">
      <pivotArea field="6" type="button" dataOnly="0" labelOnly="1" outline="0" axis="axisRow" fieldPosition="0"/>
    </format>
    <format dxfId="406">
      <pivotArea dataOnly="0" labelOnly="1" outline="0" axis="axisValues" fieldPosition="0"/>
    </format>
  </formats>
  <pivotTableStyleInfo name="PivotStyleLight7"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74DCC33B-0E52-4A06-88FD-A377EB3CFF4F}" name="PivotTable4"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S4:T53" firstHeaderRow="1" firstDataRow="1" firstDataCol="1"/>
  <pivotFields count="74">
    <pivotField showAll="0"/>
    <pivotField axis="axisRow" showAll="0">
      <items count="103">
        <item x="68"/>
        <item x="69"/>
        <item x="70"/>
        <item x="71"/>
        <item x="0"/>
        <item x="72"/>
        <item x="73"/>
        <item x="1"/>
        <item x="74"/>
        <item x="75"/>
        <item x="64"/>
        <item x="2"/>
        <item x="3"/>
        <item x="65"/>
        <item x="76"/>
        <item x="4"/>
        <item x="77"/>
        <item x="78"/>
        <item x="98"/>
        <item x="5"/>
        <item x="6"/>
        <item x="7"/>
        <item x="8"/>
        <item x="79"/>
        <item x="9"/>
        <item x="80"/>
        <item x="81"/>
        <item x="10"/>
        <item x="82"/>
        <item x="11"/>
        <item x="12"/>
        <item x="13"/>
        <item x="83"/>
        <item x="84"/>
        <item x="85"/>
        <item x="14"/>
        <item x="15"/>
        <item x="16"/>
        <item x="17"/>
        <item x="18"/>
        <item x="19"/>
        <item x="86"/>
        <item x="87"/>
        <item x="20"/>
        <item x="88"/>
        <item x="89"/>
        <item x="21"/>
        <item x="22"/>
        <item x="90"/>
        <item x="23"/>
        <item x="66"/>
        <item x="99"/>
        <item x="24"/>
        <item x="100"/>
        <item x="25"/>
        <item x="91"/>
        <item x="92"/>
        <item x="97"/>
        <item x="26"/>
        <item x="27"/>
        <item x="28"/>
        <item x="29"/>
        <item x="30"/>
        <item x="31"/>
        <item x="32"/>
        <item x="33"/>
        <item x="67"/>
        <item x="34"/>
        <item x="35"/>
        <item x="36"/>
        <item x="37"/>
        <item x="38"/>
        <item x="45"/>
        <item x="39"/>
        <item x="40"/>
        <item x="41"/>
        <item x="42"/>
        <item x="43"/>
        <item x="44"/>
        <item x="46"/>
        <item x="47"/>
        <item x="48"/>
        <item x="49"/>
        <item x="50"/>
        <item x="51"/>
        <item x="52"/>
        <item x="53"/>
        <item x="101"/>
        <item x="54"/>
        <item x="55"/>
        <item x="56"/>
        <item x="57"/>
        <item x="58"/>
        <item x="93"/>
        <item x="59"/>
        <item x="94"/>
        <item x="95"/>
        <item x="60"/>
        <item x="61"/>
        <item x="62"/>
        <item x="63"/>
        <item x="9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1"/>
        <item sd="0"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37"/>
    <field x="1"/>
  </rowFields>
  <rowItems count="49">
    <i>
      <x/>
    </i>
    <i r="1">
      <x v="3"/>
    </i>
    <i r="1">
      <x v="6"/>
    </i>
    <i r="1">
      <x v="7"/>
    </i>
    <i r="1">
      <x v="9"/>
    </i>
    <i r="1">
      <x v="16"/>
    </i>
    <i r="1">
      <x v="18"/>
    </i>
    <i r="1">
      <x v="23"/>
    </i>
    <i r="1">
      <x v="26"/>
    </i>
    <i r="1">
      <x v="31"/>
    </i>
    <i r="1">
      <x v="32"/>
    </i>
    <i r="1">
      <x v="34"/>
    </i>
    <i r="1">
      <x v="35"/>
    </i>
    <i r="1">
      <x v="45"/>
    </i>
    <i r="1">
      <x v="49"/>
    </i>
    <i r="1">
      <x v="51"/>
    </i>
    <i r="1">
      <x v="53"/>
    </i>
    <i r="1">
      <x v="57"/>
    </i>
    <i r="1">
      <x v="63"/>
    </i>
    <i r="1">
      <x v="74"/>
    </i>
    <i r="1">
      <x v="79"/>
    </i>
    <i r="1">
      <x v="85"/>
    </i>
    <i r="1">
      <x v="86"/>
    </i>
    <i r="1">
      <x v="87"/>
    </i>
    <i r="1">
      <x v="97"/>
    </i>
    <i>
      <x v="1"/>
    </i>
    <i>
      <x v="2"/>
    </i>
    <i r="1">
      <x v="2"/>
    </i>
    <i r="1">
      <x v="4"/>
    </i>
    <i r="1">
      <x v="8"/>
    </i>
    <i r="1">
      <x v="10"/>
    </i>
    <i r="1">
      <x v="17"/>
    </i>
    <i r="1">
      <x v="28"/>
    </i>
    <i r="1">
      <x v="36"/>
    </i>
    <i r="1">
      <x v="43"/>
    </i>
    <i r="1">
      <x v="46"/>
    </i>
    <i r="1">
      <x v="50"/>
    </i>
    <i r="1">
      <x v="54"/>
    </i>
    <i r="1">
      <x v="58"/>
    </i>
    <i r="1">
      <x v="59"/>
    </i>
    <i r="1">
      <x v="61"/>
    </i>
    <i r="1">
      <x v="64"/>
    </i>
    <i r="1">
      <x v="70"/>
    </i>
    <i r="1">
      <x v="75"/>
    </i>
    <i r="1">
      <x v="76"/>
    </i>
    <i r="1">
      <x v="84"/>
    </i>
    <i r="1">
      <x v="88"/>
    </i>
    <i r="1">
      <x v="100"/>
    </i>
    <i t="grand">
      <x/>
    </i>
  </rowItems>
  <colItems count="1">
    <i/>
  </colItems>
  <dataFields count="1">
    <dataField name="Count of Area Discrepency (Y/N)" fld="37" subtotal="count" baseField="0" baseItem="0"/>
  </dataFields>
  <formats count="67">
    <format dxfId="533">
      <pivotArea type="all" dataOnly="0" outline="0" fieldPosition="0"/>
    </format>
    <format dxfId="532">
      <pivotArea outline="0" collapsedLevelsAreSubtotals="1" fieldPosition="0"/>
    </format>
    <format dxfId="531">
      <pivotArea field="37" type="button" dataOnly="0" labelOnly="1" outline="0" axis="axisRow" fieldPosition="0"/>
    </format>
    <format dxfId="530">
      <pivotArea dataOnly="0" labelOnly="1" fieldPosition="0">
        <references count="1">
          <reference field="37" count="0"/>
        </references>
      </pivotArea>
    </format>
    <format dxfId="529">
      <pivotArea dataOnly="0" labelOnly="1" grandRow="1" outline="0" fieldPosition="0"/>
    </format>
    <format dxfId="528">
      <pivotArea dataOnly="0" labelOnly="1" outline="0" axis="axisValues" fieldPosition="0"/>
    </format>
    <format dxfId="527">
      <pivotArea type="all" dataOnly="0" outline="0" fieldPosition="0"/>
    </format>
    <format dxfId="526">
      <pivotArea outline="0" collapsedLevelsAreSubtotals="1" fieldPosition="0"/>
    </format>
    <format dxfId="525">
      <pivotArea field="37" type="button" dataOnly="0" labelOnly="1" outline="0" axis="axisRow" fieldPosition="0"/>
    </format>
    <format dxfId="524">
      <pivotArea dataOnly="0" labelOnly="1" fieldPosition="0">
        <references count="1">
          <reference field="37" count="0"/>
        </references>
      </pivotArea>
    </format>
    <format dxfId="523">
      <pivotArea dataOnly="0" labelOnly="1" grandRow="1" outline="0" fieldPosition="0"/>
    </format>
    <format dxfId="522">
      <pivotArea dataOnly="0" labelOnly="1" outline="0" axis="axisValues" fieldPosition="0"/>
    </format>
    <format dxfId="521">
      <pivotArea type="all" dataOnly="0" outline="0" fieldPosition="0"/>
    </format>
    <format dxfId="520">
      <pivotArea field="37" type="button" dataOnly="0" labelOnly="1" outline="0" axis="axisRow" fieldPosition="0"/>
    </format>
    <format dxfId="519">
      <pivotArea dataOnly="0" labelOnly="1" fieldPosition="0">
        <references count="1">
          <reference field="37" count="0"/>
        </references>
      </pivotArea>
    </format>
    <format dxfId="518">
      <pivotArea dataOnly="0" labelOnly="1" grandRow="1" outline="0" fieldPosition="0"/>
    </format>
    <format dxfId="517">
      <pivotArea type="all" dataOnly="0" outline="0" fieldPosition="0"/>
    </format>
    <format dxfId="516">
      <pivotArea outline="0" collapsedLevelsAreSubtotals="1" fieldPosition="0"/>
    </format>
    <format dxfId="515">
      <pivotArea field="37" type="button" dataOnly="0" labelOnly="1" outline="0" axis="axisRow" fieldPosition="0"/>
    </format>
    <format dxfId="514">
      <pivotArea dataOnly="0" labelOnly="1" fieldPosition="0">
        <references count="1">
          <reference field="37" count="0"/>
        </references>
      </pivotArea>
    </format>
    <format dxfId="513">
      <pivotArea dataOnly="0" labelOnly="1" grandRow="1" outline="0" fieldPosition="0"/>
    </format>
    <format dxfId="512">
      <pivotArea dataOnly="0" labelOnly="1" outline="0" axis="axisValues" fieldPosition="0"/>
    </format>
    <format dxfId="511">
      <pivotArea outline="0" collapsedLevelsAreSubtotals="1" fieldPosition="0"/>
    </format>
    <format dxfId="510">
      <pivotArea dataOnly="0" labelOnly="1" outline="0" axis="axisValues" fieldPosition="0"/>
    </format>
    <format dxfId="509">
      <pivotArea type="all" dataOnly="0" outline="0" fieldPosition="0"/>
    </format>
    <format dxfId="508">
      <pivotArea outline="0" collapsedLevelsAreSubtotals="1" fieldPosition="0"/>
    </format>
    <format dxfId="507">
      <pivotArea field="37" type="button" dataOnly="0" labelOnly="1" outline="0" axis="axisRow" fieldPosition="0"/>
    </format>
    <format dxfId="506">
      <pivotArea dataOnly="0" labelOnly="1" fieldPosition="0">
        <references count="1">
          <reference field="37" count="0"/>
        </references>
      </pivotArea>
    </format>
    <format dxfId="505">
      <pivotArea dataOnly="0" labelOnly="1" grandRow="1" outline="0" fieldPosition="0"/>
    </format>
    <format dxfId="504">
      <pivotArea dataOnly="0" labelOnly="1" outline="0" axis="axisValues" fieldPosition="0"/>
    </format>
    <format dxfId="503">
      <pivotArea type="all" dataOnly="0" outline="0" fieldPosition="0"/>
    </format>
    <format dxfId="502">
      <pivotArea outline="0" collapsedLevelsAreSubtotals="1" fieldPosition="0"/>
    </format>
    <format dxfId="501">
      <pivotArea field="37" type="button" dataOnly="0" labelOnly="1" outline="0" axis="axisRow" fieldPosition="0"/>
    </format>
    <format dxfId="500">
      <pivotArea dataOnly="0" labelOnly="1" fieldPosition="0">
        <references count="1">
          <reference field="37" count="0"/>
        </references>
      </pivotArea>
    </format>
    <format dxfId="499">
      <pivotArea dataOnly="0" labelOnly="1" grandRow="1" outline="0" fieldPosition="0"/>
    </format>
    <format dxfId="498">
      <pivotArea dataOnly="0" labelOnly="1" outline="0" axis="axisValues" fieldPosition="0"/>
    </format>
    <format dxfId="497">
      <pivotArea type="all" dataOnly="0" outline="0" fieldPosition="0"/>
    </format>
    <format dxfId="496">
      <pivotArea outline="0" collapsedLevelsAreSubtotals="1" fieldPosition="0"/>
    </format>
    <format dxfId="495">
      <pivotArea field="37" type="button" dataOnly="0" labelOnly="1" outline="0" axis="axisRow" fieldPosition="0"/>
    </format>
    <format dxfId="494">
      <pivotArea dataOnly="0" labelOnly="1" fieldPosition="0">
        <references count="1">
          <reference field="37" count="0"/>
        </references>
      </pivotArea>
    </format>
    <format dxfId="493">
      <pivotArea dataOnly="0" labelOnly="1" grandRow="1" outline="0" fieldPosition="0"/>
    </format>
    <format dxfId="492">
      <pivotArea dataOnly="0" labelOnly="1" outline="0" axis="axisValues" fieldPosition="0"/>
    </format>
    <format dxfId="491">
      <pivotArea type="all" dataOnly="0" outline="0" fieldPosition="0"/>
    </format>
    <format dxfId="490">
      <pivotArea outline="0" collapsedLevelsAreSubtotals="1" fieldPosition="0"/>
    </format>
    <format dxfId="489">
      <pivotArea field="37" type="button" dataOnly="0" labelOnly="1" outline="0" axis="axisRow" fieldPosition="0"/>
    </format>
    <format dxfId="488">
      <pivotArea dataOnly="0" labelOnly="1" fieldPosition="0">
        <references count="1">
          <reference field="37" count="0"/>
        </references>
      </pivotArea>
    </format>
    <format dxfId="487">
      <pivotArea dataOnly="0" labelOnly="1" grandRow="1" outline="0" fieldPosition="0"/>
    </format>
    <format dxfId="486">
      <pivotArea dataOnly="0" labelOnly="1" outline="0" axis="axisValues" fieldPosition="0"/>
    </format>
    <format dxfId="485">
      <pivotArea type="all" dataOnly="0" outline="0" fieldPosition="0"/>
    </format>
    <format dxfId="484">
      <pivotArea outline="0" collapsedLevelsAreSubtotals="1" fieldPosition="0"/>
    </format>
    <format dxfId="483">
      <pivotArea dataOnly="0" labelOnly="1" fieldPosition="0">
        <references count="1">
          <reference field="37" count="0"/>
        </references>
      </pivotArea>
    </format>
    <format dxfId="482">
      <pivotArea dataOnly="0" labelOnly="1" grandRow="1" outline="0" fieldPosition="0"/>
    </format>
    <format dxfId="481">
      <pivotArea type="all" dataOnly="0" outline="0" fieldPosition="0"/>
    </format>
    <format dxfId="480">
      <pivotArea outline="0" collapsedLevelsAreSubtotals="1" fieldPosition="0"/>
    </format>
    <format dxfId="479">
      <pivotArea field="37" type="button" dataOnly="0" labelOnly="1" outline="0" axis="axisRow" fieldPosition="0"/>
    </format>
    <format dxfId="478">
      <pivotArea dataOnly="0" labelOnly="1" fieldPosition="0">
        <references count="1">
          <reference field="37" count="0"/>
        </references>
      </pivotArea>
    </format>
    <format dxfId="477">
      <pivotArea dataOnly="0" labelOnly="1" grandRow="1" outline="0" fieldPosition="0"/>
    </format>
    <format dxfId="476">
      <pivotArea dataOnly="0" labelOnly="1" outline="0" axis="axisValues" fieldPosition="0"/>
    </format>
    <format dxfId="475">
      <pivotArea field="37" type="button" dataOnly="0" labelOnly="1" outline="0" axis="axisRow" fieldPosition="0"/>
    </format>
    <format dxfId="474">
      <pivotArea dataOnly="0" labelOnly="1" outline="0" axis="axisValues" fieldPosition="0"/>
    </format>
    <format dxfId="473">
      <pivotArea type="all" dataOnly="0" outline="0" fieldPosition="0"/>
    </format>
    <format dxfId="472">
      <pivotArea outline="0" collapsedLevelsAreSubtotals="1" fieldPosition="0"/>
    </format>
    <format dxfId="471">
      <pivotArea field="37" type="button" dataOnly="0" labelOnly="1" outline="0" axis="axisRow" fieldPosition="0"/>
    </format>
    <format dxfId="470">
      <pivotArea dataOnly="0" labelOnly="1" fieldPosition="0">
        <references count="1">
          <reference field="37" count="0"/>
        </references>
      </pivotArea>
    </format>
    <format dxfId="469">
      <pivotArea dataOnly="0" labelOnly="1" grandRow="1" outline="0" fieldPosition="0"/>
    </format>
    <format dxfId="468">
      <pivotArea dataOnly="0" labelOnly="1" fieldPosition="0">
        <references count="2">
          <reference field="1" count="24">
            <x v="3"/>
            <x v="6"/>
            <x v="7"/>
            <x v="9"/>
            <x v="16"/>
            <x v="18"/>
            <x v="23"/>
            <x v="26"/>
            <x v="31"/>
            <x v="32"/>
            <x v="34"/>
            <x v="35"/>
            <x v="45"/>
            <x v="49"/>
            <x v="51"/>
            <x v="53"/>
            <x v="57"/>
            <x v="63"/>
            <x v="74"/>
            <x v="79"/>
            <x v="85"/>
            <x v="86"/>
            <x v="87"/>
            <x v="97"/>
          </reference>
          <reference field="37" count="1" selected="0">
            <x v="0"/>
          </reference>
        </references>
      </pivotArea>
    </format>
    <format dxfId="467">
      <pivotArea dataOnly="0" labelOnly="1" outline="0" axis="axisValues" fieldPosition="0"/>
    </format>
  </formats>
  <pivotTableStyleInfo name="PivotStyleLight7"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80288BE7-71D9-473B-8A28-2189D55816EB}" name="Table16" displayName="Table16" ref="B7:P56" totalsRowShown="0" headerRowDxfId="2945" dataDxfId="2943" headerRowBorderDxfId="2944" tableBorderDxfId="2942" totalsRowBorderDxfId="2941">
  <autoFilter ref="B7:P56" xr:uid="{80288BE7-71D9-473B-8A28-2189D55816EB}"/>
  <sortState xmlns:xlrd2="http://schemas.microsoft.com/office/spreadsheetml/2017/richdata2" ref="B8:P56">
    <sortCondition ref="N7:N56"/>
  </sortState>
  <tableColumns count="15">
    <tableColumn id="1" xr3:uid="{896D892D-1337-4605-91E5-E96C0F3BFF87}" name="SN" dataDxfId="2940">
      <calculatedColumnFormula array="1">_xlfn.XLOOKUP(Table16[[#This Row],[Name]], Table9[[#All],[Name]], Table9[[#All],[SN]],"Not Found",0,1)</calculatedColumnFormula>
    </tableColumn>
    <tableColumn id="2" xr3:uid="{647E7062-7BB3-4EA4-917C-EA631C302C44}" name="Name" dataDxfId="2939"/>
    <tableColumn id="3" xr3:uid="{61045FEA-B834-44E0-972E-351D65EF0235}" name="Division" dataDxfId="2938">
      <calculatedColumnFormula>_xlfn.XLOOKUP(Table16[[#This Row],[SN]], Table9[SN], Table9[Division], "", 0, 1)</calculatedColumnFormula>
    </tableColumn>
    <tableColumn id="4" xr3:uid="{131E8CAC-6613-4D00-B78E-CA848C1DB91F}" name="District" dataDxfId="2937">
      <calculatedColumnFormula>_xlfn.XLOOKUP(Table16[[#This Row],[SN]], Table9[SN], Table9[District], "", 0, 1)</calculatedColumnFormula>
    </tableColumn>
    <tableColumn id="5" xr3:uid="{BA1A20FC-E439-4A41-ACD4-FF33157C7967}" name="Upazila" dataDxfId="2936">
      <calculatedColumnFormula>_xlfn.XLOOKUP(Table16[[#This Row],[SN]], Table9[SN], Table9[Upazila], "", 0, 1)</calculatedColumnFormula>
    </tableColumn>
    <tableColumn id="6" xr3:uid="{546D5048-F3A1-404B-92A4-C6B7A53B4562}" name="Type" dataDxfId="2935">
      <calculatedColumnFormula>_xlfn.XLOOKUP(Table16[[#This Row],[SN]], Table9[SN], Table9[Type], "", 0, 1)</calculatedColumnFormula>
    </tableColumn>
    <tableColumn id="7" xr3:uid="{BF354C10-1F91-4F67-8673-A167C36EBA21}" name="BEZA Updated EZ List Area (Acres)" dataDxfId="2934">
      <calculatedColumnFormula>_xlfn.XLOOKUP(Table16[[#This Row],[SN]], Table9[SN], Table9[Land Size (Acres)
(15%)], "", 0, 1)</calculatedColumnFormula>
    </tableColumn>
    <tableColumn id="8" xr3:uid="{050AB9A4-E2C2-43CE-9E18-4B1A17E6DD6D}" name="Grade" dataDxfId="2933">
      <calculatedColumnFormula>_xlfn.XLOOKUP(Table16[[#This Row],[SN]], Table9[SN], Table9[Land Availability (Grade)​
(50%)], "", 0, 1)</calculatedColumnFormula>
    </tableColumn>
    <tableColumn id="12" xr3:uid="{41134943-EDB7-4749-8632-6AF99DB1F56F}" name="Zone Priority" dataDxfId="2932">
      <calculatedColumnFormula>_xlfn.XLOOKUP(Table16[[#This Row],[SN]], Table9[SN], Table9[Zone Priority
(40%)], "", 0, 1)</calculatedColumnFormula>
    </tableColumn>
    <tableColumn id="10" xr3:uid="{6BBECB47-13DB-454D-B668-A259CB90965C}" name="Level 1 Score_x000a_(Out of 2)" dataDxfId="2931">
      <calculatedColumnFormula>_xlfn.XLOOKUP(Table16[[#This Row],[SN]], Table9[SN], Table9[Level 1 Score], "", 0, 1)</calculatedColumnFormula>
    </tableColumn>
    <tableColumn id="9" xr3:uid="{1EE75CE1-3376-4D6E-9155-83D26DE25867}" name="Level 1 Score Rank" dataDxfId="2930">
      <calculatedColumnFormula>_xlfn.XLOOKUP(Table16[[#This Row],[SN]], Table9[SN], Table9[Level 1 Score Rank], "", 0, 1)</calculatedColumnFormula>
    </tableColumn>
    <tableColumn id="14" xr3:uid="{892662EB-0250-4118-9A8F-A2C17E7429BF}" name="Total Score (Out of 4)" dataDxfId="2929">
      <calculatedColumnFormula>_xlfn.XLOOKUP(Table16[[#This Row],[SN]], Table9[SN], Table9[Total Score], "", 0, 1)</calculatedColumnFormula>
    </tableColumn>
    <tableColumn id="15" xr3:uid="{65D36BF3-6129-4780-A319-09001B295D92}" name="Total Score Rank" dataDxfId="2928">
      <calculatedColumnFormula>_xlfn.XLOOKUP(Table16[[#This Row],[SN]], Table9[SN], Table9[Total Score Rank], "", 0, 1)</calculatedColumnFormula>
    </tableColumn>
    <tableColumn id="11" xr3:uid="{A914624A-B50E-4069-A75D-9943B8230D63}" name="Original Flagship" dataDxfId="2927"/>
    <tableColumn id="13" xr3:uid="{E62093D1-9396-41F3-B81D-062F74374CED}" name="BEZA Proposed Revised Flagship" dataDxfId="2926"/>
  </tableColumns>
  <tableStyleInfo name="Deloitte"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C0E2F73-1B5E-4849-BD13-B37F7F554C11}" name="Table7" displayName="Table7" ref="B4:G16" totalsRowShown="0" headerRowDxfId="572" dataDxfId="571">
  <autoFilter ref="B4:G16" xr:uid="{6C0E2F73-1B5E-4849-BD13-B37F7F554C11}"/>
  <tableColumns count="6">
    <tableColumn id="1" xr3:uid="{70CB3A9C-69AD-4FA3-8159-BAB1835F9370}" name="Sl. No." dataDxfId="570"/>
    <tableColumn id="2" xr3:uid="{49CD7A00-E2A0-4904-B3F8-90F96F12545F}" name="Name of Economic Zone" dataDxfId="569"/>
    <tableColumn id="3" xr3:uid="{E7E7F109-8B9B-4212-BF2B-C7BE0E8492FF}" name="District" dataDxfId="568"/>
    <tableColumn id="4" xr3:uid="{AE95BC68-148E-4E35-A78C-E7309A2209CE}" name="Upazila" dataDxfId="567"/>
    <tableColumn id="5" xr3:uid="{07641DC1-A881-4075-8A24-D3B4A858D627}" name="Land Area (Acres)" dataDxfId="566"/>
    <tableColumn id="6" xr3:uid="{D6CD966D-2B41-47DA-9269-4D1A197DAD26}" name="Remarks" dataDxfId="565"/>
  </tableColumns>
  <tableStyleInfo name="Deloitt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D1384D9-E53E-4005-AD60-F45C3AA0EB33}" name="Table5" displayName="Table5" ref="B2:Q31" totalsRowShown="0" headerRowDxfId="563" dataDxfId="562">
  <autoFilter ref="B2:Q31" xr:uid="{5D1384D9-E53E-4005-AD60-F45C3AA0EB33}"/>
  <tableColumns count="16">
    <tableColumn id="1" xr3:uid="{A117B5A3-90FF-4C20-9FF2-DCB92FDCC264}" name="SN" dataDxfId="561">
      <calculatedColumnFormula>'EZ Data'!B71</calculatedColumnFormula>
    </tableColumn>
    <tableColumn id="2" xr3:uid="{BB2DFFC6-D509-47EB-97F0-DA5859095E52}" name="Name" dataDxfId="560">
      <calculatedColumnFormula>'EZ Data'!C71</calculatedColumnFormula>
    </tableColumn>
    <tableColumn id="9" xr3:uid="{5730777B-CB69-4498-AEAF-89E79B59BCD6}" name="OSS PEZ Data (Acres)" dataDxfId="559">
      <calculatedColumnFormula>'EZ Data'!AI71</calculatedColumnFormula>
    </tableColumn>
    <tableColumn id="8" xr3:uid="{91C913F7-EB8A-45F0-9CCF-AF2E5E8C7386}" name="PEZ Brochure 2018 (Acre)" dataDxfId="558">
      <calculatedColumnFormula>'EZ Data'!AJ71</calculatedColumnFormula>
    </tableColumn>
    <tableColumn id="5" xr3:uid="{C391440C-58A4-48BC-B238-9EA4FF1FF338}" name="Other Source Link" dataDxfId="557"/>
    <tableColumn id="3" xr3:uid="{179BA5B7-E428-4CBE-B0F0-362F26D153B6}" name="PEZ Other Source (Acre)" dataDxfId="556" dataCellStyle="Hyperlink"/>
    <tableColumn id="6" xr3:uid="{1A27FED4-FDE5-44CB-8051-D2CD9CC56781}" name="Sector Source" dataDxfId="555" dataCellStyle="Hyperlink"/>
    <tableColumn id="7" xr3:uid="{D13CF90A-3B60-40A9-AD74-3FD24EDA8CCF}" name="Sector 1" dataDxfId="554"/>
    <tableColumn id="10" xr3:uid="{D0179732-6647-4745-BD47-FCD7D4E5B591}" name="Sector 2" dataDxfId="553"/>
    <tableColumn id="11" xr3:uid="{14D05EFB-CCFC-49D3-8837-AA0A3E18781E}" name="Sector 3" dataDxfId="552"/>
    <tableColumn id="12" xr3:uid="{90CBABDD-4ADA-4AF1-B557-4BF343EC118B}" name="Sector 4" dataDxfId="551"/>
    <tableColumn id="13" xr3:uid="{BE51D426-5F7C-40FF-8D1F-8BB853FDA595}" name="Sector 5" dataDxfId="550"/>
    <tableColumn id="14" xr3:uid="{81F18143-E84A-40F4-8A2D-E6B749ED413F}" name="Sector 6" dataDxfId="549"/>
    <tableColumn id="15" xr3:uid="{A8AB6C2F-EDEC-47CE-AD2E-A9302F8CC742}" name="Sector 7" dataDxfId="548"/>
    <tableColumn id="16" xr3:uid="{D3F08E5F-93C4-4466-8BB0-FA7905452811}" name="Sector 8" dataDxfId="547"/>
    <tableColumn id="17" xr3:uid="{A6A5658C-448B-4610-9F38-158509C2140F}" name="Sector 9" dataDxfId="546"/>
  </tableColumns>
  <tableStyleInfo name="Deloitt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429CF0A-5E6F-48DE-BAD5-85F132D0EAD4}" name="Table6" displayName="Table6" ref="B3:I21" totalsRowShown="0" headerRowDxfId="545" dataDxfId="544" tableBorderDxfId="543">
  <autoFilter ref="B3:I21" xr:uid="{B429CF0A-5E6F-48DE-BAD5-85F132D0EAD4}"/>
  <sortState xmlns:xlrd2="http://schemas.microsoft.com/office/spreadsheetml/2017/richdata2" ref="B4:I21">
    <sortCondition ref="C3:C21"/>
  </sortState>
  <tableColumns count="8">
    <tableColumn id="1" xr3:uid="{399F69D3-7552-48B3-A608-684FB9CE206C}" name="SL" dataDxfId="542"/>
    <tableColumn id="2" xr3:uid="{5889D4A2-5B45-411B-84C2-44422DEBB950}" name=" Name of EZ" dataDxfId="541"/>
    <tableColumn id="3" xr3:uid="{97D8B00C-A6AD-4722-9715-B4DD966338DB}" name="District" dataDxfId="540"/>
    <tableColumn id="4" xr3:uid="{279E18CE-12E3-4AED-9A9C-CD2607C03A68}" name="Upazila" dataDxfId="539"/>
    <tableColumn id="5" xr3:uid="{1F655884-A451-43AB-98D1-B2BBD65B0A25}" name="Status 1" dataDxfId="538"/>
    <tableColumn id="6" xr3:uid="{30D11195-3C5F-49C4-B0ED-526CE0FBD80B}" name="Status 2" dataDxfId="537"/>
    <tableColumn id="8" xr3:uid="{4AD653A5-D3CE-4C70-AE02-2D2A3144F515}" name="Status 3" dataDxfId="536"/>
    <tableColumn id="7" xr3:uid="{04ABDE0E-36B3-47E3-B8C8-E873E8319A4E}" name="Remarks" dataDxfId="535"/>
  </tableColumns>
  <tableStyleInfo name="Deloitt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6B33D64-A360-4608-827A-E5C0B6F1F865}" name="Table8" displayName="Table8" ref="B2:G104" totalsRowShown="0" headerRowDxfId="13" dataDxfId="12">
  <autoFilter ref="B2:G104" xr:uid="{D6B33D64-A360-4608-827A-E5C0B6F1F865}">
    <filterColumn colId="2">
      <filters>
        <filter val="0"/>
        <filter val="Priority 1"/>
        <filter val="Priority 2"/>
      </filters>
    </filterColumn>
  </autoFilter>
  <tableColumns count="6">
    <tableColumn id="1" xr3:uid="{A2BDFB11-2BD9-4696-9EFC-40D54BBF3FA6}" name="SN" dataDxfId="11"/>
    <tableColumn id="2" xr3:uid="{C73B1463-BE2E-4126-94B5-98990491445F}" name="Name" dataDxfId="10"/>
    <tableColumn id="5" xr3:uid="{3E4EF7AB-2980-406E-87E7-26C8B02A1A83}" name="Zone Priority" dataDxfId="9"/>
    <tableColumn id="3" xr3:uid="{3D4E6319-0209-4CD8-9FBC-7EC0570F4640}" name="Area Discrepancy?" dataDxfId="8"/>
    <tableColumn id="4" xr3:uid="{F89D0249-6A81-43E1-9182-369666A2C56C}" name="Remarks/Concerns" dataDxfId="7"/>
    <tableColumn id="6" xr3:uid="{C92F82AC-32FB-456B-9A7E-EBF60CDA9078}" name="BEZA Response" dataDxfId="6"/>
  </tableColumns>
  <tableStyleInfo name="Deloitt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841F143-2250-4625-B25F-0B01E00F898F}" name="Table9" displayName="Table9" ref="B2:EB103" totalsRowShown="0" headerRowDxfId="2923" dataDxfId="2922">
  <autoFilter ref="B2:EB103" xr:uid="{D841F143-2250-4625-B25F-0B01E00F898F}"/>
  <sortState xmlns:xlrd2="http://schemas.microsoft.com/office/spreadsheetml/2017/richdata2" ref="B3:EB103">
    <sortCondition descending="1" ref="DX2:DX103"/>
  </sortState>
  <tableColumns count="131">
    <tableColumn id="1" xr3:uid="{8C1C0324-838E-4284-9C99-1221986F4004}" name="SN" dataDxfId="2921"/>
    <tableColumn id="2" xr3:uid="{0A277A98-7305-411E-B258-D70BD7A13165}" name="Name" dataDxfId="2920"/>
    <tableColumn id="3" xr3:uid="{CC1064CF-744D-4AB1-9C86-07DB4198308F}" name="Division" dataDxfId="2919"/>
    <tableColumn id="4" xr3:uid="{F5A7D386-C383-458E-B748-EEC9640C4F1D}" name="District" dataDxfId="2918"/>
    <tableColumn id="5" xr3:uid="{23C185DC-866A-4122-BB89-83186063955D}" name="Upazila" dataDxfId="2917"/>
    <tableColumn id="6" xr3:uid="{BFEE70C4-BD82-41C5-89F7-03393E4AE81B}" name="Type" dataDxfId="2916"/>
    <tableColumn id="7" xr3:uid="{C3D6DE52-56A0-4410-BE0B-5354CD4AC08C}" name="Development Status (In-principle/Pre-planning/Planning/In Development)" dataDxfId="2915"/>
    <tableColumn id="122" xr3:uid="{C3B4659E-8E3E-4FBA-B3CD-EB5FC4CEDF1F}" name="State of EZ" dataDxfId="2914"/>
    <tableColumn id="8" xr3:uid="{7C563C90-1FD7-4E5F-8E02-12564FD95C7C}" name="Land Availability (Grade)​_x000a_(50%)" dataDxfId="2913"/>
    <tableColumn id="40" xr3:uid="{98161606-8DFA-487F-BEA8-CA78C819923D}" name="Land Availability (Grade)​ Score" dataDxfId="2912">
      <calculatedColumnFormula>IFERROR(VLOOKUP(Table9[[#This Row],[Land Availability (Grade)​
(50%)]],'Detailed Rubric V3'!$B$8:$C$11,2), 0)</calculatedColumnFormula>
    </tableColumn>
    <tableColumn id="39" xr3:uid="{37A1268C-4B30-4BE1-A7EA-F9457F5F2672}" name="Land Availability (Grade)​ Weighted Score" dataDxfId="2911">
      <calculatedColumnFormula>IFERROR(Table9[[#This Row],[Land Availability (Grade)​ Score]]*'Detailed Rubric V3'!$C$6, "")</calculatedColumnFormula>
    </tableColumn>
    <tableColumn id="9" xr3:uid="{364843CB-9004-4E63-A5F1-9979A1AA625B}" name="Land Size (Acres)_x000a_(15%)" dataDxfId="2910"/>
    <tableColumn id="42" xr3:uid="{9161B438-3610-422A-9BDC-E8AA4BBF2302}" name="Land Size (Acres) Score" dataDxfId="2909">
      <calculatedColumnFormula array="1">_xlfn.IFS(Table9[[#This Row],[Land Size (Acres)
(15%)]]&lt;100,0,Table9[[#This Row],[Land Size (Acres)
(15%)]]&gt;500,4,TRUE,2)</calculatedColumnFormula>
    </tableColumn>
    <tableColumn id="41" xr3:uid="{99CCA736-F285-4E9D-B16F-0BB31E71C348}" name="Land Size (Acres) Weighted Score" dataDxfId="2908">
      <calculatedColumnFormula>Table9[[#This Row],[Land Size (Acres) Score]]*'Detailed Rubric V3'!$G$6</calculatedColumnFormula>
    </tableColumn>
    <tableColumn id="121" xr3:uid="{FA782B25-ED46-4AC5-B9FE-FBC0AF6A724F}" name="Site Filling Cost (Mn BDT)" dataDxfId="2907"/>
    <tableColumn id="74" xr3:uid="{8921ED16-8CEB-46B6-BFC2-D0374AD20F86}" name="Land Suitability_x000a_(Cost of Land Filling in Million BDT per acre)_x000a_(25%)" dataDxfId="2906">
      <calculatedColumnFormula>IFERROR(Table9[[#This Row],[Site Filling Cost (Mn BDT)]]/Table9[[#This Row],[Land Size (Acres)
(15%)]],0)</calculatedColumnFormula>
    </tableColumn>
    <tableColumn id="118" xr3:uid="{481E5162-B31F-4558-AF63-C91662306605}" name="Land Suitability for Construction Score" dataDxfId="2905">
      <calculatedColumnFormula array="1">IF(Table9[[#This Row],[Name]]="Sitakundo Economic Zone", 4, _xlfn.IFS(Table9[[#This Row],[Site Filling Cost (Mn BDT)]]="",0,Table9[[#This Row],[Land Suitability
(Cost of Land Filling in Million BDT per acre)
(25%)]]&gt;5,0,Table9[[#This Row],[Land Suitability
(Cost of Land Filling in Million BDT per acre)
(25%)]]&lt;2,4,TRUE,2))</calculatedColumnFormula>
    </tableColumn>
    <tableColumn id="117" xr3:uid="{31A4D287-5257-461C-9E93-72C708F612BA}" name="Land Suitability for Construction Weighted Score" dataDxfId="2904">
      <calculatedColumnFormula>Table9[[#This Row],[Land Suitability for Construction Score]]*'Detailed Rubric V3'!$J$6</calculatedColumnFormula>
    </tableColumn>
    <tableColumn id="132" xr3:uid="{E2D8ABAA-29FC-4DF2-8D70-ED25900949D5}" name="Embankment/Dyke Cost (Mn BDT)" dataDxfId="2903"/>
    <tableColumn id="120" xr3:uid="{74348D66-6CEC-403C-9402-ED0D65D15040}" name="Cost of DRRI Infrastructure in million BDT per acre_x000a_(10%)" dataDxfId="2902">
      <calculatedColumnFormula>IFERROR(Table9[[#This Row],[Embankment/Dyke Cost (Mn BDT)]]/Table9[[#This Row],[Land Size (Acres)
(15%)]], 0)</calculatedColumnFormula>
    </tableColumn>
    <tableColumn id="115" xr3:uid="{48F4CB45-08B1-480A-8E23-4C1DA2AE7B5A}" name="Requirement for Distaster Risk Reduction &amp; Resilience Infrastructure Score" dataDxfId="2901">
      <calculatedColumnFormula array="1">IF(Table9[[#This Row],[Name]]="Sitakundo Economic Zone", 2, _xlfn.IFS(Table9[[#This Row],[Embankment/Dyke Cost (Mn BDT)]]="",0,Table9[[#This Row],[Cost of DRRI Infrastructure in million BDT per acre
(10%)]]&gt;5,0,Table9[[#This Row],[Cost of DRRI Infrastructure in million BDT per acre
(10%)]]&lt;2,4,TRUE,2))</calculatedColumnFormula>
    </tableColumn>
    <tableColumn id="114" xr3:uid="{60691EA1-1BBF-4AAE-AB8A-6BA85155192B}" name="Requirement for Distaster Risk Reduction &amp; Resilience Infrastructure Weighted Score" dataDxfId="2900">
      <calculatedColumnFormula>Table9[[#This Row],[Requirement for Distaster Risk Reduction &amp; Resilience Infrastructure Score]]*'Detailed Rubric V3'!$M$6</calculatedColumnFormula>
    </tableColumn>
    <tableColumn id="38" xr3:uid="{1E4AE30B-525C-4135-8F61-99FAA19B0D0E}" name="1.1. Land Details (20% weightage)" dataDxfId="2899">
      <calculatedColumnFormula>(Table9[[#This Row],[Land Availability (Grade)​ Weighted Score]]+Table9[[#This Row],[Land Size (Acres) Weighted Score]]+Table9[[#This Row],[Land Suitability for Construction Weighted Score]]+Table9[[#This Row],[Requirement for Distaster Risk Reduction &amp; Resilience Infrastructure Weighted Score]])*'Detailed Rubric V3'!$C$4</calculatedColumnFormula>
    </tableColumn>
    <tableColumn id="10" xr3:uid="{90535387-FF10-4145-BAE6-84FD09462A85}" name="Zone Priority_x000a_(40%)" dataDxfId="2898"/>
    <tableColumn id="44" xr3:uid="{FD513176-58E2-4085-BEDC-24AE6F6C7F63}" name="Zone Priority Score" dataDxfId="2897">
      <calculatedColumnFormula>IFERROR(VLOOKUP(Table9[[#This Row],[Zone Priority
(40%)]],'Detailed Rubric V3'!$B$18:$C$21, 2,FALSE), 0)</calculatedColumnFormula>
    </tableColumn>
    <tableColumn id="43" xr3:uid="{12997686-FA60-48B2-B7DF-336751EA0CF7}" name="Zone Priority Weighted Score" dataDxfId="2896">
      <calculatedColumnFormula>IFERROR(Table9[[#This Row],[Zone Priority Score]]*'Detailed Rubric V3'!$C$16, 0)</calculatedColumnFormula>
    </tableColumn>
    <tableColumn id="11" xr3:uid="{17F69511-EE77-4BEA-BD5F-6935F0C65674}" name="Existing BEZA Report_x000a_(60%)" dataDxfId="2895"/>
    <tableColumn id="46" xr3:uid="{F54D4D26-6C5F-40C8-AB0B-15D4ED8F3D45}" name="Existing BEZA Report Score" dataDxfId="2894">
      <calculatedColumnFormula>VLOOKUP(Table9[[#This Row],[Existing BEZA Report
(60%)]],'Detailed Rubric V3'!$E$18:$F$20,2,FALSE)</calculatedColumnFormula>
    </tableColumn>
    <tableColumn id="45" xr3:uid="{6A1D3BBA-8998-4831-AE9A-26968589139E}" name="Existing BEZA Report Weighted Score" dataDxfId="2893">
      <calculatedColumnFormula>Table9[[#This Row],[Existing BEZA Report Score]]*'Detailed Rubric V3'!F$16</calculatedColumnFormula>
    </tableColumn>
    <tableColumn id="52" xr3:uid="{7D1BBBC5-4218-4B91-9656-A7A3FDD34FCC}" name="1.2. BEZA Existing plans (15% weightage)" dataDxfId="2892">
      <calculatedColumnFormula>(Table9[[#This Row],[Zone Priority Weighted Score]]+Table9[[#This Row],[Existing BEZA Report Weighted Score]])*'Detailed Rubric V3'!$C$14</calculatedColumnFormula>
    </tableColumn>
    <tableColumn id="12" xr3:uid="{D0EC1B83-553A-4F17-A9CD-CB8B4CE486EB}" name="Existing Sectors_x000a_(50%)" dataDxfId="2891"/>
    <tableColumn id="48" xr3:uid="{914BBFEB-285C-492D-8B1B-8C065FF7DC09}" name="Existing Sectors Score" dataDxfId="2890">
      <calculatedColumnFormula array="1">_xlfn.IFS(Table9[[#This Row],[Existing Sectors
(50%)]]&gt;10, 4,Table9[[#This Row],[Existing Sectors
(50%)]]&lt;5, 0, TRUE, 2)</calculatedColumnFormula>
    </tableColumn>
    <tableColumn id="47" xr3:uid="{F193AFC6-3258-42C7-94DB-513BD438A8A5}" name="Existing Sectors Weighted Score" dataDxfId="2889">
      <calculatedColumnFormula>Table9[[#This Row],[Existing Sectors Score]]*'Detailed Rubric V3'!$C$25</calculatedColumnFormula>
    </tableColumn>
    <tableColumn id="13" xr3:uid="{652C078B-C10B-44EE-B9EB-9C9213E078EA}" name="Total Sectors" dataDxfId="2888"/>
    <tableColumn id="113" xr3:uid="{B62AED70-5146-41C9-8BF7-8C861FB20579}" name="Potential New Sectors_x000a_(50%)" dataDxfId="2887"/>
    <tableColumn id="50" xr3:uid="{73DB61A5-F055-4E31-9880-8DC3D907CC1F}" name="Potential New Sectors Score" dataDxfId="2886">
      <calculatedColumnFormula array="1">_xlfn.IFS(Table9[[#This Row],[Potential New Sectors
(50%)]]&gt;5, 4, Table9[[#This Row],[Potential New Sectors
(50%)]]&lt;2,0, TRUE, 2)</calculatedColumnFormula>
    </tableColumn>
    <tableColumn id="49" xr3:uid="{D10A9D40-AFCA-4503-BE6A-6237D1A57B83}" name="Potential New Sectors Weighted Score" dataDxfId="2885">
      <calculatedColumnFormula>Table9[[#This Row],[Potential New Sectors Score]]*'Detailed Rubric V3'!$F$25</calculatedColumnFormula>
    </tableColumn>
    <tableColumn id="51" xr3:uid="{7ECF65C8-DE67-41F2-A705-94FDB9F9F89F}" name="1.3. Sector Demand (15% weightage):" dataDxfId="2884">
      <calculatedColumnFormula>(Table9[[#This Row],[Existing Sectors Weighted Score]]+Table9[[#This Row],[Potential New Sectors Weighted Score]])*'Detailed Rubric V3'!$C$23</calculatedColumnFormula>
    </tableColumn>
    <tableColumn id="53" xr3:uid="{1D7DB8CB-98A5-477E-A9E4-B65B89017E3F}" name="Level 1 Score" dataDxfId="2883">
      <calculatedColumnFormula>SUM(Table9[[#This Row],[1.1. Land Details (20% weightage)]],Table9[[#This Row],[1.2. BEZA Existing plans (15% weightage)]],Table9[[#This Row],[1.3. Sector Demand (15% weightage):]])</calculatedColumnFormula>
    </tableColumn>
    <tableColumn id="54" xr3:uid="{6EAC8949-95AE-4F96-84E4-F4C297BC6107}" name="Level 1 Score Rank" dataDxfId="2882">
      <calculatedColumnFormula>_xlfn.RANK.EQ(Table9[[#This Row],[Level 1 Score]],$AN$3:$AN$103)</calculatedColumnFormula>
    </tableColumn>
    <tableColumn id="14" xr3:uid="{12F796FD-AF01-465B-9753-61FFB245E754}" name="National Highway Connectivity (km)_x000a_(15%)" dataDxfId="2881"/>
    <tableColumn id="56" xr3:uid="{32DFDB86-D4E3-4518-8466-4D974DAC03FC}" name="National Highway Connectivity Score" dataDxfId="2880">
      <calculatedColumnFormula array="1">_xlfn.IFS(Table9[[#This Row],[National Highway Connectivity (km)
(15%)]]="", 0, Table9[[#This Row],[National Highway Connectivity (km)
(15%)]]&gt;50, 0, Table9[[#This Row],[National Highway Connectivity (km)
(15%)]]&lt;=25, 4, TRUE, 2)</calculatedColumnFormula>
    </tableColumn>
    <tableColumn id="55" xr3:uid="{FC4C21D4-C125-40CE-A7C9-3595E4E3632A}" name="National Highway Connectivity Weighted Score" dataDxfId="2879">
      <calculatedColumnFormula>Table9[[#This Row],[National Highway Connectivity Score]]*'Detailed Rubric V3'!$C$35</calculatedColumnFormula>
    </tableColumn>
    <tableColumn id="15" xr3:uid="{3B3BE5F0-0183-46ED-9C2A-E9B3F7E0EBCD}" name="Connecting Road to Highway (km)_x000a_(15%)" dataDxfId="2878"/>
    <tableColumn id="58" xr3:uid="{CA133EF4-69FA-4A5A-B839-6066AFA63B91}" name="Connecting Road to Highway Score" dataDxfId="2877">
      <calculatedColumnFormula array="1">_xlfn.IFS(Table9[[#This Row],[Connecting Road to Highway (km)
(15%)]]="", 0, Table9[[#This Row],[Connecting Road to Highway (km)
(15%)]]="Yes", 4, TRUE, 0)</calculatedColumnFormula>
    </tableColumn>
    <tableColumn id="57" xr3:uid="{A1BEEDCC-FEAE-4135-A76B-0A19C7920F2B}" name="Connecting Road to Highway Weighted Score" dataDxfId="2876">
      <calculatedColumnFormula>Table9[[#This Row],[Connecting Road to Highway Score]]*'Detailed Rubric V3'!$F$35</calculatedColumnFormula>
    </tableColumn>
    <tableColumn id="16" xr3:uid="{15E7381C-179F-4BF1-9FD8-986F22D3F421}" name="Seaport Connectivity (km)_x000a_(30%)" dataDxfId="2875"/>
    <tableColumn id="60" xr3:uid="{7FAD7581-2039-4451-825B-54C31BE840B0}" name="Seaport Connectivity Score" dataDxfId="2874">
      <calculatedColumnFormula array="1">_xlfn.IFS(Table9[[#This Row],[Seaport Connectivity (km)
(30%)]]="",0, Table9[[#This Row],[Seaport Connectivity (km)
(30%)]]&gt;400, 0,Table9[[#This Row],[Seaport Connectivity (km)
(30%)]]&lt;=200,4, TRUE, 2)</calculatedColumnFormula>
    </tableColumn>
    <tableColumn id="59" xr3:uid="{D636BC69-D63B-4011-AACF-487394AE4100}" name="Seaport Connectivity Weighted Score" dataDxfId="2873">
      <calculatedColumnFormula>Table9[[#This Row],[Seaport Connectivity Score]]*'Detailed Rubric V3'!$I$35</calculatedColumnFormula>
    </tableColumn>
    <tableColumn id="17" xr3:uid="{9A5FEA5B-CEEF-4E1E-AC86-538723316EE9}" name="Airport Connectivity (km)_x000a_(10%)" dataDxfId="2872"/>
    <tableColumn id="62" xr3:uid="{A0B7655C-C58F-4BBC-9226-5A36CD94A57D}" name="Airport Connectivity Score" dataDxfId="2871">
      <calculatedColumnFormula array="1">_xlfn.IFS(Table9[[#This Row],[Airport Connectivity (km)
(10%)]]="", 0, Table9[[#This Row],[Airport Connectivity (km)
(10%)]]&gt;200, 0, Table9[[#This Row],[Airport Connectivity (km)
(10%)]]&lt;=100,4,TRUE, 2)</calculatedColumnFormula>
    </tableColumn>
    <tableColumn id="61" xr3:uid="{30660473-B194-49B2-A82C-6418DA353115}" name="Airport Connectivity Weighted Score" dataDxfId="2870">
      <calculatedColumnFormula>Table9[[#This Row],[Airport Connectivity Score]]*'Detailed Rubric V3'!$C$41</calculatedColumnFormula>
    </tableColumn>
    <tableColumn id="18" xr3:uid="{9195C5F5-B97A-4C50-9698-7B93F5DCB0E0}" name="Railway Station (km)_x000a_(10%)" dataDxfId="2869"/>
    <tableColumn id="64" xr3:uid="{D8F05E90-A5DD-43C8-8F28-0C124BE9E6C3}" name="Railway Station Score" dataDxfId="2868">
      <calculatedColumnFormula array="1">_xlfn.IFS(Table9[[#This Row],[Railway Station (km)
(10%)]]="", 0, Table9[[#This Row],[Railway Station (km)
(10%)]]&gt;150, 0,Table9[[#This Row],[Railway Station (km)
(10%)]]&lt;=50,4, TRUE, 2)</calculatedColumnFormula>
    </tableColumn>
    <tableColumn id="63" xr3:uid="{84FA8955-6B56-4298-B7D4-C282B0DA67F4}" name="Railway Station Weighted Score" dataDxfId="2867">
      <calculatedColumnFormula>Table9[[#This Row],[Railway Station Score]]*'Detailed Rubric V3'!$F$41</calculatedColumnFormula>
    </tableColumn>
    <tableColumn id="19" xr3:uid="{876956EE-6714-4E15-88A2-27CB90EB7750}" name="Inland waterway/ Land port (km)_x000a_(20%)" dataDxfId="2866"/>
    <tableColumn id="66" xr3:uid="{65BAFFEF-CBD3-47D9-9F78-1034389C5ACF}" name="Inland waterway/ Land port Score" dataDxfId="2865">
      <calculatedColumnFormula array="1">_xlfn.IFS(Table9[[#This Row],[Inland waterway/ Land port (km)
(20%)]]="", 0, Table9[[#This Row],[Inland waterway/ Land port (km)
(20%)]]&gt;200, 0,Table9[[#This Row],[Inland waterway/ Land port (km)
(20%)]]&lt;=50,4, TRUE, 2)</calculatedColumnFormula>
    </tableColumn>
    <tableColumn id="65" xr3:uid="{F2174339-97B9-4470-A9E3-65BDEDB40B9B}" name="Inland waterway/ Land port Weighted Score" dataDxfId="2864">
      <calculatedColumnFormula>Table9[[#This Row],[Inland waterway/ Land port Score]]*'Detailed Rubric V3'!$I$41</calculatedColumnFormula>
    </tableColumn>
    <tableColumn id="103" xr3:uid="{42AE4C3D-965E-4A7F-8673-50265C1DC512}" name="2.1. Connectivity/ Logistics (10% weightage)" dataDxfId="2863">
      <calculatedColumnFormula>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calculatedColumnFormula>
    </tableColumn>
    <tableColumn id="20" xr3:uid="{8C27EBE9-17EE-4B8E-BC4D-314D4CF4850C}" name="Power Station (40%)" dataDxfId="2862"/>
    <tableColumn id="68" xr3:uid="{92D8373D-FF62-4C86-A872-CC1975ED3B8A}" name="Power Station Score" dataDxfId="2861">
      <calculatedColumnFormula array="1">_xlfn.IFS(Table9[[#This Row],[Power Station (40%)]]="",0, Table9[[#This Row],[Power Station (40%)]]&gt;100, 0,Table9[[#This Row],[Power Station (40%)]]&lt;=50,4, TRUE, 2)</calculatedColumnFormula>
    </tableColumn>
    <tableColumn id="67" xr3:uid="{DDEFC6F4-49EA-4356-8946-F4E019925AB8}" name="Power Station Weighted Score" dataDxfId="2860">
      <calculatedColumnFormula>Table9[[#This Row],[Power Station Score]]*'Detailed Rubric V3'!$C$53</calculatedColumnFormula>
    </tableColumn>
    <tableColumn id="21" xr3:uid="{EA9E82FF-0E2F-414A-AF43-1F3BFC063C4B}" name="Gas Station (20%)" dataDxfId="2859"/>
    <tableColumn id="70" xr3:uid="{EB280BB6-1739-44F6-AEFB-99BA886C639C}" name="Gas Station Score" dataDxfId="2858">
      <calculatedColumnFormula array="1">IF(ISNUMBER(Table9[[#This Row],[Gas Station (20%)]]), _xlfn.IFS(Table9[[#This Row],[Gas Station (20%)]]="", 0, Table9[[#This Row],[Gas Station (20%)]]&gt;100, 0,Table9[[#This Row],[Gas Station (20%)]]&lt;=50,4, TRUE, 2), 0)</calculatedColumnFormula>
    </tableColumn>
    <tableColumn id="69" xr3:uid="{2BAB90D4-73BD-4BC1-BB05-1271D495D5DD}" name="Gas Station Weighted Score" dataDxfId="2857">
      <calculatedColumnFormula>Table9[[#This Row],[Gas Station Score]]*'Detailed Rubric V3'!$F$53</calculatedColumnFormula>
    </tableColumn>
    <tableColumn id="22" xr3:uid="{A22B5B9B-2CAB-4544-B1CC-BA569DE7ED9F}" name="Source of Surface Water (40%)" dataDxfId="2856"/>
    <tableColumn id="72" xr3:uid="{94220577-9B1B-495B-B8FA-4F766EA9958E}" name="Source of Surface Water Score" dataDxfId="2855">
      <calculatedColumnFormula array="1">IF(ISNUMBER(Table9[[#This Row],[Source of Surface Water (40%)]]), _xlfn.IFS(Table9[[#This Row],[Source of Surface Water (40%)]]="", 0, Table9[[#This Row],[Source of Surface Water (40%)]]&gt;50, 0,Table9[[#This Row],[Source of Surface Water (40%)]]&lt;=20,4, TRUE, 2), 0)</calculatedColumnFormula>
    </tableColumn>
    <tableColumn id="71" xr3:uid="{85F3E0EB-2929-4CE0-A29B-50C3C98B4FDE}" name="Source of Surface Water Weighted Score" dataDxfId="2854">
      <calculatedColumnFormula>Table9[[#This Row],[Source of Surface Water Score]]*'Detailed Rubric V3'!$I$53</calculatedColumnFormula>
    </tableColumn>
    <tableColumn id="104" xr3:uid="{1F3BAAA8-230A-4F5B-AF44-816356EFEA9B}" name="2.2. Utility (12% weightage)" dataDxfId="2853">
      <calculatedColumnFormula>SUM(Table9[[#This Row],[Power Station Weighted Score]],Table9[[#This Row],[Gas Station Weighted Score]],Table9[[#This Row],[Source of Surface Water Weighted Score]])*'Detailed Rubric V3'!$C$51</calculatedColumnFormula>
    </tableColumn>
    <tableColumn id="24" xr3:uid="{B11597C2-B781-4BBC-B65F-DCF903FD755D}" name="Other BEZA EZ (20%)" dataDxfId="2852"/>
    <tableColumn id="76" xr3:uid="{3A7ED8C5-B674-4444-A31A-D021D2F4CB1B}" name="Other BEZA EZ Score" dataDxfId="2851">
      <calculatedColumnFormula array="1">_xlfn.IFS(Table9[[#This Row],[Other BEZA EZ (20%)]]="", 0, Table9[[#This Row],[Other BEZA EZ (20%)]]="Yes", 4, TRUE, 0)</calculatedColumnFormula>
    </tableColumn>
    <tableColumn id="75" xr3:uid="{8E5A1DFD-349C-44A9-B374-CEB8A9DAEABB}" name="Other BEZA EZ Weighted Score" dataDxfId="2850">
      <calculatedColumnFormula>Table9[[#This Row],[Other BEZA EZ Score]]*'Detailed Rubric V3'!$C$66</calculatedColumnFormula>
    </tableColumn>
    <tableColumn id="25" xr3:uid="{35ABE9C9-8829-4CA0-9732-91E5B57074B8}" name="BEPZA/ BHPTA/ BSCIC (20%)" dataDxfId="2849"/>
    <tableColumn id="78" xr3:uid="{E2A9F9C7-619D-40CB-98D9-FA98CCA3CADA}" name="BEPZA/ BHPTA/ BSCIC Score" dataDxfId="2848">
      <calculatedColumnFormula array="1">_xlfn.IFS(Table9[[#This Row],[BEPZA/ BHPTA/ BSCIC (20%)]]="", 0, Table9[[#This Row],[BEPZA/ BHPTA/ BSCIC (20%)]]="Yes", 4, TRUE, 0)</calculatedColumnFormula>
    </tableColumn>
    <tableColumn id="77" xr3:uid="{2FD2DD9B-D456-4FB6-8889-EBEABEB91523}" name="BEPZA/ BHPTA/ BSCIC Weighted Score" dataDxfId="2847">
      <calculatedColumnFormula>Table9[[#This Row],[BEPZA/ BHPTA/ BSCIC Score]]*'Detailed Rubric V3'!$F$66</calculatedColumnFormula>
    </tableColumn>
    <tableColumn id="26" xr3:uid="{17FC33C9-7487-4D22-B142-71ECB1B3889D}" name="Cluster Industries (from SMI) (20%)" dataDxfId="2846"/>
    <tableColumn id="80" xr3:uid="{1A482191-89EC-4AF4-BD6A-685949B2241A}" name="Cluster Industries (from SMI) Score" dataDxfId="2845">
      <calculatedColumnFormula array="1">_xlfn.IFS(Table9[[#This Row],[Cluster Industries (from SMI) (20%)]]="", 0, Table9[[#This Row],[Cluster Industries (from SMI) (20%)]]&gt;100, 4, Table9[[#This Row],[Cluster Industries (from SMI) (20%)]]&lt;50, 0, TRUE, 2)</calculatedColumnFormula>
    </tableColumn>
    <tableColumn id="79" xr3:uid="{890EA7F5-70FF-48F5-B201-F988B763A726}" name="Unorganized (from SMI) Weighted Score" dataDxfId="2844">
      <calculatedColumnFormula>Table9[[#This Row],[Cluster Industries (from SMI) Score]]*'Detailed Rubric V3'!$I$66</calculatedColumnFormula>
    </tableColumn>
    <tableColumn id="27" xr3:uid="{4197CF72-9017-4516-8639-E597B0B60F6D}" name="Located on Industrial corridor (40%)" dataDxfId="2843"/>
    <tableColumn id="82" xr3:uid="{44EA452F-BE0C-41EF-83B4-B902BAB63C8B}" name="Located on Industrial corridor Score" dataDxfId="2842">
      <calculatedColumnFormula array="1">_xlfn.IFS(Table9[[#This Row],[Located on Industrial corridor (40%)]]="", 0, Table9[[#This Row],[Located on Industrial corridor (40%)]]="Yes", 4, TRUE, 0)</calculatedColumnFormula>
    </tableColumn>
    <tableColumn id="81" xr3:uid="{FBE5401C-1FCA-4C61-AAC9-B897DC112B07}" name="Located on Industrial corridor Weighted Score" dataDxfId="2841">
      <calculatedColumnFormula>Table9[[#This Row],[Located on Industrial corridor Score]]*'Detailed Rubric V3'!$L$66</calculatedColumnFormula>
    </tableColumn>
    <tableColumn id="105" xr3:uid="{14FD8841-A3A1-4A93-AD89-B19D45952699}" name="2.3. Agglomeration effects (10% weightage)" dataDxfId="2840">
      <calculatedColumnFormula>SUM(Table9[[#This Row],[Other BEZA EZ Weighted Score]],Table9[[#This Row],[BEPZA/ BHPTA/ BSCIC Weighted Score]],Table9[[#This Row],[Unorganized (from SMI) Weighted Score]],Table9[[#This Row],[Located on Industrial corridor Weighted Score]])*'Detailed Rubric V3'!$C$64</calculatedColumnFormula>
    </tableColumn>
    <tableColumn id="28" xr3:uid="{FA510B92-87D6-4BC3-9BE1-DFF8B27B508A}" name="Economic/ Social priority (laggered area) (100%)" dataDxfId="2839"/>
    <tableColumn id="84" xr3:uid="{E5CF4817-5800-4A23-849F-849FC53345C0}" name="Economic/ Social priority (laggered area) Score" dataDxfId="2838">
      <calculatedColumnFormula array="1">_xlfn.IFS(Table9[[#This Row],[Economic/ Social priority (laggered area) (100%)]]="", 0, Table9[[#This Row],[Economic/ Social priority (laggered area) (100%)]]="Yes", 4, TRUE, 0)</calculatedColumnFormula>
    </tableColumn>
    <tableColumn id="83" xr3:uid="{47A6A8A1-76E1-42AD-AE7D-1B4A747D1DCD}" name="Economic/ Social priority (laagered area) Weighted Score" dataDxfId="2837">
      <calculatedColumnFormula>Table9[[#This Row],[Economic/ Social priority (laggered area) Score]]*'Detailed Rubric V3'!$C$82</calculatedColumnFormula>
    </tableColumn>
    <tableColumn id="29" xr3:uid="{397EB7F3-C910-4376-A917-9E340D1C1BE0}" name="Regional Tax incentive  (0%)" dataDxfId="2836"/>
    <tableColumn id="86" xr3:uid="{609855A8-0F98-4FC5-A614-E79513D48394}" name="Regional Tax incentive Score" dataDxfId="2835">
      <calculatedColumnFormula array="1">_xlfn.IFS(Table9[[#This Row],[Regional Tax incentive  (0%)]]="", 0, Table9[[#This Row],[Regional Tax incentive  (0%)]]="Yes", 4, TRUE, 0)</calculatedColumnFormula>
    </tableColumn>
    <tableColumn id="85" xr3:uid="{4E5874C1-820C-4BB7-9F9A-26283AC16235}" name="Regional Tax incentive  Weighted Score" dataDxfId="2834">
      <calculatedColumnFormula>Table9[[#This Row],[Regional Tax incentive Score]]*'Detailed Rubric V3'!$F$82</calculatedColumnFormula>
    </tableColumn>
    <tableColumn id="106" xr3:uid="{1A8BE36B-F2E8-448A-9620-CD04268B24E4}" name="2.4. Regional Policy (4% weightage)" dataDxfId="2833">
      <calculatedColumnFormula>SUM(Table9[[#This Row],[Economic/ Social priority (laagered area) Weighted Score]],Table9[[#This Row],[Regional Tax incentive  Weighted Score]])*'Detailed Rubric V3'!$C$80</calculatedColumnFormula>
    </tableColumn>
    <tableColumn id="30" xr3:uid="{3823ED5E-2D53-4FF2-BC8E-6F4DAFCE68DB}" name="Employable population (40%) 2013" dataDxfId="2832"/>
    <tableColumn id="88" xr3:uid="{61C3A87A-4BF1-45BB-978C-4A78E42BE26E}" name="Employable population Score" dataDxfId="2831">
      <calculatedColumnFormula array="1">_xlfn.IFS(Table9[[#This Row],[Employable population (40%) 2013]]="", 0, Table9[[#This Row],[Employable population (40%) 2013]]&gt;200000, 4, Table9[[#This Row],[Employable population (40%) 2013]]&lt;100000,0, TRUE, 2)</calculatedColumnFormula>
    </tableColumn>
    <tableColumn id="87" xr3:uid="{F87C21CB-F523-43C1-8DC6-D46E284BA39A}" name="Employable population Weighted Score" dataDxfId="2830">
      <calculatedColumnFormula>Table9[[#This Row],[Employable population Score]]*'Detailed Rubric V3'!$C$92</calculatedColumnFormula>
    </tableColumn>
    <tableColumn id="31" xr3:uid="{0BF654DE-8063-4D72-971F-3918700F814F}" name="Housing (20%)" dataDxfId="2829"/>
    <tableColumn id="90" xr3:uid="{77448423-5097-4402-8507-A48EF29E285C}" name="Housing Score" dataDxfId="2828">
      <calculatedColumnFormula array="1">_xlfn.IFS(Table9[[#This Row],[Housing (20%)]]="", 0, Table9[[#This Row],[Housing (20%)]]&gt;50, 0, Table9[[#This Row],[Housing (20%)]]&lt;25, 4, TRUE, 2)</calculatedColumnFormula>
    </tableColumn>
    <tableColumn id="89" xr3:uid="{2DA85862-A5AA-480D-9800-33C44D325160}" name="Housing Weighted Score" dataDxfId="2827">
      <calculatedColumnFormula>Table9[[#This Row],[Housing Score]]*'Detailed Rubric V3'!$F$92</calculatedColumnFormula>
    </tableColumn>
    <tableColumn id="32" xr3:uid="{12938A34-C89D-45E9-B444-C076A73D3C09}" name="Hotels (10%)" dataDxfId="2826"/>
    <tableColumn id="92" xr3:uid="{56861270-1E6F-40C3-93BA-97131989A70D}" name="Hotels Score" dataDxfId="2825">
      <calculatedColumnFormula array="1">_xlfn.IFS(Table9[[#This Row],[Hotels (10%)]]="", 0, Table9[[#This Row],[Hotels (10%)]]&gt;25, 4, Table9[[#This Row],[Hotels (10%)]]&lt;5, 0, TRUE, 2)</calculatedColumnFormula>
    </tableColumn>
    <tableColumn id="91" xr3:uid="{28E6D765-FCE3-47CF-A0F5-6159A2C3CC1E}" name="Hotels Weighted Score" dataDxfId="2824">
      <calculatedColumnFormula>Table9[[#This Row],[Hotels Score]]*'Detailed Rubric V3'!$I$92</calculatedColumnFormula>
    </tableColumn>
    <tableColumn id="33" xr3:uid="{FE26CFAE-C4D8-4521-92AD-31689C070E27}" name="Health (Hospital) (15%)" dataDxfId="2823"/>
    <tableColumn id="94" xr3:uid="{3EABFB42-165B-4DFE-BA65-D0A8735156BB}" name="Health (Hospital) Score" dataDxfId="2822">
      <calculatedColumnFormula array="1">_xlfn.IFS(Table9[[#This Row],[Health (Hospital) (15%)]]="", 0, Table9[[#This Row],[Health (Hospital) (15%)]]&gt;10, 4, Table9[[#This Row],[Health (Hospital) (15%)]]&lt;5, 0, TRUE, 2)</calculatedColumnFormula>
    </tableColumn>
    <tableColumn id="93" xr3:uid="{F974336D-FC5A-4A15-AACD-DD37F4E98039}" name="Health (Hospital) Weighted Score" dataDxfId="2821">
      <calculatedColumnFormula>Table9[[#This Row],[Health (Hospital) Score]]*'Detailed Rubric V3'!$L$92</calculatedColumnFormula>
    </tableColumn>
    <tableColumn id="34" xr3:uid="{FF505103-C544-4814-9C96-D8D37E8E33F9}" name="University/ Technical &amp; Vocational Institutions (15%)" dataDxfId="2820"/>
    <tableColumn id="96" xr3:uid="{34F9CE1A-01A8-492B-BD01-DCB20CD35EDF}" name="University/ Technical &amp; Vocational Institutions Score" dataDxfId="2819">
      <calculatedColumnFormula array="1">_xlfn.IFS(Table9[[#This Row],[University/ Technical &amp; Vocational Institutions (15%)]]="", 0, Table9[[#This Row],[University/ Technical &amp; Vocational Institutions (15%)]]&gt;3, 4, Table9[[#This Row],[University/ Technical &amp; Vocational Institutions (15%)]]&lt;1, 0, TRUE, 2)</calculatedColumnFormula>
    </tableColumn>
    <tableColumn id="95" xr3:uid="{8CD7B252-0BEC-4FCA-836E-80DB336A1B3C}" name="University/ Technical &amp; Vocational Institutions Weighted Score" dataDxfId="2818">
      <calculatedColumnFormula>Table9[[#This Row],[University/ Technical &amp; Vocational Institutions Score]]*'Detailed Rubric V3'!$O$92</calculatedColumnFormula>
    </tableColumn>
    <tableColumn id="107" xr3:uid="{24A63061-6CCF-4F69-A16C-A573C32190CA}" name="2.5. Social (8% weightage)" dataDxfId="2817">
      <calculatedColumnFormula>SUM(Table9[[#This Row],[Employable population Weighted Score]],Table9[[#This Row],[Housing Weighted Score]],Table9[[#This Row],[Hotels Weighted Score]],Table9[[#This Row],[Health (Hospital) Weighted Score]],Table9[[#This Row],[University/ Technical &amp; Vocational Institutions Weighted Score]])*'Detailed Rubric V3'!$C$90</calculatedColumnFormula>
    </tableColumn>
    <tableColumn id="35" xr3:uid="{7774AE97-D57A-4D99-AE18-2D3615B17A15}" name="Environment compliance (30%)" dataDxfId="2816"/>
    <tableColumn id="98" xr3:uid="{25D5F339-10E6-4606-811C-9F8E355544D1}" name="Environment compliance Score" dataDxfId="2815">
      <calculatedColumnFormula array="1">_xlfn.IFS(Table9[[#This Row],[Environment compliance (30%)]]="", 0, Table9[[#This Row],[Environment compliance (30%)]]="Yes", 4, TRUE, 0)</calculatedColumnFormula>
    </tableColumn>
    <tableColumn id="97" xr3:uid="{558AE923-5DE9-4DDA-9435-0A296D5FD4DC}" name="Environment compliance Weighted Score" dataDxfId="2814">
      <calculatedColumnFormula>Table9[[#This Row],[Environment compliance Score]]*'Detailed Rubric V3'!$C$104</calculatedColumnFormula>
    </tableColumn>
    <tableColumn id="36" xr3:uid="{B5D6B1CF-692F-43D6-93E0-AB1A1169EEAE}" name="Flood Risk Index (30%)" dataDxfId="2813"/>
    <tableColumn id="100" xr3:uid="{08FCEF6F-183E-4FA2-8713-97F56E6C0A81}" name="Flood Risk Index Score" dataDxfId="2812">
      <calculatedColumnFormula array="1">_xlfn.IFS(Table9[[#This Row],[Flood Risk Index (30%)]]="", 0, Table9[[#This Row],[Flood Risk Index (30%)]]="Very Low", 4, Table9[[#This Row],[Flood Risk Index (30%)]]="Moderate &amp; Low", 2, TRUE, 0)</calculatedColumnFormula>
    </tableColumn>
    <tableColumn id="99" xr3:uid="{184FEA58-0C77-40FA-8381-70F09E2ABA4A}" name="Flood Risk Index Weighted Score" dataDxfId="2811">
      <calculatedColumnFormula>Table9[[#This Row],[Flood Risk Index Score]]*'Detailed Rubric V3'!$F$104</calculatedColumnFormula>
    </tableColumn>
    <tableColumn id="37" xr3:uid="{55495FD7-203A-4D48-8293-A024451071B9}" name="Earth Quake Risk Index (10%)" dataDxfId="2810"/>
    <tableColumn id="101" xr3:uid="{04863FAB-CC1C-432E-BBAB-1DB1BBD38036}" name="Earth Quake Risk Index Score" dataDxfId="2809">
      <calculatedColumnFormula array="1">_xlfn.IFS(Table9[[#This Row],[Earth Quake Risk Index (10%)]]="", 0, Table9[[#This Row],[Earth Quake Risk Index (10%)]]="Very Low", 4, Table9[[#This Row],[Earth Quake Risk Index (10%)]]="Moderate &amp; Low", 2, TRUE, 0)</calculatedColumnFormula>
    </tableColumn>
    <tableColumn id="102" xr3:uid="{DDD7AA52-56E8-44A2-A23E-2DE02E75B9CF}" name="Earth Quake Risk Index Weighted Score" dataDxfId="2808">
      <calculatedColumnFormula>Table9[[#This Row],[Earth Quake Risk Index Score]]*'Detailed Rubric V3'!$I$104</calculatedColumnFormula>
    </tableColumn>
    <tableColumn id="131" xr3:uid="{23D138BA-2EFA-406B-A302-626400FA050A}" name="Sea Level Rise Risk Index (10%)" dataDxfId="2807"/>
    <tableColumn id="130" xr3:uid="{3639317F-3A0B-41D8-8DB4-4A4D4778345E}" name="Sea Level Rise  Risk Index Score" dataDxfId="2806">
      <calculatedColumnFormula array="1">_xlfn.IFS(Table9[[#This Row],[Sea Level Rise Risk Index (10%)]]="", 0, Table9[[#This Row],[Sea Level Rise Risk Index (10%)]]="Very Low", 4, Table9[[#This Row],[Sea Level Rise Risk Index (10%)]]="Moderate &amp; Low", 2, TRUE, 0)</calculatedColumnFormula>
    </tableColumn>
    <tableColumn id="129" xr3:uid="{BA8F1D75-44B6-4379-9D33-23DB8FB5A3AB}" name="Sea Level Rise Risk Index Weighted Score" dataDxfId="2805">
      <calculatedColumnFormula>Table9[[#This Row],[Sea Level Rise  Risk Index Score]]*'Detailed Rubric V3'!$L$104</calculatedColumnFormula>
    </tableColumn>
    <tableColumn id="128" xr3:uid="{F1DB3BE2-3E1C-4B6E-80F7-BA54C1A54A83}" name="Cyclone Risk Index (10%)" dataDxfId="2804"/>
    <tableColumn id="127" xr3:uid="{6E559D29-EC87-4436-9507-D1E8C73DC034}" name="Cyclone Risk Index Score" dataDxfId="2803">
      <calculatedColumnFormula array="1">_xlfn.IFS(Table9[[#This Row],[Cyclone Risk Index (10%)]]="", 0, Table9[[#This Row],[Cyclone Risk Index (10%)]]="Very Low", 4, Table9[[#This Row],[Cyclone Risk Index (10%)]]="Moderate &amp; Low", 2, TRUE, 0)</calculatedColumnFormula>
    </tableColumn>
    <tableColumn id="126" xr3:uid="{61F9873D-34E8-4EAF-B8AD-9F2D99F7159C}" name="Cyclone Risk Index Weighted Score" dataDxfId="2802">
      <calculatedColumnFormula>Table9[[#This Row],[Cyclone Risk Index Score]]*'Detailed Rubric V3'!$O$104</calculatedColumnFormula>
    </tableColumn>
    <tableColumn id="125" xr3:uid="{DB1AA5BD-DBDC-4D69-86D5-AA8D331F5733}" name="Storm Surge Risk Index (10%)" dataDxfId="2801"/>
    <tableColumn id="124" xr3:uid="{E12D04F7-37A2-4052-A062-5AF833ED9316}" name="Storm Surge Risk Index Score" dataDxfId="2800">
      <calculatedColumnFormula array="1">_xlfn.IFS(Table9[[#This Row],[Storm Surge Risk Index (10%)]]="", 0, Table9[[#This Row],[Storm Surge Risk Index (10%)]]="Very Low", 4, Table9[[#This Row],[Storm Surge Risk Index (10%)]]="Moderate &amp; Low", 2, TRUE, 0)</calculatedColumnFormula>
    </tableColumn>
    <tableColumn id="123" xr3:uid="{91E7E2F1-9D0D-4A05-BB25-86EF7B280FCD}" name="Storm Surge Risk Index Weighted Score" dataDxfId="2799">
      <calculatedColumnFormula>Table9[[#This Row],[Storm Surge Risk Index Score]]*'Detailed Rubric V3'!$R$104</calculatedColumnFormula>
    </tableColumn>
    <tableColumn id="108" xr3:uid="{62E82B2C-4A85-4037-9185-FD2D5E72848B}" name="2.6. Environment (6% weightage)" dataDxfId="2798">
      <calculatedColumnFormula>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calculatedColumnFormula>
    </tableColumn>
    <tableColumn id="109" xr3:uid="{30233423-0508-4383-849E-7397D6634C8F}" name="Level 2 Score" dataDxfId="2797">
      <calculatedColumnFormula>SUM(Table9[[#This Row],[2.1. Connectivity/ Logistics (10% weightage)]],Table9[[#This Row],[2.2. Utility (12% weightage)]],Table9[[#This Row],[2.3. Agglomeration effects (10% weightage)]],Table9[[#This Row],[2.4. Regional Policy (4% weightage)]],Table9[[#This Row],[2.5. Social (8% weightage)]],Table9[[#This Row],[2.6. Environment (6% weightage)]])</calculatedColumnFormula>
    </tableColumn>
    <tableColumn id="110" xr3:uid="{4269E904-F962-49D7-A4BF-C41725076CB5}" name="Level 2 Score Rank" dataDxfId="2796">
      <calculatedColumnFormula>_xlfn.RANK.EQ(Table9[[#This Row],[Level 2 Score]],$DV$3:$DV$103)</calculatedColumnFormula>
    </tableColumn>
    <tableColumn id="111" xr3:uid="{43DE6A40-C312-4EBA-AA84-1931BDA69A0A}" name="Total Score" dataDxfId="2795">
      <calculatedColumnFormula>Table9[[#This Row],[Level 1 Score]]+Table9[[#This Row],[Level 2 Score]]</calculatedColumnFormula>
    </tableColumn>
    <tableColumn id="112" xr3:uid="{2AA45BF4-71CB-4CF2-A030-68B39D0AE4CB}" name="Total Score Rank" dataDxfId="2794">
      <calculatedColumnFormula>_xlfn.RANK.EQ(Table9[[#This Row],[Total Score]],$DX$3:$DX$103)</calculatedColumnFormula>
    </tableColumn>
    <tableColumn id="23" xr3:uid="{0BF5FB42-FC60-4565-9227-7CB1BE534B4D}" name="Fully Scored (Y/N)" dataDxfId="2793">
      <calculatedColumnFormula>IF(Table9[[#This Row],[Count of Blanks]]&lt;=2, "Yes", "No")</calculatedColumnFormula>
    </tableColumn>
    <tableColumn id="73" xr3:uid="{A922F3A1-C03E-414F-8E41-5DB91C2A5047}" name="Count of Blanks" dataDxfId="2792">
      <calculatedColumnFormula>COUNTBLANK(Table9[[#This Row],[Name]:[Total Score Rank]])</calculatedColumnFormula>
    </tableColumn>
    <tableColumn id="116" xr3:uid="{4BCFD5C1-29D2-476A-AF4A-78EA4F6B5B67}" name="Flagship Zones" dataDxfId="2791"/>
  </tableColumns>
  <tableStyleInfo name="Deloitt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3FEC2DD-0928-47B8-AF2D-D1512B61166A}" name="Table11" displayName="Table11" ref="B2:N103" totalsRowShown="0" headerRowDxfId="780" dataDxfId="778" headerRowBorderDxfId="779" tableBorderDxfId="777">
  <autoFilter ref="B2:N103" xr:uid="{F3FEC2DD-0928-47B8-AF2D-D1512B61166A}">
    <filterColumn colId="8">
      <colorFilter dxfId="776"/>
    </filterColumn>
  </autoFilter>
  <tableColumns count="13">
    <tableColumn id="1" xr3:uid="{D342EF77-567D-432F-9C4A-5F7D7BA63858}" name="SN" dataDxfId="775"/>
    <tableColumn id="2" xr3:uid="{261F2139-BB96-431F-B998-ECA6856A3BAA}" name="Name" dataDxfId="774"/>
    <tableColumn id="3" xr3:uid="{9BFB3D75-F2DD-4242-8DB0-3B225E71A21C}" name="District" dataDxfId="773"/>
    <tableColumn id="4" xr3:uid="{4B78DB9B-772F-412D-B69C-CEFB61013636}" name="Upazila" dataDxfId="772"/>
    <tableColumn id="5" xr3:uid="{F02D413E-988E-425F-9D6A-6F966A9CE047}" name="Type" dataDxfId="771"/>
    <tableColumn id="13" xr3:uid="{C12C9304-701A-4902-AB60-632144ED2792}" name="Zone Priority" dataDxfId="770"/>
    <tableColumn id="6" xr3:uid="{977B8033-A666-48C7-8AF0-DB676B0688FC}" name="Preliminary Site Assessment" dataDxfId="769"/>
    <tableColumn id="7" xr3:uid="{12A823A3-4E5D-4241-A155-89C4F84FB86A}" name="In-Principal approval" dataDxfId="768"/>
    <tableColumn id="8" xr3:uid="{3BE53E46-9677-43C0-9FF6-D4EE1390B9BB}" name="Feasibility" dataDxfId="767"/>
    <tableColumn id="9" xr3:uid="{5D09EF57-D25F-4D13-93AE-055F353097D4}" name="Project Proposed" dataDxfId="766"/>
    <tableColumn id="10" xr3:uid="{B3D977DA-598E-4E8D-8E0B-7118BF4E363C}" name="Project Approved" dataDxfId="765"/>
    <tableColumn id="11" xr3:uid="{A0E4840B-1591-4FB6-817F-D41A00411507}" name="Project Implementation Started" dataDxfId="764"/>
    <tableColumn id="12" xr3:uid="{0E0909EC-6787-44FA-8709-55BE5260E8FB}" name="Basic Infrastructure (Ready to Operate)" dataDxfId="763"/>
  </tableColumns>
  <tableStyleInfo name="Deloitt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38646A8-E0A5-43DD-98DC-8E6CA51C8E95}" name="Table12" displayName="Table12" ref="B2:J103" totalsRowShown="0" headerRowDxfId="762" dataDxfId="760" headerRowBorderDxfId="761" tableBorderDxfId="759" totalsRowBorderDxfId="758">
  <autoFilter ref="B2:J103" xr:uid="{838646A8-E0A5-43DD-98DC-8E6CA51C8E95}"/>
  <tableColumns count="9">
    <tableColumn id="1" xr3:uid="{FDDE4E5B-06E9-4EC4-82C6-1B18C010F96E}" name="SN" dataDxfId="757"/>
    <tableColumn id="2" xr3:uid="{3DC27CF9-CAD2-42BE-A9C6-438412DFE04C}" name="Name" dataDxfId="756"/>
    <tableColumn id="3" xr3:uid="{30653F63-8402-48B2-9DB1-EA8C304D0DCC}" name="Division" dataDxfId="755"/>
    <tableColumn id="4" xr3:uid="{C0E5E651-A2EA-4865-8229-B8888424F4AA}" name="District" dataDxfId="754"/>
    <tableColumn id="5" xr3:uid="{7D7FF735-5501-4EEA-8187-F8A4A18FBCB6}" name="Upazila" dataDxfId="753"/>
    <tableColumn id="6" xr3:uid="{A5E0D783-3616-49A9-BF94-FD5AB366E773}" name="Type" dataDxfId="752"/>
    <tableColumn id="7" xr3:uid="{28C99242-8B4E-48A9-A45C-D02E876E1813}" name="Development Status (In-principle/Pre-planning/Planning/In Development)" dataDxfId="751"/>
    <tableColumn id="8" xr3:uid="{490E2A67-79AB-44E5-9B06-D581FF0DC81F}" name="State of EZ" dataDxfId="750"/>
    <tableColumn id="9" xr3:uid="{4EEC4584-8179-4041-BB8C-9D9FDD3EFDB8}" name="Land Availability (Grade)​_x000a_(50%)" dataDxfId="749"/>
  </tableColumns>
  <tableStyleInfo name="Deloitt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482BBDF-7F00-4393-BF81-47F92BF87500}" name="Table14" displayName="Table14" ref="B3:CB104" totalsRowShown="0" headerRowDxfId="746" dataDxfId="745">
  <autoFilter ref="B3:CB104" xr:uid="{05D85594-097D-48E5-A851-7102D6B97F1F}"/>
  <tableColumns count="79">
    <tableColumn id="1" xr3:uid="{9BE8ED6F-3695-4505-93BC-B74E31C862EA}" name="SN" dataDxfId="744"/>
    <tableColumn id="2" xr3:uid="{3B302059-7702-40AE-A147-3D9C4CD6ECBF}" name="Name" dataDxfId="743"/>
    <tableColumn id="3" xr3:uid="{C739FFD9-32AE-406C-AD7A-654992323E79}" name="Division" dataDxfId="742"/>
    <tableColumn id="4" xr3:uid="{15704E68-A060-459E-A8C5-2F689B0D25FE}" name="District" dataDxfId="741"/>
    <tableColumn id="5" xr3:uid="{62D221B4-21D7-4124-A3A1-48AB7B36EFE8}" name="Upazila" dataDxfId="740"/>
    <tableColumn id="6" xr3:uid="{989E2B85-7480-487C-BE6D-41286A84DA9F}" name="Type" dataDxfId="739"/>
    <tableColumn id="7" xr3:uid="{D2212831-44E4-47B1-A7C6-1208D8894B90}" name="Development Status (In-principle/Pre-planning/Planning/In Development)" dataDxfId="738"/>
    <tableColumn id="8" xr3:uid="{A5F159DE-566C-4923-97F6-88ACFDE70B14}" name="License Status" dataDxfId="737"/>
    <tableColumn id="51" xr3:uid="{C1D9963D-5290-45D3-B073-16B872198BD5}" name="Zone Priority" dataDxfId="736"/>
    <tableColumn id="50" xr3:uid="{8AF8FCBB-112C-460E-9312-B4925E5BBEBA}" name="Website (Y/N)" dataDxfId="735"/>
    <tableColumn id="63" xr3:uid="{73A7F337-7574-494A-B7EA-122F148C72C8}" name="Website Link" dataDxfId="734"/>
    <tableColumn id="49" xr3:uid="{92812F2F-705A-47D3-88B1-AD886C1406D2}" name="Site Visit" dataDxfId="733"/>
    <tableColumn id="62" xr3:uid="{AE7DC5FB-418B-4F29-BA53-8FEB289DC88F}" name="Site Visit Year" dataDxfId="732"/>
    <tableColumn id="73" xr3:uid="{84DEF63A-8214-4E9E-96B5-A32EA7224D75}" name="Site Assessment Report" dataDxfId="731"/>
    <tableColumn id="74" xr3:uid="{BDC57A0C-F06D-48BE-8349-D92045241E8D}" name="Site Assessment Report Year" dataDxfId="730"/>
    <tableColumn id="48" xr3:uid="{61575C56-2D52-46E8-A108-6A883C2079BC}" name="Pre-Feasibility" dataDxfId="729"/>
    <tableColumn id="57" xr3:uid="{DDBE8681-B844-4C1B-84A6-2B1EC8DB03B0}" name="Pre-Feasibility Year" dataDxfId="728"/>
    <tableColumn id="60" xr3:uid="{E3DADF1C-7891-4103-824E-1403F6A070C7}" name="Pre-Feasibility 2" dataDxfId="727"/>
    <tableColumn id="58" xr3:uid="{F2858894-E954-4CBD-A9C5-185766F11B8A}" name="Pre-Feasibility 2 Year" dataDxfId="726"/>
    <tableColumn id="47" xr3:uid="{14888C2B-F537-40C8-9F18-DD5307867282}" name="Feasibility" dataDxfId="725"/>
    <tableColumn id="43" xr3:uid="{D8A51296-2CFD-4B65-8B60-7CF47B9580BB}" name="Feasibility Year" dataDxfId="724"/>
    <tableColumn id="59" xr3:uid="{9C6C311A-ABD4-4A4D-A59E-C53AB87877AB}" name="Feasibility 2" dataDxfId="723"/>
    <tableColumn id="56" xr3:uid="{C5C0DF43-675C-4A2D-86B8-EA5C2886237E}" name="Feasibility 2 Year" dataDxfId="722"/>
    <tableColumn id="69" xr3:uid="{44317336-5C45-457D-BF46-840C8FC5E95E}" name="Pre-Feasibility/Feasibility (Y/N)" dataDxfId="721">
      <calculatedColumnFormula>IF(AND(Table14[[#This Row],[Pre-Feasibility]]=0,Table14[[#This Row],[Pre-Feasibility 2]]=0, Table14[[#This Row],[Feasibility]]=0, Table14[[#This Row],[Feasibility 2]]=0), "No", "Yes")</calculatedColumnFormula>
    </tableColumn>
    <tableColumn id="65" xr3:uid="{BAC7341A-CE3D-4558-9046-8A9785898B12}" name="OSS PEZ Data (Y/N)" dataDxfId="720"/>
    <tableColumn id="67" xr3:uid="{9B2F53DB-7ADA-4D98-85C3-868199BFAE3E}" name="PEZ Brochure 2018_x000a_(Y/N)" dataDxfId="719"/>
    <tableColumn id="61" xr3:uid="{09BE369C-975A-46E9-BBE2-91DEF504CF32}" name="Feasibility/Pre-Feasibility in Progress (Y/N)" dataDxfId="718"/>
    <tableColumn id="9" xr3:uid="{791EF966-80E7-4F8C-9188-F03CE3F21E23}" name="Data Status" dataDxfId="717"/>
    <tableColumn id="54" xr3:uid="{F8BDB21F-2BA4-439F-81A0-C4305BCD4D51}" name="Website Area (Acres)" dataDxfId="716"/>
    <tableColumn id="53" xr3:uid="{50F62AF1-0AE7-4B07-8564-BE1004053691}" name="Site Visit Area (Acres)" dataDxfId="715"/>
    <tableColumn id="72" xr3:uid="{54893CBA-F4EA-4BD9-9263-BBA5F4B0D08B}" name="Site Assessment Report (Acres)" dataDxfId="714"/>
    <tableColumn id="52" xr3:uid="{E73F9AAF-A2CE-44E9-86AB-19F8708EBC65}" name="Pre-Feasibility Area (Acres)" dataDxfId="713"/>
    <tableColumn id="55" xr3:uid="{A0DEF98F-4953-45A5-AB02-A83D5212A710}" name="Feasibility Area (Acres)" dataDxfId="712"/>
    <tableColumn id="66" xr3:uid="{A84B8A4C-C96B-4B08-B0AB-C1FB24342570}" name="OSS PEZ Data (Acres)" dataDxfId="711"/>
    <tableColumn id="68" xr3:uid="{C4BD3017-7FC9-4BA8-9835-24DFAE29B24C}" name="PEZ Brochure 2018 (Acre)" dataDxfId="710"/>
    <tableColumn id="64" xr3:uid="{353F0722-1411-40F8-83E7-1AE3ACCAC1D3}" name="PEZ Other Source (Acre)" dataDxfId="709"/>
    <tableColumn id="71" xr3:uid="{E00B85C9-2F8F-4309-809B-CEFB11BD68B2}" name="Standard Deviation/Mean (%)" dataDxfId="708" dataCellStyle="Percent">
      <calculatedColumnFormula array="1">IFERROR(_xlfn.STDEV.P(IF(Table14[[#This Row],[Website Area (Acres)]:[PEZ Other Source (Acre)]]&lt;&gt;0, Table14[[#This Row],[Website Area (Acres)]:[PEZ Other Source (Acre)]], ""))/AVERAGE(IF(Table14[[#This Row],[Website Area (Acres)]:[PEZ Other Source (Acre)]]&lt;&gt;0, Table14[[#This Row],[Website Area (Acres)]:[PEZ Other Source (Acre)]], "")), "")</calculatedColumnFormula>
    </tableColumn>
    <tableColumn id="70" xr3:uid="{A41B93F4-5E08-4B11-AE3F-6BF17943F4C1}" name="Area Discrepency (Y/N)" dataDxfId="707"/>
    <tableColumn id="10" xr3:uid="{88967AE9-E06A-4FC0-AEAB-FA096D84AAC1}" name="Remarks" dataDxfId="706"/>
    <tableColumn id="75" xr3:uid="{E5FD1DBA-E4C5-4822-B874-6F85E5DF35E7}" name="Resolution" dataDxfId="705"/>
    <tableColumn id="78" xr3:uid="{5DA5C49A-3F88-41FF-8654-36C9CC1552B0}" name="Validated Area (Acres)" dataDxfId="704"/>
    <tableColumn id="79" xr3:uid="{6151A752-38B9-42D5-8862-2C5D815F8EDC}" name="BEZA Updated EZ List Area (Acres)" dataDxfId="703"/>
    <tableColumn id="76" xr3:uid="{20D26676-D72E-4F79-B286-37915EE571F0}" name="State of EZ" dataDxfId="702"/>
    <tableColumn id="77" xr3:uid="{D0CF0019-975E-4CE0-A084-601DCDE7CDDB}" name="Grade" dataDxfId="701"/>
    <tableColumn id="11" xr3:uid="{81B9E2B5-8C19-4F61-BEFA-A282A8CBDFEB}" name="Location on map" dataDxfId="700"/>
    <tableColumn id="12" xr3:uid="{98723B59-9837-48B1-A901-69C51E8D6220}" name="Avg. Plot Size (Acres)" dataDxfId="699"/>
    <tableColumn id="13" xr3:uid="{7A1E445D-9DD9-4AFD-855F-7A5D8AFEE4BB}" name="Area Available (Acres)_x000a_Industry" dataDxfId="698"/>
    <tableColumn id="14" xr3:uid="{E00FF799-DD41-496D-A3A5-4A7FEF60A491}" name="Area Available (Acres)_x000a_Govt." dataDxfId="697"/>
    <tableColumn id="15" xr3:uid="{1A184218-BD4D-4A97-BA78-87412982954E}" name="Area Available (Acres)_x000a_Road" dataDxfId="696"/>
    <tableColumn id="16" xr3:uid="{A49C9C51-B50B-4141-AE50-D39A8EC0BAAA}" name="Area Available (Acres)_x000a_Utility" dataDxfId="695"/>
    <tableColumn id="17" xr3:uid="{7A4424C0-C524-4063-AB45-BF10B691398D}" name="Area Available (Acres)_x000a_Public Support" dataDxfId="694"/>
    <tableColumn id="18" xr3:uid="{62F50486-D11E-47DC-83B7-BCF8EE325005}" name="Area Available (Acres)_x000a_Greenzone" dataDxfId="693"/>
    <tableColumn id="19" xr3:uid="{9FC0DCBA-7F09-4A50-913A-B81100AD8C44}" name="Area Available (Acres)_x000a_Others" dataDxfId="692"/>
    <tableColumn id="20" xr3:uid="{BE5FEEF3-462E-4675-BF03-C2E77AC1F1BA}" name="Total Area Available (Acres)_x000a__x000a_For Reference" dataDxfId="691"/>
    <tableColumn id="21" xr3:uid="{700453C2-C4ED-46C3-8D83-A7504D065F73}" name="Sector 1" dataDxfId="690"/>
    <tableColumn id="22" xr3:uid="{8C7F6D7A-6114-4843-ABC2-A08B76EB9F4C}" name="Sector 2" dataDxfId="689"/>
    <tableColumn id="23" xr3:uid="{511C1163-7266-466C-8216-D6DB90F30564}" name="Sector 3" dataDxfId="688"/>
    <tableColumn id="24" xr3:uid="{331D0A04-D39D-43C1-8BEE-27B4CFB43AF9}" name="Sector 4" dataDxfId="687"/>
    <tableColumn id="25" xr3:uid="{70E83614-23D1-4FA2-A114-95B3FDB4EF27}" name="Sector 5" dataDxfId="686"/>
    <tableColumn id="26" xr3:uid="{BFA3AAA5-6D94-41BF-BDE9-7E35D421027C}" name="Sector 6" dataDxfId="685"/>
    <tableColumn id="27" xr3:uid="{7ADDE6DB-CD30-4948-B505-593D1ED38430}" name="Sector 7" dataDxfId="684"/>
    <tableColumn id="28" xr3:uid="{D18389AD-89AE-4289-87EB-A97FF72EEDFD}" name="Sector 8" dataDxfId="683"/>
    <tableColumn id="29" xr3:uid="{26AE145D-BB5E-4127-B6E6-C0232C21E2A4}" name="Sector 9" dataDxfId="682"/>
    <tableColumn id="30" xr3:uid="{04EEC012-A51F-4D25-8442-9D074637B12F}" name="Sector 10" dataDxfId="681"/>
    <tableColumn id="31" xr3:uid="{70A5D264-B3DB-4D2A-9E7B-5B2D4CB05527}" name="Others" dataDxfId="680"/>
    <tableColumn id="32" xr3:uid="{3B59D800-AD1D-4559-9F14-9D536539567D}" name="Airport" dataDxfId="679"/>
    <tableColumn id="33" xr3:uid="{3D19177F-BBFB-45F5-9C14-CB1A113E6663}" name="Rail" dataDxfId="678"/>
    <tableColumn id="34" xr3:uid="{86B314D9-B824-4418-BDCB-66BF16472B39}" name="Port" dataDxfId="677"/>
    <tableColumn id="35" xr3:uid="{5AE82EFF-487E-4C86-8319-AFF777BF6A3D}" name="Land" dataDxfId="676"/>
    <tableColumn id="36" xr3:uid="{CF0060CE-AF34-41AC-AD15-ED0328B909D2}" name="Power _x000a_(MVA)/(MW)" dataDxfId="675"/>
    <tableColumn id="37" xr3:uid="{D9803A42-C55E-4C2B-9707-4BAB1EEDBF73}" name="Water (m3/day)" dataDxfId="674"/>
    <tableColumn id="38" xr3:uid="{B5E350B8-4AE4-49CF-AA09-C1751B387756}" name="Gas (m3/day)" dataDxfId="673"/>
    <tableColumn id="39" xr3:uid="{644909A7-DDA2-4AB5-AB2A-EA4175380D8E}" name="Wastewater (m3/day)" dataDxfId="672"/>
    <tableColumn id="40" xr3:uid="{BE3FC4B2-40E8-4FC3-96D1-393E448C5D21}" name="Others2" dataDxfId="671"/>
    <tableColumn id="41" xr3:uid="{D8FA6AFA-CE1C-4572-BD25-8F96678640E5}" name="No. of Tenants" dataDxfId="670"/>
    <tableColumn id="42" xr3:uid="{0ED94240-58FA-478C-8342-EB32F5DAFECE}" name="No. of Companies Operational" dataDxfId="669"/>
    <tableColumn id="46" xr3:uid="{C6503490-5628-400D-9ADD-D179E8135177}" name="Off-site Infrastructure/Utility/Upgrade Term" dataDxfId="668"/>
    <tableColumn id="45" xr3:uid="{057169FC-6D69-41C0-B2C0-9E56A9CDC4D2}" name="Estimated Cost for Improvement/_x000a_Upgrade (+-15%)" dataDxfId="667"/>
    <tableColumn id="44" xr3:uid="{7C8DF990-686D-4DA3-AD10-7BF889FCC83F}" name="Expected Date of Completion" dataDxfId="666"/>
  </tableColumns>
  <tableStyleInfo name="Deloitt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111A767-1D86-496E-9C25-B4280F9278A1}" name="Table10" displayName="Table10" ref="B2:I32" totalsRowShown="0" headerRowDxfId="664" dataDxfId="663">
  <autoFilter ref="B2:I32" xr:uid="{A111A767-1D86-496E-9C25-B4280F9278A1}"/>
  <tableColumns count="8">
    <tableColumn id="6" xr3:uid="{BDDD35DD-F261-43CA-9B48-9DC11FED4C06}" name="Prioritization Level" dataDxfId="662"/>
    <tableColumn id="5" xr3:uid="{6B9F7C4B-D6A7-4C67-A1F9-0C4530EB5E51}" name="Component" dataDxfId="661"/>
    <tableColumn id="1" xr3:uid="{86477745-6FF9-4075-8C44-C7D44A05EFDC}" name="Sub-Component" dataDxfId="660"/>
    <tableColumn id="2" xr3:uid="{400F1B9B-B365-4931-BBF8-AB9107A69F8C}" name="Source Document Name" dataDxfId="659"/>
    <tableColumn id="3" xr3:uid="{4A22EEC7-54E5-42EF-BA80-4F1A73DAD694}" name="Publisher" dataDxfId="658"/>
    <tableColumn id="8" xr3:uid="{BB646601-035C-4218-9A1E-092190768C4E}" name="Link" dataDxfId="657"/>
    <tableColumn id="4" xr3:uid="{D3002E9D-088A-4AAA-8AE8-14F20B9085E0}" name="Note" dataDxfId="656"/>
    <tableColumn id="7" xr3:uid="{70FE2187-485E-4972-8EBB-549F45BE39D4}" name="Link 3" dataDxfId="655"/>
  </tableColumns>
  <tableStyleInfo name="Deloitt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5D85594-097D-48E5-A851-7102D6B97F1F}" name="Table1" displayName="Table1" ref="A2:BK105" totalsRowShown="0" headerRowDxfId="654" dataDxfId="653">
  <autoFilter ref="A2:BK105" xr:uid="{05D85594-097D-48E5-A851-7102D6B97F1F}"/>
  <sortState xmlns:xlrd2="http://schemas.microsoft.com/office/spreadsheetml/2017/richdata2" ref="A3:BK105">
    <sortCondition ref="A2:A105"/>
  </sortState>
  <tableColumns count="63">
    <tableColumn id="1" xr3:uid="{41D5014B-CD02-4922-848A-109FD44D4D18}" name="SN" dataDxfId="652"/>
    <tableColumn id="2" xr3:uid="{85F8B346-414F-41E7-8CFB-2281ED0E6D1F}" name="Name" dataDxfId="651"/>
    <tableColumn id="3" xr3:uid="{E178376F-D901-46BF-9A6A-AA9B65A804C5}" name="Division" dataDxfId="650"/>
    <tableColumn id="4" xr3:uid="{D4A7D5E8-6067-4938-87BA-8B5AEA9DF7FA}" name="District" dataDxfId="649"/>
    <tableColumn id="5" xr3:uid="{A8C7BCE2-BFB7-4AFD-BBCA-2119130EF936}" name="Upazila" dataDxfId="648"/>
    <tableColumn id="6" xr3:uid="{0D142A93-CBC4-4683-8BE2-D466B0345C11}" name="Type" dataDxfId="647"/>
    <tableColumn id="7" xr3:uid="{48CD9DC9-F90B-4312-9F31-4A4B68995E4D}" name="Status (In-principle/Pre-planning/Planning/In Development)" dataDxfId="646"/>
    <tableColumn id="8" xr3:uid="{6BC28BDB-E415-42AE-9EFE-442755872A28}" name="Column1" dataDxfId="645"/>
    <tableColumn id="51" xr3:uid="{C7BA5003-7B25-478C-B198-4F67B2E8DAB6}" name="Zone Priority" dataDxfId="644"/>
    <tableColumn id="50" xr3:uid="{171A1C5A-38BE-4947-B378-3B2B5555B54B}" name="Website (Y/N)" dataDxfId="643"/>
    <tableColumn id="63" xr3:uid="{316B87B6-27A2-478F-860A-79C248998AF9}" name="Website Link" dataDxfId="642"/>
    <tableColumn id="49" xr3:uid="{BB8F09AC-5639-4E93-AECB-E3702CBB6206}" name="Site Visit" dataDxfId="641"/>
    <tableColumn id="62" xr3:uid="{1371FFEC-5750-4FB0-9DD9-2D69892A33B8}" name="Site Visit Year" dataDxfId="640"/>
    <tableColumn id="48" xr3:uid="{EEB40D64-5D1E-4FC1-AD55-6D59982DA780}" name="Pre-Feasibility" dataDxfId="639"/>
    <tableColumn id="57" xr3:uid="{26BD2242-38AF-403C-92BF-3AF834D6D0E9}" name="Pre-Feasibility Year" dataDxfId="638"/>
    <tableColumn id="60" xr3:uid="{3AD87C29-5C9B-4806-995C-C327878C5ADD}" name="Pre-Feasibility 2" dataDxfId="637"/>
    <tableColumn id="58" xr3:uid="{EBD54FE8-C8CE-4557-AE2E-6314F2B46E65}" name="Pre-Feasibility 2 Year" dataDxfId="636"/>
    <tableColumn id="47" xr3:uid="{0A8AF433-6536-4E91-8D04-DCA488C795C3}" name="Feasibility" dataDxfId="635"/>
    <tableColumn id="43" xr3:uid="{6F907A4A-830F-4E76-90BA-F8F1D7F4F1FC}" name="Feasibility Year" dataDxfId="634"/>
    <tableColumn id="59" xr3:uid="{89121391-738D-4CB4-83F8-CCF3AAD1ED6A}" name="Feasibility 2" dataDxfId="633"/>
    <tableColumn id="56" xr3:uid="{E482E2CA-1E76-4D03-8617-A9064CE80BD5}" name="Feasibility 2 Year" dataDxfId="632"/>
    <tableColumn id="61" xr3:uid="{EDE55122-CC36-4482-9898-36C95E5626D4}" name="Feasibility/Pre-Feasibility in Progress (Y/N)" dataDxfId="631"/>
    <tableColumn id="9" xr3:uid="{6FE724A9-F5F2-44F0-9259-D2575B42AA9E}" name="Data Status" dataDxfId="630"/>
    <tableColumn id="54" xr3:uid="{D2F1879E-7059-488B-B2CF-92157F3714BF}" name="Website Area (Acres)" dataDxfId="629"/>
    <tableColumn id="53" xr3:uid="{69DB64C8-4F13-48AC-B7FF-EA54590106D9}" name="Site Visit Area (Acres)" dataDxfId="628"/>
    <tableColumn id="52" xr3:uid="{B93BECBB-8C42-466C-AEE0-7EF2E014D9CE}" name="Pre-Feasibility Area (Acres)" dataDxfId="627"/>
    <tableColumn id="55" xr3:uid="{084B73D8-EDCE-4613-85F5-8C58F22D9F4D}" name="Feasibility Area (Acres)" dataDxfId="626"/>
    <tableColumn id="10" xr3:uid="{42BAD97A-11B9-41EB-AB87-78F613D2788C}" name="Remarks" dataDxfId="625"/>
    <tableColumn id="11" xr3:uid="{7BB12410-F492-46F2-B24E-2536D40FC5F5}" name="Location on map" dataDxfId="624"/>
    <tableColumn id="12" xr3:uid="{B47BE77B-92A1-4301-B5D5-63081C526FC4}" name="Avg. Plot Size (Acres)" dataDxfId="623"/>
    <tableColumn id="13" xr3:uid="{BDE12EDF-5569-45D6-ACA2-FC5B062E8B60}" name="Area Available (Acres)_x000a_Industry" dataDxfId="622"/>
    <tableColumn id="14" xr3:uid="{4B93C603-5BDE-412D-AFBE-85C88D3718C2}" name="Area Available (Acres)_x000a_Govt." dataDxfId="621"/>
    <tableColumn id="15" xr3:uid="{4A9CBB87-5AAE-4949-A02D-2FB6E572E7BB}" name="Area Available (Acres)_x000a_Road" dataDxfId="620"/>
    <tableColumn id="16" xr3:uid="{0044888B-980B-4921-B37F-8964BA613C61}" name="Area Available (Acres)_x000a_Utility" dataDxfId="619"/>
    <tableColumn id="17" xr3:uid="{FF1FE66D-4A88-433D-98AC-366D26542B6E}" name="Area Available (Acres)_x000a_Public Support" dataDxfId="618"/>
    <tableColumn id="18" xr3:uid="{F0E619D3-99AD-432B-A6F7-64EC7B19255F}" name="Area Available (Acres)_x000a_Greenzone" dataDxfId="617"/>
    <tableColumn id="19" xr3:uid="{606C5CAB-4A50-4981-9912-E3498F9ED164}" name="Area Available (Acres)_x000a_Others" dataDxfId="616"/>
    <tableColumn id="20" xr3:uid="{D54022A5-EE08-4B53-9DE0-CF5BA6FA2B78}" name="Total Area Available (Acres)" dataDxfId="615"/>
    <tableColumn id="21" xr3:uid="{1BA204FB-8758-4D8A-9915-C472C718D514}" name="Sector 1" dataDxfId="614"/>
    <tableColumn id="22" xr3:uid="{47A15DFF-E3D7-4348-AF69-F35947969562}" name="Sector 2" dataDxfId="613"/>
    <tableColumn id="23" xr3:uid="{DF594D4B-5597-4B89-BEC0-D94A71A007BA}" name="Sector 3" dataDxfId="612"/>
    <tableColumn id="24" xr3:uid="{1EF78639-0A17-4586-97E8-BC188B8C1FC9}" name="Sector 4" dataDxfId="611"/>
    <tableColumn id="25" xr3:uid="{2B6A1D15-8829-45C4-8475-0664DDAFBC04}" name="Sector 5" dataDxfId="610"/>
    <tableColumn id="26" xr3:uid="{FDDF1B1F-27F8-454D-B645-CE423904C127}" name="Sector 6" dataDxfId="609"/>
    <tableColumn id="27" xr3:uid="{30F47965-E507-4915-8131-99F0103254F4}" name="Sector 7" dataDxfId="608"/>
    <tableColumn id="28" xr3:uid="{8F22D856-F10F-438F-8743-82878C45B433}" name="Sector 8" dataDxfId="607"/>
    <tableColumn id="29" xr3:uid="{84FAA3A6-48AD-492A-A3B6-D6971B636AF3}" name="Sector 9" dataDxfId="606"/>
    <tableColumn id="30" xr3:uid="{89ADDCD3-DF5D-4286-8285-1B3F49121063}" name="Sector 10" dataDxfId="605"/>
    <tableColumn id="31" xr3:uid="{FED5B164-6354-491E-95A3-7465C641A441}" name="Others" dataDxfId="604"/>
    <tableColumn id="32" xr3:uid="{5B2FE798-F9CD-4600-B2BB-60648D6086CA}" name="Airport" dataDxfId="603"/>
    <tableColumn id="33" xr3:uid="{D91D5D29-0AED-4860-9380-3ED8C8442F15}" name="Rail" dataDxfId="602"/>
    <tableColumn id="34" xr3:uid="{E65423B6-0A55-48F1-84C6-A877A5F3E380}" name="Port" dataDxfId="601"/>
    <tableColumn id="35" xr3:uid="{E8184ACA-8BA7-4FD8-B709-92567B3C1510}" name="Land" dataDxfId="600"/>
    <tableColumn id="36" xr3:uid="{E941FFB7-4D1E-4A04-96C5-F84673596B00}" name="Power _x000a_(MVA)/(MW)" dataDxfId="599"/>
    <tableColumn id="37" xr3:uid="{8EB66B3D-5EC2-41AE-9341-4CE8358363EE}" name="Water (m3/day)" dataDxfId="598"/>
    <tableColumn id="38" xr3:uid="{E4D596E5-D77F-4F87-9C51-AFE8BB9BF5A1}" name="Gas (m3/day)" dataDxfId="597"/>
    <tableColumn id="39" xr3:uid="{31E6A4B9-FE06-474A-BE81-2BA91B627BD0}" name="Wastewater (m3/day)" dataDxfId="596"/>
    <tableColumn id="40" xr3:uid="{097E83C2-CA55-4D16-B73A-A7C62BBDA1AA}" name="Others2" dataDxfId="595"/>
    <tableColumn id="41" xr3:uid="{FE36F5EC-9311-434F-964D-6D648B29C5FF}" name="No. of Tenants" dataDxfId="594"/>
    <tableColumn id="42" xr3:uid="{3BEE3391-5151-4C43-A06A-0DAA5ED1B5B9}" name="No. of Companies Operational" dataDxfId="593"/>
    <tableColumn id="46" xr3:uid="{96C21932-991B-4BCF-A33E-CCAF2081B9FA}" name="Off-site Infrastructure/Utility/Upgrade Term" dataDxfId="592"/>
    <tableColumn id="45" xr3:uid="{5765F489-341B-49B4-83A5-FAA7B3F2EA27}" name="Estimated Cost for Improvement/_x000a_Upgrade (+-15%)" dataDxfId="591"/>
    <tableColumn id="44" xr3:uid="{3EDDDD66-771B-4076-9368-3759C26B9F2C}" name="Expected Date of Completion" dataDxfId="590"/>
  </tableColumns>
  <tableStyleInfo name="TableStyleLight2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1953BC7-18F2-4D1D-8F12-2C5087F77F5E}" name="Table2" displayName="Table2" ref="B4:E101" totalsRowShown="0" headerRowDxfId="588" dataDxfId="587" tableBorderDxfId="586">
  <autoFilter ref="B4:E101" xr:uid="{F1953BC7-18F2-4D1D-8F12-2C5087F77F5E}"/>
  <tableColumns count="4">
    <tableColumn id="1" xr3:uid="{ED4E4255-CC21-4A55-A887-DF9128687801}" name="Sl No" dataDxfId="585"/>
    <tableColumn id="2" xr3:uid="{E7FCB819-21DE-4B25-94E6-B49D782B07A2}" name="Name of The EZ" dataDxfId="584"/>
    <tableColumn id="3" xr3:uid="{C99A53D9-FBB6-4A6E-84D4-23D9D806F4B4}" name="District" dataDxfId="583"/>
    <tableColumn id="4" xr3:uid="{3319FFFC-0EAD-449F-B96C-E839B4B82551}" name="Upazila" dataDxfId="582"/>
  </tableColumns>
  <tableStyleInfo name="Deloitt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6DD7D61-B3C0-46AF-A212-9CCD010357B4}" name="Table4" displayName="Table4" ref="B4:G72" totalsRowShown="0" headerRowDxfId="581" dataDxfId="580" tableBorderDxfId="579">
  <sortState xmlns:xlrd2="http://schemas.microsoft.com/office/spreadsheetml/2017/richdata2" ref="B5:G72">
    <sortCondition ref="B4:B72"/>
  </sortState>
  <tableColumns count="6">
    <tableColumn id="1" xr3:uid="{26C636A4-E535-4B58-901E-7A375C6C2922}" name="Sl No." dataDxfId="578"/>
    <tableColumn id="2" xr3:uid="{28F6A179-F283-4136-9A67-86D128C56ABF}" name="Name of The EZ" dataDxfId="577"/>
    <tableColumn id="3" xr3:uid="{D8239660-DBD4-4DF3-8FB2-3F2A1EF211DE}" name="District" dataDxfId="576"/>
    <tableColumn id="4" xr3:uid="{7802E465-5F37-43FF-9A62-4EEB30739766}" name="Upazila" dataDxfId="575"/>
    <tableColumn id="5" xr3:uid="{49C0BE7B-66C9-4783-A2C4-8A9B3D429229}" name="Zone Priority" dataDxfId="574"/>
    <tableColumn id="6" xr3:uid="{AC1858AD-C740-4BB4-B2CA-601702BB14BF}" name="Remarks" dataDxfId="573"/>
  </tableColumns>
  <tableStyleInfo name="Deloitt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2" dT="2023-08-10T13:27:44.65" personId="{113783B0-C81B-4AB7-B9D4-9A614A753D51}" id="{E3EDB09A-4754-424D-B1B1-5CE06C5D8CA1}">
    <text>Updated based on feedback from General Manager, IP, BEZA as received on 9 Aug 2023</text>
  </threadedComment>
  <threadedComment ref="P2" dT="2023-09-19T09:11:26.92" personId="{113783B0-C81B-4AB7-B9D4-9A614A753D51}" id="{B524E54E-1366-4744-BFB6-046F0EDC6B16}">
    <text>Column updated based on input from BEZA key persons</text>
  </threadedComment>
  <threadedComment ref="T2" dT="2023-09-19T10:11:36.19" personId="{113783B0-C81B-4AB7-B9D4-9A614A753D51}" id="{E2C29B25-9543-406F-A2DD-A0E69E530ECA}">
    <text>Column updated based on input from BEZA key persons</text>
  </threadedComment>
  <threadedComment ref="Y2" dT="2023-08-16T05:49:10.08" personId="{113783B0-C81B-4AB7-B9D4-9A614A753D51}" id="{C4B16DAA-713D-4608-A835-BB3110BF9844}">
    <text>Updated based on feedback from General Manager, Planning, BEZA as received on 9 Aug 2023</text>
  </threadedComment>
  <threadedComment ref="AB2" dT="2023-08-16T05:48:11.58" personId="{113783B0-C81B-4AB7-B9D4-9A614A753D51}" id="{E807275E-3B75-4FA2-BC76-FF4996E3259A}">
    <text>Updated based on feedback from General Manager, Planning, BEZA as received on 10 Aug 2023</text>
  </threadedComment>
  <threadedComment ref="J3" dT="2023-08-03T06:55:56.19" personId="{1A3674AE-958B-466C-93C4-2778B9CE543F}" id="{66A2008C-8B32-4F7E-81BD-047F36319AC2}">
    <text>As the zone is under BSMSN, the parameters of Mirsarai EZ are replicated</text>
  </threadedComment>
  <threadedComment ref="Q3" dT="2023-08-03T06:56:36.57" personId="{1A3674AE-958B-466C-93C4-2778B9CE543F}" id="{B021FA31-B595-42C5-BD83-154FC750F8DF}">
    <text>As the zone is under BSMSN, the parameters of Mirsarai EZ are replicated</text>
  </threadedComment>
  <threadedComment ref="Q3" dT="2023-09-19T09:11:54.80" personId="{113783B0-C81B-4AB7-B9D4-9A614A753D51}" id="{30AE721C-5158-48C7-9327-177D2F3CABA1}" parentId="{B021FA31-B595-42C5-BD83-154FC750F8DF}">
    <text>Score for Mirsarai and Feni calculated collectively</text>
  </threadedComment>
  <threadedComment ref="U3" dT="2023-08-03T06:56:59.30" personId="{1A3674AE-958B-466C-93C4-2778B9CE543F}" id="{320944E2-E55B-4425-87B0-8B1CC301B8E8}">
    <text>As the zone is under BSMSN, the parameters of Mirsarai EZ are replicated</text>
  </threadedComment>
  <threadedComment ref="U3" dT="2023-09-19T09:46:00.49" personId="{113783B0-C81B-4AB7-B9D4-9A614A753D51}" id="{BB840A1A-7838-4D9C-9602-FED7FA5F75F0}" parentId="{320944E2-E55B-4425-87B0-8B1CC301B8E8}">
    <text>Score for Mirsarai and Feni calculated collectively</text>
  </threadedComment>
  <threadedComment ref="Y3" dT="2023-08-03T06:57:24.83" personId="{1A3674AE-958B-466C-93C4-2778B9CE543F}" id="{6B9199F1-0324-422D-B948-496FA2DD94C7}">
    <text>As the zone is under BSMSN, the parameters of Mirsarai EZ are replicated</text>
  </threadedComment>
  <threadedComment ref="AF3" dT="2023-08-03T06:58:08.18" personId="{1A3674AE-958B-466C-93C4-2778B9CE543F}" id="{EF3A1B11-3342-481E-B44A-27185B8CE0AF}">
    <text>As the zone is under BSMSN, the parameters of Mirsarai EZ are replicated</text>
  </threadedComment>
  <threadedComment ref="AJ3" dT="2023-08-03T06:58:34.13" personId="{1A3674AE-958B-466C-93C4-2778B9CE543F}" id="{54BD72DC-11F1-4ACD-8A3B-655E667D9B55}">
    <text>As the zone is under BSMSN, the parameters of Mirsarai EZ are replicated</text>
  </threadedComment>
  <threadedComment ref="AP3" dT="2023-08-03T06:58:53.14" personId="{1A3674AE-958B-466C-93C4-2778B9CE543F}" id="{396D24B8-BF1E-4142-B019-2A25C2C033CD}">
    <text>As the zone is under BSMSN, the parameters of Mirsarai EZ are replicated</text>
  </threadedComment>
  <threadedComment ref="AS3" dT="2023-08-03T06:59:11.18" personId="{1A3674AE-958B-466C-93C4-2778B9CE543F}" id="{02EC0CD9-C735-48DD-9E99-35C6F620563D}">
    <text>As the zone is under BSMSN, the parameters of Mirsarai EZ are replicated</text>
  </threadedComment>
  <threadedComment ref="AV3" dT="2023-08-03T06:59:29.19" personId="{1A3674AE-958B-466C-93C4-2778B9CE543F}" id="{751C4860-9460-415E-B2EF-4292D15024B8}">
    <text>As the zone is under BSMSN, the parameters of Mirsarai EZ are replicated</text>
  </threadedComment>
  <threadedComment ref="AY3" dT="2023-08-03T06:59:49.93" personId="{1A3674AE-958B-466C-93C4-2778B9CE543F}" id="{36F51755-4DA9-4624-A0B0-7F7437047A94}">
    <text>As the zone is under BSMSN, the parameters of Mirsarai EZ are replicated</text>
  </threadedComment>
  <threadedComment ref="BB3" dT="2023-08-03T07:00:09.17" personId="{1A3674AE-958B-466C-93C4-2778B9CE543F}" id="{A4DB6CD0-897A-45D4-B02B-534B5B792F1C}">
    <text>As the zone is under BSMSN, the parameters of Mirsarai EZ are replicated</text>
  </threadedComment>
  <threadedComment ref="BE3" dT="2023-08-03T07:00:26.13" personId="{1A3674AE-958B-466C-93C4-2778B9CE543F}" id="{6F9A1F09-841C-4A7D-82AA-13B025C9C8DB}">
    <text>As the zone is under BSMSN, the parameters of Mirsarai EZ are replicated</text>
  </threadedComment>
  <threadedComment ref="BI3" dT="2023-08-03T07:00:48.22" personId="{1A3674AE-958B-466C-93C4-2778B9CE543F}" id="{D08F6DFC-0F9C-4E3D-B740-45D490F248D3}">
    <text>As the zone is under BSMSN, the parameters of Mirsarai EZ are replicated</text>
  </threadedComment>
  <threadedComment ref="BL3" dT="2023-08-03T07:01:03.95" personId="{1A3674AE-958B-466C-93C4-2778B9CE543F}" id="{7EC8C0A1-9296-4C43-8B06-87CB545B4F0A}">
    <text>As the zone is under BSMSN, the parameters of Mirsarai EZ are replicated</text>
  </threadedComment>
  <threadedComment ref="BO3" dT="2023-08-03T07:01:23.86" personId="{1A3674AE-958B-466C-93C4-2778B9CE543F}" id="{7B3EF4CB-ACFE-4B7A-8C13-4FF26D65B179}">
    <text>As the zone is under BSMSN, the parameters of Mirsarai EZ are replicated</text>
  </threadedComment>
  <threadedComment ref="BS3" dT="2023-08-03T07:01:46.02" personId="{1A3674AE-958B-466C-93C4-2778B9CE543F}" id="{34B4A4CA-9A2B-405E-ABD6-5CAB13C7B3A3}">
    <text>As the zone is under BSMSN, the parameters of Mirsarai EZ are replicated</text>
  </threadedComment>
  <threadedComment ref="BV3" dT="2023-08-03T07:02:03.20" personId="{1A3674AE-958B-466C-93C4-2778B9CE543F}" id="{4A1B7939-2454-4B2B-9331-6F26DA9DAFA1}">
    <text>As the zone is under BSMSN, the parameters of Mirsarai EZ are replicated</text>
  </threadedComment>
  <threadedComment ref="BY3" dT="2023-08-03T07:02:21.95" personId="{1A3674AE-958B-466C-93C4-2778B9CE543F}" id="{FE74A822-10FB-41F0-9E16-F3B209794C0B}">
    <text>As the zone is under BSMSN, the parameters of Mirsarai EZ are replicated</text>
  </threadedComment>
  <threadedComment ref="CB3" dT="2023-08-03T07:02:37.04" personId="{1A3674AE-958B-466C-93C4-2778B9CE543F}" id="{B2293974-5CD5-4348-9364-CF833C46AE69}">
    <text>As the zone is under BSMSN, the parameters of Mirsarai EZ are replicated</text>
  </threadedComment>
  <threadedComment ref="CF3" dT="2023-08-03T07:03:16.84" personId="{1A3674AE-958B-466C-93C4-2778B9CE543F}" id="{B60DA6BF-B26A-4545-9A44-6CCC3A88E4A3}">
    <text>As the zone is under BSMSN, the parameters of Mirsarai EZ are replicated</text>
  </threadedComment>
  <threadedComment ref="CI3" dT="2023-08-03T07:03:36.27" personId="{1A3674AE-958B-466C-93C4-2778B9CE543F}" id="{0CFB8F8B-C370-42CE-A8FF-52AA0E9084E8}">
    <text>As the zone is under BSMSN, the parameters of Mirsarai EZ are replicated</text>
  </threadedComment>
  <threadedComment ref="CM3" dT="2023-08-03T07:04:22.06" personId="{1A3674AE-958B-466C-93C4-2778B9CE543F}" id="{8C552624-B701-495E-B8F7-7C4478ACACAE}">
    <text>As the zone is under BSMSN, the parameters of Mirsarai EZ are replicated</text>
  </threadedComment>
  <threadedComment ref="CP3" dT="2023-08-03T07:04:45.56" personId="{1A3674AE-958B-466C-93C4-2778B9CE543F}" id="{11EEE6C0-21E7-4CDC-AE01-ADE795236006}">
    <text>As the zone is under BSMSN, the parameters of Mirsarai EZ are replicated</text>
  </threadedComment>
  <threadedComment ref="CS3" dT="2023-08-03T07:05:06.28" personId="{1A3674AE-958B-466C-93C4-2778B9CE543F}" id="{0271FE12-53DF-4997-9802-7612FD4FA1B2}">
    <text>As the zone is under BSMSN, the parameters of Mirsarai EZ are replicated</text>
  </threadedComment>
  <threadedComment ref="CV3" dT="2023-08-03T07:05:24.58" personId="{1A3674AE-958B-466C-93C4-2778B9CE543F}" id="{5C03DB38-DBC2-4681-BFA7-64019BBF4962}">
    <text>As the zone is under BSMSN, the parameters of Mirsarai EZ are replicated</text>
  </threadedComment>
  <threadedComment ref="CY3" dT="2023-08-03T07:05:35.95" personId="{1A3674AE-958B-466C-93C4-2778B9CE543F}" id="{6E28866C-DBE3-4838-BFFC-48C441D16A17}">
    <text>As the zone is under BSMSN, the parameters of Mirsarai EZ are replicated</text>
  </threadedComment>
  <threadedComment ref="DC3" dT="2023-08-03T07:05:51.88" personId="{1A3674AE-958B-466C-93C4-2778B9CE543F}" id="{99737436-BC27-457D-B10F-C916A33603BF}">
    <text>As the zone is under BSMSN, the parameters of Mirsarai EZ are replicated</text>
  </threadedComment>
  <threadedComment ref="DF3" dT="2023-08-03T07:06:09.79" personId="{1A3674AE-958B-466C-93C4-2778B9CE543F}" id="{2607A50D-163A-4679-B7BB-73BB6E83E78B}">
    <text>As the zone is under BSMSN, the parameters of Mirsarai EZ are replicated</text>
  </threadedComment>
  <threadedComment ref="DI3" dT="2023-08-03T07:06:19.89" personId="{1A3674AE-958B-466C-93C4-2778B9CE543F}" id="{DA896784-0904-41AA-AE1C-B183189DDCC0}">
    <text>As the zone is under BSMSN, the parameters of Mirsarai EZ are replicated</text>
  </threadedComment>
  <threadedComment ref="DL3" dT="2023-08-03T07:06:37.68" personId="{1A3674AE-958B-466C-93C4-2778B9CE543F}" id="{E6DB5099-C878-455D-9A42-A1856A9EB852}">
    <text>As the zone is under BSMSN, the parameters of Mirsarai EZ are replicated</text>
  </threadedComment>
  <threadedComment ref="DO3" dT="2023-08-03T07:06:52.93" personId="{1A3674AE-958B-466C-93C4-2778B9CE543F}" id="{5DF94D74-460D-4E4F-A786-8CB517DFC797}">
    <text>As the zone is under BSMSN, the parameters of Mirsarai EZ are replicated</text>
  </threadedComment>
  <threadedComment ref="DR3" dT="2023-08-03T07:07:08.47" personId="{1A3674AE-958B-466C-93C4-2778B9CE543F}" id="{28889FC6-7F08-41D5-B3A2-A9FBD87343D3}">
    <text>As the zone is under BSMSN, the parameters of Mirsarai EZ are replicated</text>
  </threadedComment>
  <threadedComment ref="BE4" dT="2023-08-01T08:08:36.53" personId="{1A3674AE-958B-466C-93C4-2778B9CE543F}" id="{C242B6D1-131A-46A8-BA23-CE1580FF8FCF}">
    <text>According to feasibility reports, this zone has a dedicated jetty within the premises.</text>
  </threadedComment>
  <threadedComment ref="CP4" dT="2023-08-01T08:07:42.28" personId="{1A3674AE-958B-466C-93C4-2778B9CE543F}" id="{F3F67987-0770-4BAC-B264-E9C2C592F13A}">
    <text>As per feasibility, the zone has dedicated housing complex within the premises.</text>
  </threadedComment>
  <threadedComment ref="J5" dT="2023-08-03T06:56:14.05" personId="{1A3674AE-958B-466C-93C4-2778B9CE543F}" id="{43D4D5DC-BD40-4BB7-AAD2-6621F9936F75}">
    <text>As the zone is under BSMSN, the parameters of Mirsarai EZ are replicated</text>
  </threadedComment>
  <threadedComment ref="Q5" dT="2023-08-03T06:56:43.97" personId="{1A3674AE-958B-466C-93C4-2778B9CE543F}" id="{BFCACB78-1A91-46A3-8193-881AC1615992}">
    <text>As the zone is under BSMSN, the parameters of Mirsarai EZ are replicated</text>
  </threadedComment>
  <threadedComment ref="U5" dT="2023-08-03T06:57:04.90" personId="{1A3674AE-958B-466C-93C4-2778B9CE543F}" id="{9945431C-D8AC-407E-A27A-0892079D78FA}">
    <text>As the zone is under BSMSN, the parameters of Mirsarai EZ are replicated</text>
  </threadedComment>
  <threadedComment ref="Y5" dT="2023-08-03T06:57:39.11" personId="{1A3674AE-958B-466C-93C4-2778B9CE543F}" id="{5EDB86D3-93FC-4FFE-B49D-EDA906975745}">
    <text>As the zone is under BSMSN, the parameters of Mirsarai EZ are replicated</text>
  </threadedComment>
  <threadedComment ref="AF5" dT="2023-08-03T06:58:15.38" personId="{1A3674AE-958B-466C-93C4-2778B9CE543F}" id="{D4A4056E-04BF-4AC3-871B-2AD293CFBCF0}">
    <text>As the zone is under BSMSN, the parameters of Mirsarai EZ are replicated</text>
  </threadedComment>
  <threadedComment ref="AJ5" dT="2023-08-03T06:58:40.39" personId="{1A3674AE-958B-466C-93C4-2778B9CE543F}" id="{BF2EEA1A-9AE0-4477-873C-65A472282961}">
    <text>As the zone is under BSMSN, the parameters of Mirsarai EZ are replicated</text>
  </threadedComment>
  <threadedComment ref="AP5" dT="2023-08-03T06:58:57.91" personId="{1A3674AE-958B-466C-93C4-2778B9CE543F}" id="{A7E8BD84-DFE3-4E83-B929-4DB764633C6E}">
    <text>As the zone is under BSMSN, the parameters of Mirsarai EZ are replicated</text>
  </threadedComment>
  <threadedComment ref="AS5" dT="2023-08-03T06:59:18.71" personId="{1A3674AE-958B-466C-93C4-2778B9CE543F}" id="{F6E6E674-FA64-4023-B8DD-4B2BB9546E2D}">
    <text>As the zone is under BSMSN, the parameters of Mirsarai EZ are replicated</text>
  </threadedComment>
  <threadedComment ref="AV5" dT="2023-08-03T06:59:38.94" personId="{1A3674AE-958B-466C-93C4-2778B9CE543F}" id="{97A97341-2D16-4C12-BF0A-5668E7D872B4}">
    <text>As the zone is under BSMSN, the parameters of Mirsarai EZ are replicated</text>
  </threadedComment>
  <threadedComment ref="AY5" dT="2023-08-03T06:59:55.76" personId="{1A3674AE-958B-466C-93C4-2778B9CE543F}" id="{9519E9BB-F15F-4182-9C31-674E72BAD1F9}">
    <text>As the zone is under BSMSN, the parameters of Mirsarai EZ are replicated</text>
  </threadedComment>
  <threadedComment ref="BB5" dT="2023-08-03T07:00:16.23" personId="{1A3674AE-958B-466C-93C4-2778B9CE543F}" id="{9DD1F1D6-7E99-4513-8A20-B39895FE2794}">
    <text>As the zone is under BSMSN, the parameters of Mirsarai EZ are replicated</text>
  </threadedComment>
  <threadedComment ref="BE5" dT="2023-08-03T07:00:31.12" personId="{1A3674AE-958B-466C-93C4-2778B9CE543F}" id="{879C6CD8-6953-4EFB-93CC-299EB264EDDE}">
    <text>As the zone is under BSMSN, the parameters of Mirsarai EZ are replicated</text>
  </threadedComment>
  <threadedComment ref="BI5" dT="2023-08-03T07:00:53.05" personId="{1A3674AE-958B-466C-93C4-2778B9CE543F}" id="{BDA8BA87-CF4E-4728-9576-8B756CC0F923}">
    <text>As the zone is under BSMSN, the parameters of Mirsarai EZ are replicated</text>
  </threadedComment>
  <threadedComment ref="BL5" dT="2023-08-03T07:01:12.76" personId="{1A3674AE-958B-466C-93C4-2778B9CE543F}" id="{6C93EA89-8AEF-4946-8993-D4DF3CB93F91}">
    <text>As the zone is under BSMSN, the parameters of Mirsarai EZ are replicated</text>
  </threadedComment>
  <threadedComment ref="BO5" dT="2023-08-03T07:01:28.91" personId="{1A3674AE-958B-466C-93C4-2778B9CE543F}" id="{31181BBB-AC77-45D3-97A3-A1D402637591}">
    <text>As the zone is under BSMSN, the parameters of Mirsarai EZ are replicated</text>
  </threadedComment>
  <threadedComment ref="BS5" dT="2023-08-03T07:01:50.74" personId="{1A3674AE-958B-466C-93C4-2778B9CE543F}" id="{0975C8A1-2BE5-4288-B73B-D957742829A7}">
    <text>As the zone is under BSMSN, the parameters of Mirsarai EZ are replicated</text>
  </threadedComment>
  <threadedComment ref="BV5" dT="2023-08-03T07:02:07.94" personId="{1A3674AE-958B-466C-93C4-2778B9CE543F}" id="{F3882CDE-AF58-4252-9008-0FB889746F15}">
    <text>As the zone is under BSMSN, the parameters of Mirsarai EZ are replicated</text>
  </threadedComment>
  <threadedComment ref="BY5" dT="2023-08-03T07:02:26.27" personId="{1A3674AE-958B-466C-93C4-2778B9CE543F}" id="{F65EEFD3-EDCA-4198-91E6-D52B20435585}">
    <text>As the zone is under BSMSN, the parameters of Mirsarai EZ are replicated</text>
  </threadedComment>
  <threadedComment ref="CB5" dT="2023-08-03T07:02:41.97" personId="{1A3674AE-958B-466C-93C4-2778B9CE543F}" id="{8D545782-1270-4F5E-98A6-3CC3DE2D90F3}">
    <text>As the zone is under BSMSN, the parameters of Mirsarai EZ are replicated</text>
  </threadedComment>
  <threadedComment ref="CF5" dT="2023-08-03T07:03:24.50" personId="{1A3674AE-958B-466C-93C4-2778B9CE543F}" id="{911577C4-BD75-4644-B258-890E53A506D5}">
    <text>As the zone is under BSMSN, the parameters of Mirsarai EZ are replicated</text>
  </threadedComment>
  <threadedComment ref="CI5" dT="2023-08-03T07:03:43.60" personId="{1A3674AE-958B-466C-93C4-2778B9CE543F}" id="{8EC41628-B13F-4277-B54C-9BC25B092904}">
    <text>As the zone is under BSMSN, the parameters of Mirsarai EZ are replicated</text>
  </threadedComment>
  <threadedComment ref="CM5" dT="2023-08-03T07:04:28.99" personId="{1A3674AE-958B-466C-93C4-2778B9CE543F}" id="{29FAE9A6-EF52-4130-BE4C-C31508FEFAAD}">
    <text>As the zone is under BSMSN, the parameters of Mirsarai EZ are replicated</text>
  </threadedComment>
  <threadedComment ref="CP5" dT="2023-08-03T07:04:51.94" personId="{1A3674AE-958B-466C-93C4-2778B9CE543F}" id="{1E15BFB9-D6E1-42B0-BD59-71D98DF28132}">
    <text>As the zone is under BSMSN, the parameters of Mirsarai EZ are replicated</text>
  </threadedComment>
  <threadedComment ref="CS5" dT="2023-08-03T07:05:12.51" personId="{1A3674AE-958B-466C-93C4-2778B9CE543F}" id="{00825BF8-E0E0-4D69-8C64-78EA9E83A84A}">
    <text>As the zone is under BSMSN, the parameters of Mirsarai EZ are replicated</text>
  </threadedComment>
  <threadedComment ref="CV5" dT="2023-08-03T07:05:29.51" personId="{1A3674AE-958B-466C-93C4-2778B9CE543F}" id="{B44138BA-0DB6-4374-9E68-EE2A2205ECB4}">
    <text>As the zone is under BSMSN, the parameters of Mirsarai EZ are replicated</text>
  </threadedComment>
  <threadedComment ref="CY5" dT="2023-08-03T07:05:40.38" personId="{1A3674AE-958B-466C-93C4-2778B9CE543F}" id="{57C00596-B67D-4177-A39A-E9B7689882D4}">
    <text>As the zone is under BSMSN, the parameters of Mirsarai EZ are replicated</text>
  </threadedComment>
  <threadedComment ref="DC5" dT="2023-08-03T07:05:56.50" personId="{1A3674AE-958B-466C-93C4-2778B9CE543F}" id="{004B9037-93C8-405F-A877-E9534C205FA6}">
    <text>As the zone is under BSMSN, the parameters of Mirsarai EZ are replicated</text>
  </threadedComment>
  <threadedComment ref="DF5" dT="2023-08-03T07:06:14.11" personId="{1A3674AE-958B-466C-93C4-2778B9CE543F}" id="{D0EACDB2-6FEC-451F-98AD-1C901D2788E6}">
    <text>As the zone is under BSMSN, the parameters of Mirsarai EZ are replicated</text>
  </threadedComment>
  <threadedComment ref="DI5" dT="2023-08-03T07:06:26.18" personId="{1A3674AE-958B-466C-93C4-2778B9CE543F}" id="{A7535CD0-5BC3-4314-A85D-A45A9B14C5A7}">
    <text>As the zone is under BSMSN, the parameters of Mirsarai EZ are replicated</text>
  </threadedComment>
  <threadedComment ref="DL5" dT="2023-08-03T07:06:45.11" personId="{1A3674AE-958B-466C-93C4-2778B9CE543F}" id="{F5CBB04A-1EB7-45DD-B65A-462EC8D545F5}">
    <text>As the zone is under BSMSN, the parameters of Mirsarai EZ are replicated</text>
  </threadedComment>
  <threadedComment ref="DO5" dT="2023-08-03T07:06:57.61" personId="{1A3674AE-958B-466C-93C4-2778B9CE543F}" id="{73D73CB5-F2E4-4422-927B-B86D4C281D26}">
    <text>As the zone is under BSMSN, the parameters of Mirsarai EZ are replicated</text>
  </threadedComment>
  <threadedComment ref="DR5" dT="2023-08-03T07:07:13.03" personId="{1A3674AE-958B-466C-93C4-2778B9CE543F}" id="{E1438883-3742-4C74-ADEE-938B53AFB4BD}">
    <text>As the zone is under BSMSN, the parameters of Mirsarai EZ are replicated</text>
  </threadedComment>
  <threadedComment ref="P7" dT="2023-09-19T09:13:49.02" personId="{113783B0-C81B-4AB7-B9D4-9A614A753D51}" id="{29F2ED94-1130-4C8A-B9F0-8C899242B579}">
    <text>Updated from DPP</text>
  </threadedComment>
  <threadedComment ref="T7" dT="2023-09-19T09:47:44.37" personId="{113783B0-C81B-4AB7-B9D4-9A614A753D51}" id="{AE378B95-91F0-46B9-8296-F2D85CBB1D6D}">
    <text>Updated from DPP</text>
  </threadedComment>
  <threadedComment ref="P8" dT="2023-11-10T09:12:42.68" personId="{113783B0-C81B-4AB7-B9D4-9A614A753D51}" id="{DB411E5C-70A4-4B91-910E-F4455A5F9C35}">
    <text>Updated from Pre-Feasibility</text>
  </threadedComment>
  <threadedComment ref="T8" dT="2023-11-10T09:19:15.59" personId="{113783B0-C81B-4AB7-B9D4-9A614A753D51}" id="{376F39B3-ABE8-4A3D-B8AA-7533E3E592A0}">
    <text>Updated from Pre-Feasibility</text>
  </threadedComment>
  <threadedComment ref="AP8" dT="2023-11-10T09:23:10.88" personId="{113783B0-C81B-4AB7-B9D4-9A614A753D51}" id="{7185C044-9AE1-4009-BAD6-CEE84216D5D0}">
    <text>Updated based on Feasibility</text>
  </threadedComment>
  <threadedComment ref="BL8" dT="2023-11-10T09:30:10.18" personId="{113783B0-C81B-4AB7-B9D4-9A614A753D51}" id="{C349E738-BC80-4E39-97FC-ABA0E624EE86}">
    <text>Adjusted based on GTCL data
https://gtcl.org.bd/sites/default/files/files/gtcl.portal.gov.bd/download/665a096b_bf05_4662_a122_d6818672adbc/2023-07-20-08-02-12b061073b931f1f14aaf289ce1796e8.pdf</text>
  </threadedComment>
  <threadedComment ref="BO8" dT="2023-11-10T09:33:57.58" personId="{113783B0-C81B-4AB7-B9D4-9A614A753D51}" id="{0466CC14-5896-4DF2-B566-F6731B8BB0C3}">
    <text>Updated based on Pre-Feasibility</text>
  </threadedComment>
  <threadedComment ref="J9" dT="2024-12-12T11:15:21.27" personId="{8A902376-238F-4767-99A9-BB73493DA08B}" id="{570766B8-B106-44E3-A4F3-BD2BC426B4CC}">
    <text>Land acquisition issue. Only 40 acres land available with BEZA</text>
  </threadedComment>
  <threadedComment ref="J11" dT="2024-12-12T11:15:58.98" personId="{8A902376-238F-4767-99A9-BB73493DA08B}" id="{2F8A1510-5F44-4B08-BB28-F9681F495DFD}">
    <text xml:space="preserve">Land acquisition issue, only 110 acres land available. </text>
  </threadedComment>
  <threadedComment ref="BL12" dT="2023-11-10T07:00:23.35" personId="{113783B0-C81B-4AB7-B9D4-9A614A753D51}" id="{15459379-78B7-4505-ACF8-FA8067A675FE}">
    <text>Updated from Feasibility Study</text>
  </threadedComment>
  <threadedComment ref="AS13" dT="2024-12-19T11:09:43.12" personId="{9EE717EA-2F58-4964-B6CF-EAACC1A37F1D}" id="{AA91C52F-31D4-475F-9B38-25000F55ACD4}">
    <text>The data updated based on discussion with BEZA- Zone has connecting road to highway</text>
  </threadedComment>
  <threadedComment ref="J14" dT="2024-12-12T11:16:41.00" personId="{8A902376-238F-4767-99A9-BB73493DA08B}" id="{369B4AF2-213A-4213-8643-565568237C6A}">
    <text>No land available as per email from BEZA dated 11 December 2024</text>
  </threadedComment>
  <threadedComment ref="J16" dT="2024-12-12T11:20:38.02" personId="{8A902376-238F-4767-99A9-BB73493DA08B}" id="{E4B4B399-54B1-44BD-BBE0-3C313E97224A}">
    <text xml:space="preserve">Major environmental bottleneck, cancellation of EIA. As informed by BEZA on 11 Dec 2024. </text>
  </threadedComment>
  <threadedComment ref="P16" dT="2023-11-10T08:45:20.25" personId="{113783B0-C81B-4AB7-B9D4-9A614A753D51}" id="{52BEAE94-65A2-4B53-94FC-52A1A1E60BC6}">
    <text>Updated from Feasibility Study</text>
  </threadedComment>
  <threadedComment ref="T16" dT="2023-11-10T08:46:52.31" personId="{113783B0-C81B-4AB7-B9D4-9A614A753D51}" id="{193CB67A-A3EB-4DF5-8F62-A22C56A0ADAB}">
    <text>Updated from Feasibility Study</text>
  </threadedComment>
  <threadedComment ref="BL16" dT="2023-11-10T08:49:23.43" personId="{113783B0-C81B-4AB7-B9D4-9A614A753D51}" id="{AC5B9824-0CBB-49F7-A8F3-42D345CF0050}">
    <text>Adjusted based on GTCL data
https://gtcl.org.bd/sites/default/files/files/gtcl.portal.gov.bd/download/665a096b_bf05_4662_a122_d6818672adbc/2023-07-20-08-02-12b061073b931f1f14aaf289ce1796e8.pdf</text>
  </threadedComment>
  <threadedComment ref="BO16" dT="2023-11-10T08:55:45.86" personId="{113783B0-C81B-4AB7-B9D4-9A614A753D51}" id="{B9725233-0F3C-4D2F-B18D-7B0B5C568F8C}">
    <text>Updated from Feasibility Study</text>
  </threadedComment>
  <threadedComment ref="DC16" dT="2024-12-12T11:18:52.61" personId="{8A902376-238F-4767-99A9-BB73493DA08B}" id="{624A2526-CB5E-46A8-B8BB-3C78912D12AA}">
    <text xml:space="preserve">EIA approval cancelled as per mail from BEZA dated 11 Nov. </text>
  </threadedComment>
  <threadedComment ref="J18" dT="2024-12-12T11:21:04.76" personId="{8A902376-238F-4767-99A9-BB73493DA08B}" id="{2328C70A-0CA6-4049-BE0C-1B8C8D05A76F}">
    <text>Land not available as informed by BEZA on 11 Dec 2024.</text>
  </threadedComment>
  <threadedComment ref="P20" dT="2023-09-19T09:15:05.17" personId="{113783B0-C81B-4AB7-B9D4-9A614A753D51}" id="{59D4C71E-EDE4-4FBF-A620-B3A9F1EC4AA0}">
    <text>Updated from DPP</text>
  </threadedComment>
  <threadedComment ref="AF20" dT="2024-12-19T11:31:04.78" personId="{9EE717EA-2F58-4964-B6CF-EAACC1A37F1D}" id="{A1EF3B39-A4FF-4590-8D1A-FC7A4EAE2EC4}">
    <text>Updated demand as per discussions with BEZA due to high land demand practically observed from various sector investors observed in the EZ</text>
  </threadedComment>
  <threadedComment ref="BL20" dT="2024-12-19T11:35:00.72" personId="{9EE717EA-2F58-4964-B6CF-EAACC1A37F1D}" id="{AAA3E273-03A7-438C-81DF-698B89DC2AE0}">
    <text xml:space="preserve">Gas availability updated as per latest data provided by BEZA- gas available within site </text>
  </threadedComment>
  <threadedComment ref="M21" dT="2023-11-10T06:17:00.69" personId="{113783B0-C81B-4AB7-B9D4-9A614A753D51}" id="{DD263756-B662-4C00-A94D-11FB4E33D017}">
    <text>Updated based on feasibility study</text>
  </threadedComment>
  <threadedComment ref="P21" dT="2023-11-10T06:27:08.47" personId="{113783B0-C81B-4AB7-B9D4-9A614A753D51}" id="{6F332279-20FA-4684-BDDB-DAD32A61361E}">
    <text>Feasibility Study (Pg 182)</text>
  </threadedComment>
  <threadedComment ref="T21" dT="2023-11-10T06:28:03.92" personId="{113783B0-C81B-4AB7-B9D4-9A614A753D51}" id="{D728F85C-B5AD-4B72-B55B-6BE54369ABC0}">
    <text>Mujib Badh present</text>
  </threadedComment>
  <threadedComment ref="AF22" dT="2024-12-19T11:31:16.74" personId="{9EE717EA-2F58-4964-B6CF-EAACC1A37F1D}" id="{285BFE32-5D66-4CEE-BDEB-59034F71F42D}">
    <text>Updated demand as per discussions with BEZA due to high land demand practically observed from various sector investors observed in the EZ</text>
  </threadedComment>
  <threadedComment ref="BI22" dT="2024-12-19T11:33:58.68" personId="{9EE717EA-2F58-4964-B6CF-EAACC1A37F1D}" id="{2B29C767-92C7-4B9E-8A87-806B851A6932}">
    <text>Power availability status updated due to new power station constructed near site as per discussions with BEZA</text>
  </threadedComment>
  <threadedComment ref="CB22" dT="2024-12-19T11:35:55.21" personId="{9EE717EA-2F58-4964-B6CF-EAACC1A37F1D}" id="{4267D914-AF63-47BE-AD3C-E50AE5402685}">
    <text>Site located on industry corridor- data updated</text>
  </threadedComment>
  <threadedComment ref="J24" dT="2024-12-12T11:21:48.42" personId="{8A902376-238F-4767-99A9-BB73493DA08B}" id="{25F682BA-5282-4077-BAA0-7898F3940D85}">
    <text xml:space="preserve">Land not available as informed by BEZA on 11 Dec 2024
</text>
  </threadedComment>
  <threadedComment ref="T26" dT="2023-11-10T07:22:39.41" personId="{113783B0-C81B-4AB7-B9D4-9A614A753D51}" id="{905AA9FF-287D-49F1-ADE2-F47C6AED779B}">
    <text>Updated based on feasibility study. Embankment not required.</text>
  </threadedComment>
  <threadedComment ref="J27" dT="2024-12-12T11:22:18.28" personId="{8A902376-238F-4767-99A9-BB73493DA08B}" id="{407ED07C-E659-4B86-BB8E-98B1580737B7}">
    <text>Land not available as informed by BEZA on 11 Dec 2024</text>
  </threadedComment>
  <threadedComment ref="J28" dT="2024-12-12T11:23:19.73" personId="{8A902376-238F-4767-99A9-BB73493DA08B}" id="{DE7D8873-27D8-41D2-99AE-89B0C79708F6}">
    <text>Land not available as informed by BEZA on 11 Dec 2024.</text>
  </threadedComment>
  <threadedComment ref="P28" dT="2023-09-19T09:14:36.52" personId="{113783B0-C81B-4AB7-B9D4-9A614A753D51}" id="{294F2A3A-7382-4A75-A725-31D93707C2FE}">
    <text>Updated from DPP</text>
  </threadedComment>
  <threadedComment ref="J29" dT="2024-12-12T11:22:38.59" personId="{8A902376-238F-4767-99A9-BB73493DA08B}" id="{EDDB0EEB-A7A8-4D54-A10E-BFCADADB87FB}">
    <text>Land not available as informed by BEZA on 11 Dec 2024</text>
  </threadedComment>
  <threadedComment ref="AB52" dT="2023-11-10T09:42:27.20" personId="{113783B0-C81B-4AB7-B9D4-9A614A753D51}" id="{6265ED11-4406-4C14-AB88-3B473D83D1C6}">
    <text>Updated</text>
  </threadedComment>
</ThreadedComments>
</file>

<file path=xl/threadedComments/threadedComment2.xml><?xml version="1.0" encoding="utf-8"?>
<ThreadedComments xmlns="http://schemas.microsoft.com/office/spreadsheetml/2018/threadedcomments" xmlns:x="http://schemas.openxmlformats.org/spreadsheetml/2006/main">
  <threadedComment ref="J2" dT="2023-08-10T15:24:04.29" personId="{113783B0-C81B-4AB7-B9D4-9A614A753D51}" id="{24D9BDAF-6507-461C-8FD2-5BA87BB6906E}">
    <text>Does not include Pre-Feasibility</text>
  </threadedComment>
  <threadedComment ref="G18" dT="2023-08-03T06:57:24.83" personId="{1A3674AE-958B-466C-93C4-2778B9CE543F}" id="{9526EAF5-92D2-4680-90F0-09E54F39A170}">
    <text>As the zone is under BSMSN, the parameters of Mirsarai EZ are replicated</text>
  </threadedComment>
  <threadedComment ref="G62" dT="2023-08-03T06:57:39.11" personId="{1A3674AE-958B-466C-93C4-2778B9CE543F}" id="{48BCFDAB-8880-4869-9E97-5854E2541372}">
    <text>As the zone is under BSMSN, the parameters of Mirsarai EZ are replicated</text>
  </threadedComment>
</ThreadedComments>
</file>

<file path=xl/threadedComments/threadedComment3.xml><?xml version="1.0" encoding="utf-8"?>
<ThreadedComments xmlns="http://schemas.microsoft.com/office/spreadsheetml/2018/threadedcomments" xmlns:x="http://schemas.openxmlformats.org/spreadsheetml/2006/main">
  <threadedComment ref="J2" dT="2023-08-10T13:27:44.65" personId="{113783B0-C81B-4AB7-B9D4-9A614A753D51}" id="{3EDA5BE1-FBA0-4F59-AAD5-CE113BCB0944}">
    <text>Updated based on feedback from Manager, IP, BEZA as received on 9 Aug 2023</text>
  </threadedComment>
  <threadedComment ref="J4" dT="2023-08-03T06:55:56.19" personId="{1A3674AE-958B-466C-93C4-2778B9CE543F}" id="{50293B47-D795-48CA-968D-0AA1E93658BC}">
    <text>As the zone is under BSMSN, the parameters of Mirsarai EZ are replicated</text>
  </threadedComment>
  <threadedComment ref="J5" dT="2023-08-03T06:56:14.05" personId="{1A3674AE-958B-466C-93C4-2778B9CE543F}" id="{617637CE-6A95-484B-B389-CE822E65FEDC}">
    <text>As the zone is under BSMSN, the parameters of Mirsarai EZ are replicated</text>
  </threadedComment>
  <threadedComment ref="C31" dT="2023-07-23T19:12:56.95" personId="{113783B0-C81B-4AB7-B9D4-9A614A753D51}" id="{36FDDEC7-CE05-4E34-9580-D12FA7A71725}" done="1">
    <text>@Kumar, Praveen Kindly complete Level 2 scoring for this EZ. Thanks</text>
    <mentions>
      <mention mentionpersonId="{31C81459-CB75-406D-9164-A542AF7EECD7}" mentionId="{5D03F397-DAF6-4A95-B5BB-92CC29C7CCF3}" startIndex="0" length="15"/>
    </mentions>
  </threadedComment>
  <threadedComment ref="H78" dT="2023-06-13T12:09:00.49" personId="{113783B0-C81B-4AB7-B9D4-9A614A753D51}" id="{EB99EC88-3027-4444-A6AE-55A1600FC482}">
    <text>Zones with pre-qualification or final license have been considered "Under Development." Zones without any license have been considered "In-Principle Approved"</text>
  </threadedComment>
</ThreadedComments>
</file>

<file path=xl/threadedComments/threadedComment4.xml><?xml version="1.0" encoding="utf-8"?>
<ThreadedComments xmlns="http://schemas.microsoft.com/office/spreadsheetml/2018/threadedcomments" xmlns:x="http://schemas.openxmlformats.org/spreadsheetml/2006/main">
  <threadedComment ref="C16" dT="2024-12-03T04:43:54.51" personId="{8A902376-238F-4767-99A9-BB73493DA08B}" id="{1BA84DB3-91C9-4189-B351-B358F6794F04}">
    <text>Updated based on discussions with BEZA held on 28 November 2024.</text>
  </threadedComment>
</ThreadedComments>
</file>

<file path=xl/threadedComments/threadedComment5.xml><?xml version="1.0" encoding="utf-8"?>
<ThreadedComments xmlns="http://schemas.microsoft.com/office/spreadsheetml/2018/threadedcomments" xmlns:x="http://schemas.openxmlformats.org/spreadsheetml/2006/main">
  <threadedComment ref="I3" dT="2023-06-13T11:49:38.65" personId="{113783B0-C81B-4AB7-B9D4-9A614A753D51}" id="{DA81CDDB-193F-42AE-AC27-34C7EA4D6A9E}">
    <text>Discrepancy between website PEZ status list and 2018 brochure e.g. City EZ is License Awarded in one, but Pre-Qualification in another</text>
  </threadedComment>
  <threadedComment ref="I3" dT="2023-06-14T11:14:42.89" personId="{113783B0-C81B-4AB7-B9D4-9A614A753D51}" id="{9833AE1E-AB74-458D-8253-EF7962D3509B}" parentId="{DA81CDDB-193F-42AE-AC27-34C7EA4D6A9E}">
    <text>PEZ License List from OSS given priority for classification</text>
  </threadedComment>
  <threadedComment ref="I3" dT="2023-06-14T11:20:38.97" personId="{113783B0-C81B-4AB7-B9D4-9A614A753D51}" id="{C0FF11B8-5AB8-4607-ABF3-5F408FE8295B}" parentId="{DA81CDDB-193F-42AE-AC27-34C7EA4D6A9E}">
    <text>Priority given to OSS List for Classification</text>
  </threadedComment>
  <threadedComment ref="AI3" dT="2023-06-14T04:48:36.06" personId="{113783B0-C81B-4AB7-B9D4-9A614A753D51}" id="{D1E1E431-1B92-46EE-8165-553219ACB76A}" done="1">
    <text>Requires Checking</text>
  </threadedComment>
  <threadedComment ref="AU4" dT="2022-08-10T06:14:09.21" personId="{9941B7A2-037E-4E05-A06D-DE802FAC8CB9}" id="{65313FBC-329B-4AB0-A08F-A65D23E01483}">
    <text>Total 165 plots, 120 categorized as less than 2 acres and rest as more than 2 acres</text>
  </threadedComment>
  <threadedComment ref="AU9" dT="2022-08-16T06:25:07.24" personId="{9941B7A2-037E-4E05-A06D-DE802FAC8CB9}" id="{F4E3D9AA-9E1B-481E-B916-95B0273D6395}">
    <text>there are 1-2 acre plots and also 2 acre plots
however majority plots 1 acre</text>
  </threadedComment>
  <threadedComment ref="AE12" dT="2023-06-11T08:58:20.90" personId="{1A3674AE-958B-466C-93C4-2778B9CE543F}" id="{2C47ED81-2DF2-415C-B9E4-E8A1E59ADBB1}" done="1">
    <text>Site visit report: Potential of acquiring 20,000 acres</text>
  </threadedComment>
  <threadedComment ref="C24" dT="2022-08-16T09:14:38.09" personId="{9941B7A2-037E-4E05-A06D-DE802FAC8CB9}" id="{8ECCA59F-9725-4A2D-B295-121113A6029D}">
    <text>Two reports on this, one pre-feasibility another feasibility. the pre-feasibility one has more detailed data</text>
  </threadedComment>
  <threadedComment ref="AD24" dT="2023-06-13T07:00:51.05" personId="{1A3674AE-958B-466C-93C4-2778B9CE543F}" id="{7B04EF38-0C16-440D-B16F-95F4D8FDE558}" done="1">
    <text>There is a mention of Jamalpur EZ-2 on website that is not on our list</text>
  </threadedComment>
  <threadedComment ref="AE30" dT="2023-06-11T08:53:06.75" personId="{1A3674AE-958B-466C-93C4-2778B9CE543F}" id="{A14337D2-BCDE-4E6C-A100-EDB17754BE60}" done="1">
    <text>Area not mentioned in site visit report</text>
  </threadedComment>
  <threadedComment ref="C31" dT="2022-08-17T06:10:59.16" personId="{9941B7A2-037E-4E05-A06D-DE802FAC8CB9}" id="{B1EAED8A-3A43-4B0E-B5C1-80312C439F1A}">
    <text>based on pre feasibility report dated 2021 - pwc</text>
  </threadedComment>
  <threadedComment ref="C33" dT="2022-08-17T06:10:31.74" personId="{9941B7A2-037E-4E05-A06D-DE802FAC8CB9}" id="{2B18EBED-5EA3-4E78-8F5D-8487F43BFCBA}">
    <text>Based on feasibility report dated 2014 - sheltech, jdi, maxwell</text>
  </threadedComment>
  <threadedComment ref="AN35" dT="2023-06-13T06:33:25.51" personId="{113783B0-C81B-4AB7-B9D4-9A614A753D51}" id="{13249899-7FB1-4366-811C-8B6C0C4E5CAC}" done="1">
    <text>Double check values for rows with this issue</text>
  </threadedComment>
  <threadedComment ref="C36" dT="2022-09-15T11:50:19.11" personId="{9941B7A2-037E-4E05-A06D-DE802FAC8CB9}" id="{63E80C3C-5370-44CA-8D20-074DFF9EA14E}">
    <text>Feasibility report of Sonadia Eco Tourism Park Used here</text>
  </threadedComment>
  <threadedComment ref="C40" dT="2022-09-15T12:17:51.88" personId="{9941B7A2-037E-4E05-A06D-DE802FAC8CB9}" id="{995A869A-BB5B-40E4-B03F-C5A082572FA8}">
    <text>Jaliardip Economic Zone</text>
  </threadedComment>
  <threadedComment ref="AE41" dT="2023-06-11T09:15:24.19" personId="{1A3674AE-958B-466C-93C4-2778B9CE543F}" id="{8D1A4A1C-6EFD-46E7-A182-711D7FD42D05}" done="1">
    <text>Revisit this figure</text>
  </threadedComment>
  <threadedComment ref="C59" dT="2022-09-15T11:52:45.53" personId="{9941B7A2-037E-4E05-A06D-DE802FAC8CB9}" id="{DBEFB7C9-C0DF-4336-B083-C99D5B0D0327}">
    <text>Jajira Economic Zone File used</text>
  </threadedComment>
  <threadedComment ref="AE67" dT="2023-06-11T09:20:23.59" personId="{1A3674AE-958B-466C-93C4-2778B9CE543F}" id="{9EA832B6-3F8D-496A-8DCF-9B3AA7238B44}">
    <text>1259.83 acre of additional land proposed (currently under private ownership)</text>
  </threadedComment>
  <threadedComment ref="AY68" dT="2022-08-10T11:29:15.50" personId="{9941B7A2-037E-4E05-A06D-DE802FAC8CB9}" id="{67C959EB-F381-4165-AF9C-52B9090E8FDE}">
    <text>utility assumed to be water+gas+electricity/power+parking areas</text>
  </threadedComment>
  <threadedComment ref="C69" dT="2022-09-15T12:07:09.31" personId="{9941B7A2-037E-4E05-A06D-DE802FAC8CB9}" id="{FAB74658-2758-4A3F-8059-01888E17293A}">
    <text>From area and location Feasibility Report seems like that of Araihazar EZ -2. There is another araihazar ez</text>
  </threadedComment>
  <threadedComment ref="AE70" dT="2023-06-11T09:04:57.29" personId="{1A3674AE-958B-466C-93C4-2778B9CE543F}" id="{04673395-2259-4187-A80A-CFFFB05F50AD}">
    <text>Additional 38 acre is proposed</text>
  </threadedComment>
  <threadedComment ref="H72" dT="2023-06-13T12:09:00.49" personId="{113783B0-C81B-4AB7-B9D4-9A614A753D51}" id="{C69C70AC-50FC-46D6-B57F-5A4FBD23B025}">
    <text>Zones with pre-qualification or final license have been considered "Under Development." Zones without any license have been considered "In-Principle Approved"</text>
  </threadedComment>
</ThreadedComments>
</file>

<file path=xl/threadedComments/threadedComment6.xml><?xml version="1.0" encoding="utf-8"?>
<ThreadedComments xmlns="http://schemas.microsoft.com/office/spreadsheetml/2018/threadedcomments" xmlns:x="http://schemas.openxmlformats.org/spreadsheetml/2006/main">
  <threadedComment ref="C22" dT="2023-07-23T19:12:56.95" personId="{113783B0-C81B-4AB7-B9D4-9A614A753D51}" id="{975D94D8-D6F7-44A6-B159-2BA02BA81767}" done="1">
    <text>@Kumar, Praveen Kindly complete Level 2 scoring for this EZ. Thanks</text>
    <mentions>
      <mention mentionpersonId="{31C81459-CB75-406D-9164-A542AF7EECD7}" mentionId="{C13CB38B-2568-44AD-80BE-B9593A67B0C9}" startIndex="0" length="15"/>
    </mentions>
  </threadedComment>
</ThreadedComments>
</file>

<file path=xl/threadedComments/threadedComment7.xml><?xml version="1.0" encoding="utf-8"?>
<ThreadedComments xmlns="http://schemas.microsoft.com/office/spreadsheetml/2018/threadedcomments" xmlns:x="http://schemas.openxmlformats.org/spreadsheetml/2006/main">
  <threadedComment ref="C31" dT="2023-07-23T19:12:56.95" personId="{113783B0-C81B-4AB7-B9D4-9A614A753D51}" id="{34CD15AF-A621-461B-8C6B-AB3ECD195A4D}">
    <text>@Kumar, Praveen Kindly complete Level 2 scoring for this EZ. Thanks</text>
    <mentions>
      <mention mentionpersonId="{31C81459-CB75-406D-9164-A542AF7EECD7}" mentionId="{E8767632-F724-4041-B4B6-DBF9A65D64F6}" startIndex="0" length="15"/>
    </mentions>
  </threadedComment>
</ThreadedComments>
</file>

<file path=xl/threadedComments/threadedComment8.xml><?xml version="1.0" encoding="utf-8"?>
<ThreadedComments xmlns="http://schemas.microsoft.com/office/spreadsheetml/2018/threadedcomments" xmlns:x="http://schemas.openxmlformats.org/spreadsheetml/2006/main">
  <threadedComment ref="AD3" dT="2022-08-10T06:14:09.21" personId="{9941B7A2-037E-4E05-A06D-DE802FAC8CB9}" id="{BBA2E974-510A-4321-80AE-F118F926547B}">
    <text>Total 165 plots, 120 categorized as less than 2 acres and rest as more than 2 acres</text>
  </threadedComment>
  <threadedComment ref="AH4" dT="2022-08-10T11:29:15.50" personId="{9941B7A2-037E-4E05-A06D-DE802FAC8CB9}" id="{D46B66FD-99DE-41D3-AB9B-4C1586B5C49A}">
    <text>utility assumed to be water+gas+electricity/power+parking areas</text>
  </threadedComment>
  <threadedComment ref="B5" dT="2022-08-16T09:14:38.09" personId="{9941B7A2-037E-4E05-A06D-DE802FAC8CB9}" id="{F423334C-EAB3-42FE-BDD1-27C2B7F0C499}">
    <text>Two reports on this, one pre-feasibility another feasibility. the pre-feasibility one has more detailed data</text>
  </threadedComment>
  <threadedComment ref="B7" dT="2022-08-17T06:10:31.74" personId="{9941B7A2-037E-4E05-A06D-DE802FAC8CB9}" id="{7D881192-A181-44FB-B436-026F1FCA2E28}">
    <text>Based on feasibility report dated 2014 - sheltech, jdi, maxwell</text>
  </threadedComment>
  <threadedComment ref="Y10" dT="2023-06-11T08:53:06.75" personId="{1A3674AE-958B-466C-93C4-2778B9CE543F}" id="{BDFC9A2D-6369-4418-B53A-4384462EF016}">
    <text>Area not mentioned in site visit report</text>
  </threadedComment>
  <threadedComment ref="B11" dT="2022-09-15T11:50:19.11" personId="{9941B7A2-037E-4E05-A06D-DE802FAC8CB9}" id="{90B612B9-9307-4CDD-BB0B-06BEBBA78203}">
    <text>Feasibility report of Sonadia Eco Tourism Park Used here</text>
  </threadedComment>
  <threadedComment ref="B14" dT="2022-09-15T11:52:45.53" personId="{9941B7A2-037E-4E05-A06D-DE802FAC8CB9}" id="{EDF81000-BEF2-4BDB-9F9C-885A10065B89}">
    <text>Jajira Economic Zone File used</text>
  </threadedComment>
  <threadedComment ref="B15" dT="2022-09-15T12:07:09.31" personId="{9941B7A2-037E-4E05-A06D-DE802FAC8CB9}" id="{40D0B7E4-051F-4767-AAA9-64675ABABD57}">
    <text>From area and location Feasibility Report seems like that of Araihazar EZ -2. There is another araihazar ez</text>
  </threadedComment>
  <threadedComment ref="AD16" dT="2022-08-16T06:25:07.24" personId="{9941B7A2-037E-4E05-A06D-DE802FAC8CB9}" id="{DBB5A1C3-EB96-430F-ABD7-E0C76D4CD6E5}">
    <text>there are 1-2 acre plots and also 2 acre plots
however majority plots 1 acre</text>
  </threadedComment>
  <threadedComment ref="B20" dT="2022-08-17T06:10:59.16" personId="{9941B7A2-037E-4E05-A06D-DE802FAC8CB9}" id="{3483F440-4367-43C9-9D1A-77A5FDAB0087}">
    <text>based on pre feasibility report dated 2021 - pwc</text>
  </threadedComment>
  <threadedComment ref="B24" dT="2022-09-15T12:17:51.88" personId="{9941B7A2-037E-4E05-A06D-DE802FAC8CB9}" id="{8D6567FD-422E-4100-A7E9-63263A8086BF}">
    <text>Jaliardip Economic Zone</text>
  </threadedComment>
  <threadedComment ref="Y29" dT="2023-06-11T09:20:23.59" personId="{1A3674AE-958B-466C-93C4-2778B9CE543F}" id="{06ADBE1E-C55D-45FA-AB1B-E3C1C9BB89CF}">
    <text>1259.83 acre of additional land proposed (currently under private ownership)</text>
  </threadedComment>
  <threadedComment ref="Y33" dT="2023-06-11T08:58:20.90" personId="{1A3674AE-958B-466C-93C4-2778B9CE543F}" id="{A540164D-C50E-4A15-94D6-A87C705CCB50}">
    <text>Site visit report: Potential of acquiring 20,000 acres</text>
  </threadedComment>
  <threadedComment ref="Y45" dT="2023-06-11T09:04:57.29" personId="{1A3674AE-958B-466C-93C4-2778B9CE543F}" id="{EC790809-DB13-400C-BD4B-2F24EE38704A}">
    <text>Additional 38 acre is proposed</text>
  </threadedComment>
  <threadedComment ref="Y53" dT="2023-06-11T09:15:24.19" personId="{1A3674AE-958B-466C-93C4-2778B9CE543F}" id="{E4F0B6D6-13B7-49FC-A7E8-38D1039E425B}">
    <text>Revisit this figure</text>
  </threadedComment>
</ThreadedComments>
</file>

<file path=xl/threadedComments/threadedComment9.xml><?xml version="1.0" encoding="utf-8"?>
<ThreadedComments xmlns="http://schemas.microsoft.com/office/spreadsheetml/2018/threadedcomments" xmlns:x="http://schemas.openxmlformats.org/spreadsheetml/2006/main">
  <threadedComment ref="C25" dT="2022-08-16T09:14:38.09" personId="{9941B7A2-037E-4E05-A06D-DE802FAC8CB9}" id="{9980302E-4B74-48D9-81E9-8E6C8413F5E4}">
    <text>Two reports on this, one pre-feasibility another feasibility. the pre-feasibility one has more detailed data</text>
  </threadedComment>
  <threadedComment ref="C32" dT="2022-08-17T06:10:59.16" personId="{9941B7A2-037E-4E05-A06D-DE802FAC8CB9}" id="{0D0535BE-EA8A-47F1-ACDF-2395FFF05DED}">
    <text>based on pre feasibility report dated 2021 - pwc</text>
  </threadedComment>
  <threadedComment ref="C34" dT="2022-08-17T06:10:31.74" personId="{9941B7A2-037E-4E05-A06D-DE802FAC8CB9}" id="{9FC77CEB-D701-4377-9CC6-25F47077A81B}">
    <text>Based on feasibility report dated 2014 - sheltech, jdi, maxwell</text>
  </threadedComment>
  <threadedComment ref="C37" dT="2022-09-15T11:50:19.11" personId="{9941B7A2-037E-4E05-A06D-DE802FAC8CB9}" id="{89317BFD-B342-490F-BEB0-103CC7C7627B}">
    <text>Feasibility report of Sonadia Eco Tourism Park Used here</text>
  </threadedComment>
  <threadedComment ref="C41" dT="2022-09-15T12:17:51.88" personId="{9941B7A2-037E-4E05-A06D-DE802FAC8CB9}" id="{F7C09198-000B-42D0-88BD-D01EAC405B79}">
    <text>Jaliardip Economic Zone</text>
  </threadedComment>
  <threadedComment ref="C60" dT="2022-09-15T11:52:45.53" personId="{9941B7A2-037E-4E05-A06D-DE802FAC8CB9}" id="{6B292317-964F-46A2-BE5D-3413CE454B94}">
    <text>Jajira Economic Zone File used</text>
  </threadedComment>
  <threadedComment ref="C70" dT="2022-09-15T12:07:09.31" personId="{9941B7A2-037E-4E05-A06D-DE802FAC8CB9}" id="{C525A6BA-36C9-4DFD-B621-A9E13D529E1F}">
    <text>From area and location Feasibility Report seems like that of Araihazar EZ -2. There is another araihazar ez</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s://ossbhtpa.gov.bd/park-info" TargetMode="External"/><Relationship Id="rId13" Type="http://schemas.openxmlformats.org/officeDocument/2006/relationships/hyperlink" Target="https://bhtpa.gov.bd/site/view/sitemap/At-a-glance" TargetMode="External"/><Relationship Id="rId18" Type="http://schemas.openxmlformats.org/officeDocument/2006/relationships/hyperlink" Target="https://gtcl.org.bd/site/download/088d0a9a-115f-42d3-a088-49b625b3aeff/SCADA-System-Map" TargetMode="External"/><Relationship Id="rId3" Type="http://schemas.openxmlformats.org/officeDocument/2006/relationships/hyperlink" Target="http://203.112.218.65:8008/WebTestApplication/userfiles/Image/EcoCen13/DistReport/Kushtia.pdf" TargetMode="External"/><Relationship Id="rId21" Type="http://schemas.openxmlformats.org/officeDocument/2006/relationships/comments" Target="../comments4.xml"/><Relationship Id="rId7" Type="http://schemas.openxmlformats.org/officeDocument/2006/relationships/hyperlink" Target="https://www.bepza.gov.bd/" TargetMode="External"/><Relationship Id="rId12" Type="http://schemas.openxmlformats.org/officeDocument/2006/relationships/hyperlink" Target="https://businessinspection.com.bd/hi-tech-parks-in-bd-present-scenario-and-future-prospects/" TargetMode="External"/><Relationship Id="rId17" Type="http://schemas.openxmlformats.org/officeDocument/2006/relationships/hyperlink" Target="https://gtcl.org.bd/site/download/f28f699d-8fed-472a-98fd-50916c1945c8/-" TargetMode="External"/><Relationship Id="rId2" Type="http://schemas.openxmlformats.org/officeDocument/2006/relationships/hyperlink" Target="https://www.adb.org/sites/default/files/publication/760781/bangladesh-climate-disaster-risk-atlas-volume2-pgs59-76.pdf" TargetMode="External"/><Relationship Id="rId16" Type="http://schemas.openxmlformats.org/officeDocument/2006/relationships/hyperlink" Target="https://www.adb.org/sites/default/files/publication/760781/bangladesh-climate-disaster-risk-atlas-volume2-pgs59-76.pdf" TargetMode="External"/><Relationship Id="rId20" Type="http://schemas.openxmlformats.org/officeDocument/2006/relationships/vmlDrawing" Target="../drawings/vmlDrawing5.vml"/><Relationship Id="rId1" Type="http://schemas.openxmlformats.org/officeDocument/2006/relationships/hyperlink" Target="https://www.adb.org/sites/default/files/publication/760781/bangladesh-climate-disaster-risk-atlas-volume2-pgs59-76.pdf" TargetMode="External"/><Relationship Id="rId6" Type="http://schemas.openxmlformats.org/officeDocument/2006/relationships/hyperlink" Target="https://www.adb.org/sites/default/files/publication/216366/sawp-049.pdf" TargetMode="External"/><Relationship Id="rId11" Type="http://schemas.openxmlformats.org/officeDocument/2006/relationships/hyperlink" Target="https://en.wikipedia.org/wiki/List_of_universities_in_Bangladesh" TargetMode="External"/><Relationship Id="rId5" Type="http://schemas.openxmlformats.org/officeDocument/2006/relationships/hyperlink" Target="https://oldweb.lged.gov.bd/UploadedDocument/UnitPublication/1/1166/8FYP.pdf" TargetMode="External"/><Relationship Id="rId15" Type="http://schemas.openxmlformats.org/officeDocument/2006/relationships/hyperlink" Target="https://www.adb.org/sites/default/files/publication/760781/bangladesh-climate-disaster-risk-atlas-volume2-pgs59-76.pdf" TargetMode="External"/><Relationship Id="rId10" Type="http://schemas.openxmlformats.org/officeDocument/2006/relationships/hyperlink" Target="http://facilityregistry.dghs.gov.bd/org_list.php?level=upa&amp;id=276" TargetMode="External"/><Relationship Id="rId19" Type="http://schemas.openxmlformats.org/officeDocument/2006/relationships/printerSettings" Target="../printerSettings/printerSettings9.bin"/><Relationship Id="rId4" Type="http://schemas.openxmlformats.org/officeDocument/2006/relationships/hyperlink" Target="https://beza.gov.bd/document-and-publication/" TargetMode="External"/><Relationship Id="rId9" Type="http://schemas.openxmlformats.org/officeDocument/2006/relationships/hyperlink" Target="https://ossbscic.gov.bd/bscic-industrial-city-list" TargetMode="External"/><Relationship Id="rId14" Type="http://schemas.openxmlformats.org/officeDocument/2006/relationships/hyperlink" Target="https://www.adb.org/sites/default/files/publication/760781/bangladesh-climate-disaster-risk-atlas-volume2-pgs59-76.pdf" TargetMode="External"/><Relationship Id="rId22" Type="http://schemas.microsoft.com/office/2017/10/relationships/threadedComment" Target="../threadedComments/threadedComment4.xml"/></Relationships>
</file>

<file path=xl/worksheets/_rels/sheet11.xml.rels><?xml version="1.0" encoding="UTF-8" standalone="yes"?>
<Relationships xmlns="http://schemas.openxmlformats.org/package/2006/relationships"><Relationship Id="rId8" Type="http://schemas.openxmlformats.org/officeDocument/2006/relationships/hyperlink" Target="http://facilityregistry.dghs.gov.bd/org_list.php?level=upa&amp;id=276" TargetMode="External"/><Relationship Id="rId13" Type="http://schemas.openxmlformats.org/officeDocument/2006/relationships/hyperlink" Target="https://ossbscic.gov.bd/bscic-industrial-city-list" TargetMode="External"/><Relationship Id="rId18" Type="http://schemas.openxmlformats.org/officeDocument/2006/relationships/hyperlink" Target="https://www.adb.org/sites/default/files/publication/760781/bangladesh-climate-disaster-risk-atlas-volume2-pgs59-76.pdf" TargetMode="External"/><Relationship Id="rId3" Type="http://schemas.openxmlformats.org/officeDocument/2006/relationships/hyperlink" Target="https://beza.gov.bd/document-and-publication/" TargetMode="External"/><Relationship Id="rId7" Type="http://schemas.openxmlformats.org/officeDocument/2006/relationships/hyperlink" Target="http://www.bbs.gov.bd/site/page/d13ee628-7458-4650-a824-6423d35d3620/Economic-Census-2013" TargetMode="External"/><Relationship Id="rId12" Type="http://schemas.openxmlformats.org/officeDocument/2006/relationships/hyperlink" Target="https://www.adb.org/sites/default/files/publication/760781/bangladesh-climate-disaster-risk-atlas-volume2-pgs59-76.pdf" TargetMode="External"/><Relationship Id="rId17" Type="http://schemas.openxmlformats.org/officeDocument/2006/relationships/hyperlink" Target="https://www.adb.org/sites/default/files/publication/760781/bangladesh-climate-disaster-risk-atlas-volume2-pgs59-76.pdf" TargetMode="External"/><Relationship Id="rId2" Type="http://schemas.openxmlformats.org/officeDocument/2006/relationships/hyperlink" Target="../../../../:b:/r/personal/fayeshik_deloitte_com/Documents/Projects/BEZA%20NMP/BEZA%20Scanned%20Docs/Repository/Updated%20EZ%20Area%20List%20-%20From%20Qader%20Sir.pdf%3fcsf=1&amp;web=1&amp;e=RcH23W" TargetMode="External"/><Relationship Id="rId16" Type="http://schemas.openxmlformats.org/officeDocument/2006/relationships/hyperlink" Target="https://www.adb.org/sites/default/files/publication/760781/bangladesh-climate-disaster-risk-atlas-volume2-pgs59-76.pdf" TargetMode="External"/><Relationship Id="rId20" Type="http://schemas.openxmlformats.org/officeDocument/2006/relationships/printerSettings" Target="../printerSettings/printerSettings10.bin"/><Relationship Id="rId1" Type="http://schemas.openxmlformats.org/officeDocument/2006/relationships/hyperlink" Target="../../../../:b:/r/personal/fayeshik_deloitte_com/Documents/Projects/BEZA%20NMP/BEZA%20Scanned%20Docs/Repository/Planning%20Wing%20EZ%20Priority%20List.pdf%3fcsf=1&amp;web=1&amp;e=OxPXhX" TargetMode="External"/><Relationship Id="rId6" Type="http://schemas.openxmlformats.org/officeDocument/2006/relationships/hyperlink" Target="https://oldweb.lged.gov.bd/UploadedDocument/UnitPublication/1/1166/8FYP.pdf" TargetMode="External"/><Relationship Id="rId11" Type="http://schemas.openxmlformats.org/officeDocument/2006/relationships/hyperlink" Target="https://beza.gov.bd/document-and-publication/" TargetMode="External"/><Relationship Id="rId5" Type="http://schemas.openxmlformats.org/officeDocument/2006/relationships/hyperlink" Target="https://www.adb.org/sites/default/files/publication/216366/sawp-049.pdf" TargetMode="External"/><Relationship Id="rId15" Type="http://schemas.openxmlformats.org/officeDocument/2006/relationships/hyperlink" Target="https://ossbhtpa.gov.bd/park-info" TargetMode="External"/><Relationship Id="rId10" Type="http://schemas.openxmlformats.org/officeDocument/2006/relationships/hyperlink" Target="http://www.ugc.gov.bd/" TargetMode="External"/><Relationship Id="rId19" Type="http://schemas.openxmlformats.org/officeDocument/2006/relationships/hyperlink" Target="https://www.adb.org/sites/default/files/publication/760781/bangladesh-climate-disaster-risk-atlas-volume2-pgs59-76.pdf" TargetMode="External"/><Relationship Id="rId4" Type="http://schemas.openxmlformats.org/officeDocument/2006/relationships/hyperlink" Target="../../../../:b:/r/personal/fayeshik_deloitte_com/Documents/Projects/BEZA%20NMP/BEZA%20Scanned%20Docs/Repository/Updated%20EZ%20Area%20List%20-%20From%20Qader%20Sir.pdf%3fcsf=1&amp;web=1&amp;e=RcH23W" TargetMode="External"/><Relationship Id="rId9" Type="http://schemas.openxmlformats.org/officeDocument/2006/relationships/hyperlink" Target="http://www.btebcbt.gov.bd/utility/instituteList?division=&amp;district=&amp;upazila=&amp;fromDate=&amp;sector=&amp;occ=&amp;level=&amp;toDate=" TargetMode="External"/><Relationship Id="rId14" Type="http://schemas.openxmlformats.org/officeDocument/2006/relationships/hyperlink" Target="https://www.bepza.gov.bd/"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6" Type="http://schemas.openxmlformats.org/officeDocument/2006/relationships/hyperlink" Target="../../../pbaksi/Repository/Site%20Visit%20Reports/Chandpur.pdf" TargetMode="External"/><Relationship Id="rId21" Type="http://schemas.openxmlformats.org/officeDocument/2006/relationships/hyperlink" Target="../../../../:b:/r/personal/fayeshik_deloitte_com/Documents/Projects/BEZA%20NMP/BEZA%20Scanned%20Docs/Repository/Feasibility%20Studies/Feasibility-Study-Sonadia-Eco-Tourism-Park.pdf%3fcsf=1&amp;web=1&amp;e=wag9jd" TargetMode="External"/><Relationship Id="rId42" Type="http://schemas.openxmlformats.org/officeDocument/2006/relationships/hyperlink" Target="https://www.beza.gov.bd/cumilla-economic-zone/" TargetMode="External"/><Relationship Id="rId47" Type="http://schemas.openxmlformats.org/officeDocument/2006/relationships/hyperlink" Target="https://www.beza.gov.bd/economic-zones-site/government-owned-sites/sabrang-tourism-sez/" TargetMode="External"/><Relationship Id="rId63" Type="http://schemas.openxmlformats.org/officeDocument/2006/relationships/hyperlink" Target="https://www.beza.gov.bd/wp-content/uploads/2015/11/Initial-Site-Assessment-for-5-sites-Final-Report.pdf" TargetMode="External"/><Relationship Id="rId68" Type="http://schemas.openxmlformats.org/officeDocument/2006/relationships/hyperlink" Target="https://www.beza.gov.bd/wp-content/uploads/2015/11/Final-Report-ISA-seven-sites_12th-Oct_v2.pdf" TargetMode="External"/><Relationship Id="rId84" Type="http://schemas.openxmlformats.org/officeDocument/2006/relationships/hyperlink" Target="../../../../:b:/r/personal/fayeshik_deloitte_com/Documents/Projects/BEZA%20NMP/BEZA%20Scanned%20Docs/Repository/Site%20Visit%20Reports/Shariatpur%20(Gosairhat).pdf%3fcsf=1&amp;web=1&amp;e=6mBOtW" TargetMode="External"/><Relationship Id="rId89" Type="http://schemas.openxmlformats.org/officeDocument/2006/relationships/vmlDrawing" Target="../drawings/vmlDrawing6.vml"/><Relationship Id="rId16" Type="http://schemas.openxmlformats.org/officeDocument/2006/relationships/hyperlink" Target="../../../../:b:/r/personal/fayeshik_deloitte_com/Documents/Projects/BEZA%20NMP/BEZA%20Scanned%20Docs/Repository/Feasibility%20Studies/Pre-Feasibility-Study-of-Jajira-Economic-Zone.pdf%3fcsf=1&amp;web=1&amp;e=5vxNhI" TargetMode="External"/><Relationship Id="rId11" Type="http://schemas.openxmlformats.org/officeDocument/2006/relationships/hyperlink" Target="../../../../:b:/r/personal/fayeshik_deloitte_com/Documents/Projects/BEZA%20NMP/BEZA%20Scanned%20Docs/Repository/Feasibility%20Studies/Pre-Feasibility-Study-of-Anowara-2-and-Sabrang-Tourism-Park.pdf%3fcsf=1&amp;web=1&amp;e=CGMk0u" TargetMode="External"/><Relationship Id="rId32" Type="http://schemas.openxmlformats.org/officeDocument/2006/relationships/hyperlink" Target="../../../../:b:/r/personal/fayeshik_deloitte_com/Documents/Projects/BEZA%20NMP/BEZA%20Scanned%20Docs/Repository/Feasibility%20Studies/Pre-Feasibility-Study-Report-of-Sitakundo.pdf%3fcsf=1&amp;web=1&amp;e=kcpEfw" TargetMode="External"/><Relationship Id="rId37" Type="http://schemas.openxmlformats.org/officeDocument/2006/relationships/hyperlink" Target="https://www.beza.gov.bd/abdul-monem-economic-zone/" TargetMode="External"/><Relationship Id="rId53" Type="http://schemas.openxmlformats.org/officeDocument/2006/relationships/hyperlink" Target="https://www.beza.gov.bd/kishoreganj-economic-zone-kez/" TargetMode="External"/><Relationship Id="rId58" Type="http://schemas.openxmlformats.org/officeDocument/2006/relationships/hyperlink" Target="https://www.beza.gov.bd/sonadia-tourism-park/" TargetMode="External"/><Relationship Id="rId74" Type="http://schemas.openxmlformats.org/officeDocument/2006/relationships/hyperlink" Target="../../../../:b:/r/personal/fayeshik_deloitte_com/Documents/Projects/BEZA%20NMP/BEZA%20Scanned%20Docs/Repository/Site%20Visit%20Reports/Barishal%20(Char%20Megha).pdf%3fcsf=1&amp;web=1&amp;e=zRzbpM" TargetMode="External"/><Relationship Id="rId79" Type="http://schemas.openxmlformats.org/officeDocument/2006/relationships/hyperlink" Target="../../../../:b:/r/personal/fayeshik_deloitte_com/Documents/Projects/BEZA%20NMP/BEZA%20Scanned%20Docs/Repository/Site%20Visit%20Reports/Mymensingh%20(Special).pdf%3fcsf=1&amp;web=1&amp;e=XfDtqZ" TargetMode="External"/><Relationship Id="rId5" Type="http://schemas.openxmlformats.org/officeDocument/2006/relationships/hyperlink" Target="../../../../:b:/r/personal/fayeshik_deloitte_com/Documents/Projects/BEZA%20NMP/BEZA%20Scanned%20Docs/Repository/Feasibility%20Studies/Feasibility-Study-of-Moheshkhali-EZ-Dhalghata.pdf%3fcsf=1&amp;web=1&amp;e=YejbwW" TargetMode="External"/><Relationship Id="rId90" Type="http://schemas.openxmlformats.org/officeDocument/2006/relationships/table" Target="../tables/table5.xml"/><Relationship Id="rId14" Type="http://schemas.openxmlformats.org/officeDocument/2006/relationships/hyperlink" Target="../../../../:b:/r/personal/fayeshik_deloitte_com/Documents/Projects/BEZA%20NMP/BEZA%20Scanned%20Docs/Repository/Feasibility%20Studies/Pre-Feasibility-Study-of-Feni-Economic-Zone.pdf%3fcsf=1&amp;web=1&amp;e=v4ASl4" TargetMode="External"/><Relationship Id="rId22" Type="http://schemas.openxmlformats.org/officeDocument/2006/relationships/hyperlink" Target="../../../../:b:/r/personal/fayeshik_deloitte_com/Documents/Projects/BEZA%20NMP/BEZA%20Scanned%20Docs/Repository/Feasibility%20Studies/Pre-feasibility-Study-Report-Natore.pdf%3fcsf=1&amp;web=1&amp;e=jb5mEE" TargetMode="External"/><Relationship Id="rId27" Type="http://schemas.openxmlformats.org/officeDocument/2006/relationships/hyperlink" Target="../../../../:b:/r/personal/fayeshik_deloitte_com/Documents/Projects/BEZA%20NMP/BEZA%20Scanned%20Docs/Repository/Feasibility%20Studies/Pre-Feasibility-Study-Report-of-Jamalpur.pdf%3fcsf=1&amp;web=1&amp;e=MJ3MvI" TargetMode="External"/><Relationship Id="rId30" Type="http://schemas.openxmlformats.org/officeDocument/2006/relationships/hyperlink" Target="../../../../:b:/r/personal/fayeshik_deloitte_com/Documents/Projects/BEZA%20NMP/BEZA%20Scanned%20Docs/Repository/Feasibility%20Studies/Pre-Feasibility-Study-Report-of-Nilfamari.pdf%3fcsf=1&amp;web=1&amp;e=zJwkxi" TargetMode="External"/><Relationship Id="rId35" Type="http://schemas.openxmlformats.org/officeDocument/2006/relationships/hyperlink" Target="https://www.beza.gov.bd/meghna-economic-zone-mez/" TargetMode="External"/><Relationship Id="rId43" Type="http://schemas.openxmlformats.org/officeDocument/2006/relationships/hyperlink" Target="https://www.beza.gov.bd/dhaka-economic-zone-keraniganj/" TargetMode="External"/><Relationship Id="rId48" Type="http://schemas.openxmlformats.org/officeDocument/2006/relationships/hyperlink" Target="https://www.beza.gov.bd/economic-zones-site/private-sector-owned-sites/ak-khan-and-company-ltd/" TargetMode="External"/><Relationship Id="rId56" Type="http://schemas.openxmlformats.org/officeDocument/2006/relationships/hyperlink" Target="https://www.beza.gov.bd/moheshkhali-economic-zone-dhalghata/" TargetMode="External"/><Relationship Id="rId64" Type="http://schemas.openxmlformats.org/officeDocument/2006/relationships/hyperlink" Target="https://www.beza.gov.bd/wp-content/uploads/2015/11/Initial-Site-Assessment-for-5-sites-Final-Report.pdf" TargetMode="External"/><Relationship Id="rId69" Type="http://schemas.openxmlformats.org/officeDocument/2006/relationships/hyperlink" Target="https://www.beza.gov.bd/wp-content/uploads/2015/11/Final-Report-ISA-seven-sites_12th-Oct_v2.pdf" TargetMode="External"/><Relationship Id="rId77" Type="http://schemas.openxmlformats.org/officeDocument/2006/relationships/hyperlink" Target="../../../../:b:/r/personal/fayeshik_deloitte_com/Documents/Projects/BEZA%20NMP/BEZA%20Scanned%20Docs/Repository/Site%20Visit%20Reports/Madaripur.pdf%3fcsf=1&amp;web=1&amp;e=yIsiFb" TargetMode="External"/><Relationship Id="rId8" Type="http://schemas.openxmlformats.org/officeDocument/2006/relationships/hyperlink" Target="../../../../:b:/r/personal/fayeshik_deloitte_com/Documents/Projects/BEZA%20NMP/BEZA%20Scanned%20Docs/Repository/Feasibility%20Studies/Feasibility-Study-Report-for-Jamalpur-Economic-Zone.pdf%3fcsf=1&amp;web=1&amp;e=KtdiDE" TargetMode="External"/><Relationship Id="rId51" Type="http://schemas.openxmlformats.org/officeDocument/2006/relationships/hyperlink" Target="https://www.beza.gov.bd/jamalpur-economic-zone/" TargetMode="External"/><Relationship Id="rId72" Type="http://schemas.openxmlformats.org/officeDocument/2006/relationships/hyperlink" Target="https://www.beza.gov.bd/wp-content/uploads/2015/11/Final-Report-ISA-seven-sites_12th-Oct_v2.pdf" TargetMode="External"/><Relationship Id="rId80" Type="http://schemas.openxmlformats.org/officeDocument/2006/relationships/hyperlink" Target="../../../../:b:/r/personal/fayeshik_deloitte_com/Documents/Projects/BEZA%20NMP/BEZA%20Scanned%20Docs/Repository/Site%20Visit%20Reports/Narayanganj%20EZ-Land%20Acquisition.pdf%3fcsf=1&amp;web=1&amp;e=5mOtp7" TargetMode="External"/><Relationship Id="rId85" Type="http://schemas.openxmlformats.org/officeDocument/2006/relationships/hyperlink" Target="../../../../:b:/r/personal/fayeshik_deloitte_com/Documents/Projects/BEZA%20NMP/BEZA%20Scanned%20Docs/Repository/Site%20Visit%20Reports/Tangail.pdf%3fcsf=1&amp;web=1&amp;e=T0T42b" TargetMode="External"/><Relationship Id="rId3" Type="http://schemas.openxmlformats.org/officeDocument/2006/relationships/hyperlink" Target="../../../../:b:/r/personal/fayeshik_deloitte_com/Documents/Projects/BEZA%20NMP/BEZA%20Scanned%20Docs/Repository/Feasibility%20Studies/Feasibility-Study-of-Bogura-Economic-Zone.pdf%3fcsf=1&amp;web=1&amp;e=BRHnAl" TargetMode="External"/><Relationship Id="rId12" Type="http://schemas.openxmlformats.org/officeDocument/2006/relationships/hyperlink" Target="../../../../:b:/r/personal/fayeshik_deloitte_com/Documents/Projects/BEZA%20NMP/BEZA%20Scanned%20Docs/Repository/Feasibility%20Studies/Pre-Feasibility-Study-of-Anowara-2-and-Sabrang-Tourism-Park.pdf%3fcsf=1&amp;web=1&amp;e=xwfTa0" TargetMode="External"/><Relationship Id="rId17" Type="http://schemas.openxmlformats.org/officeDocument/2006/relationships/hyperlink" Target="../../../../:b:/r/personal/fayeshik_deloitte_com/Documents/Projects/BEZA%20NMP/BEZA%20Scanned%20Docs/Repository/Feasibility%20Studies/Pre-Feasibility-Study-of-Jaliardip-Narayanganj-Economic-Zone.pdf%3fcsf=1&amp;web=1&amp;e=8cMv6W" TargetMode="External"/><Relationship Id="rId25" Type="http://schemas.openxmlformats.org/officeDocument/2006/relationships/hyperlink" Target="../../../../:b:/r/personal/fayeshik_deloitte_com/Documents/Projects/BEZA%20NMP/BEZA%20Scanned%20Docs/Repository/Feasibility%20Studies/Pre-Feasibility-Study-Report-of-Chandpur.pdf%3fcsf=1&amp;web=1&amp;e=wBu5AY" TargetMode="External"/><Relationship Id="rId33" Type="http://schemas.openxmlformats.org/officeDocument/2006/relationships/hyperlink" Target="../../../../:b:/r/personal/fayeshik_deloitte_com/Documents/Projects/BEZA%20NMP/BEZA%20Scanned%20Docs/Repository/Feasibility%20Studies/Pre-Feasibility-Study-Report-of-Sylhet.pdf%3fcsf=1&amp;web=1&amp;e=WXiYqf" TargetMode="External"/><Relationship Id="rId38" Type="http://schemas.openxmlformats.org/officeDocument/2006/relationships/hyperlink" Target="https://www.beza.gov.bd/aman-economic-zone/" TargetMode="External"/><Relationship Id="rId46" Type="http://schemas.openxmlformats.org/officeDocument/2006/relationships/hyperlink" Target="https://www.beza.gov.bd/economic-zones-site/government-owned-sites/naf-tourism-park-jaliardwip/" TargetMode="External"/><Relationship Id="rId59" Type="http://schemas.openxmlformats.org/officeDocument/2006/relationships/hyperlink" Target="https://www.beza.gov.bd/economic-zones-site/government-owned-sites/gohira-anowara-chittagong/" TargetMode="External"/><Relationship Id="rId67" Type="http://schemas.openxmlformats.org/officeDocument/2006/relationships/hyperlink" Target="https://www.beza.gov.bd/wp-content/uploads/2015/11/Final-Report-ISA-seven-sites_12th-Oct_v2.pdf" TargetMode="External"/><Relationship Id="rId20" Type="http://schemas.openxmlformats.org/officeDocument/2006/relationships/hyperlink" Target="../../../../:b:/r/personal/fayeshik_deloitte_com/Documents/Projects/BEZA%20NMP/BEZA%20Scanned%20Docs/Repository/Feasibility%20Studies/Pre-feasibility-Study-Report-Bogura.pdf%3fcsf=1&amp;web=1&amp;e=yySAhg" TargetMode="External"/><Relationship Id="rId41" Type="http://schemas.openxmlformats.org/officeDocument/2006/relationships/hyperlink" Target="https://www.beza.gov.bd/chinese-economic-industrial-zone/" TargetMode="External"/><Relationship Id="rId54" Type="http://schemas.openxmlformats.org/officeDocument/2006/relationships/hyperlink" Target="https://www.beza.gov.bd/meghna-industrial-ez/" TargetMode="External"/><Relationship Id="rId62" Type="http://schemas.openxmlformats.org/officeDocument/2006/relationships/hyperlink" Target="https://www.beza.gov.bd/wp-content/uploads/2015/11/Initial-Site-Assessment-for-5-sites-Final-Report.pdf" TargetMode="External"/><Relationship Id="rId70" Type="http://schemas.openxmlformats.org/officeDocument/2006/relationships/hyperlink" Target="https://www.beza.gov.bd/wp-content/uploads/2015/11/Final-Report-ISA-seven-sites_12th-Oct_v2.pdf" TargetMode="External"/><Relationship Id="rId75" Type="http://schemas.openxmlformats.org/officeDocument/2006/relationships/hyperlink" Target="../../../../:b:/r/personal/fayeshik_deloitte_com/Documents/Projects/BEZA%20NMP/BEZA%20Scanned%20Docs/Repository/Site%20Visit%20Reports/Dhaka%20(Dohar).pdf%3fcsf=1&amp;web=1&amp;e=R7AoEB" TargetMode="External"/><Relationship Id="rId83" Type="http://schemas.openxmlformats.org/officeDocument/2006/relationships/hyperlink" Target="../../../../:b:/r/personal/fayeshik_deloitte_com/Documents/Projects/BEZA%20NMP/BEZA%20Scanned%20Docs/Repository/Site%20Visit%20Reports/Noakhali.pdf%3fcsf=1&amp;web=1&amp;e=M92p2L" TargetMode="External"/><Relationship Id="rId88" Type="http://schemas.openxmlformats.org/officeDocument/2006/relationships/printerSettings" Target="../printerSettings/printerSettings12.bin"/><Relationship Id="rId91" Type="http://schemas.openxmlformats.org/officeDocument/2006/relationships/comments" Target="../comments5.xml"/><Relationship Id="rId1" Type="http://schemas.openxmlformats.org/officeDocument/2006/relationships/hyperlink" Target="../../../../:b:/r/personal/fayeshik_deloitte_com/Documents/Projects/BEZA%20NMP/BEZA%20Scanned%20Docs/Repository/Feasibility%20Studies/Feasibility-Report-of-Mongla-EZ.pdf%3fcsf=1&amp;web=1&amp;e=XjDucU" TargetMode="External"/><Relationship Id="rId6" Type="http://schemas.openxmlformats.org/officeDocument/2006/relationships/hyperlink" Target="../../../../:b:/r/personal/fayeshik_deloitte_com/Documents/Projects/BEZA%20NMP/BEZA%20Scanned%20Docs/Repository/Feasibility%20Studies/Feasibility-Study-of-Netrokona-EZ.pdf%3fcsf=1&amp;web=1&amp;e=hIch7g" TargetMode="External"/><Relationship Id="rId15" Type="http://schemas.openxmlformats.org/officeDocument/2006/relationships/hyperlink" Target="../../../../:b:/r/personal/fayeshik_deloitte_com/Documents/Projects/BEZA%20NMP/BEZA%20Scanned%20Docs/Repository/Feasibility%20Studies/Pre-Feasibility-Study-of-Gopalgonj-EZ.pdf%3fcsf=1&amp;web=1&amp;e=FXfLpD" TargetMode="External"/><Relationship Id="rId23" Type="http://schemas.openxmlformats.org/officeDocument/2006/relationships/hyperlink" Target="../../../../:b:/r/personal/fayeshik_deloitte_com/Documents/Projects/BEZA%20NMP/BEZA%20Scanned%20Docs/Repository/Feasibility%20Studies/Pre-Feasibility-Study-Report-of-Araihazar.pdf%3fcsf=1&amp;web=1&amp;e=sAVTxF" TargetMode="External"/><Relationship Id="rId28" Type="http://schemas.openxmlformats.org/officeDocument/2006/relationships/hyperlink" Target="../../../../:b:/r/personal/fayeshik_deloitte_com/Documents/Projects/BEZA%20NMP/BEZA%20Scanned%20Docs/Repository/Feasibility%20Studies/Pre-Feasibility-Study-Report-of-Manikgonj.pdf%3fcsf=1&amp;web=1&amp;e=RaWh3d" TargetMode="External"/><Relationship Id="rId36" Type="http://schemas.openxmlformats.org/officeDocument/2006/relationships/hyperlink" Target="https://www.beza.gov.bd/private-ez/adjacent-to-bangabandhu-bridge-sirajganj/" TargetMode="External"/><Relationship Id="rId49" Type="http://schemas.openxmlformats.org/officeDocument/2006/relationships/hyperlink" Target="https://www.beza.gov.bd/indian-economic-zone-kushtia/" TargetMode="External"/><Relationship Id="rId57" Type="http://schemas.openxmlformats.org/officeDocument/2006/relationships/hyperlink" Target="https://www.beza.gov.bd/mongla-special-economic-zone-indian-economic-zone/" TargetMode="External"/><Relationship Id="rId10" Type="http://schemas.openxmlformats.org/officeDocument/2006/relationships/hyperlink" Target="../../../../:b:/r/personal/fayeshik_deloitte_com/Documents/Projects/BEZA%20NMP/BEZA%20Scanned%20Docs/Repository/Feasibility%20Studies/Feasibility-Study-Sonadia-Eco-Tourism-Park.pdf%3fcsf=1&amp;web=1&amp;e=I3ASPo" TargetMode="External"/><Relationship Id="rId31" Type="http://schemas.openxmlformats.org/officeDocument/2006/relationships/hyperlink" Target="../../../../:b:/r/personal/fayeshik_deloitte_com/Documents/Projects/BEZA%20NMP/BEZA%20Scanned%20Docs/Repository/Feasibility%20Studies/Pre-Feasibility-Study-Report-of-Panchagarh.pdf%3fcsf=1&amp;web=1&amp;e=mVzDSt" TargetMode="External"/><Relationship Id="rId44" Type="http://schemas.openxmlformats.org/officeDocument/2006/relationships/hyperlink" Target="https://www.beza.gov.bd/east-west-special-economic-zone-sez/" TargetMode="External"/><Relationship Id="rId52" Type="http://schemas.openxmlformats.org/officeDocument/2006/relationships/hyperlink" Target="https://www.beza.gov.bd/karnaphuli-dry-dock-special-ez/" TargetMode="External"/><Relationship Id="rId60" Type="http://schemas.openxmlformats.org/officeDocument/2006/relationships/hyperlink" Target="https://www.beza.gov.bd/all-zones/" TargetMode="External"/><Relationship Id="rId65" Type="http://schemas.openxmlformats.org/officeDocument/2006/relationships/hyperlink" Target="https://www.beza.gov.bd/wp-content/uploads/2015/11/Initial-Site-Assessment-for-5-sites-Final-Report.pdf" TargetMode="External"/><Relationship Id="rId73" Type="http://schemas.openxmlformats.org/officeDocument/2006/relationships/hyperlink" Target="https://www.beza.gov.bd/wp-content/uploads/2015/11/Final-Report-ISA-seven-sites_12th-Oct_v2.pdf" TargetMode="External"/><Relationship Id="rId78" Type="http://schemas.openxmlformats.org/officeDocument/2006/relationships/hyperlink" Target="../../../../:b:/r/personal/fayeshik_deloitte_com/Documents/Projects/BEZA%20NMP/BEZA%20Scanned%20Docs/Repository/Site%20Visit%20Reports/BSMSN.pdf%3fcsf=1&amp;web=1&amp;e=XOHypo" TargetMode="External"/><Relationship Id="rId81" Type="http://schemas.openxmlformats.org/officeDocument/2006/relationships/hyperlink" Target="../../../../:b:/r/personal/fayeshik_deloitte_com/Documents/Projects/BEZA%20NMP/BEZA%20Scanned%20Docs/Repository/Site%20Visit%20Reports/Narayanganj%20(Bandar%20&amp;%20Sonargaon).pdf%3fcsf=1&amp;web=1&amp;e=datDxr" TargetMode="External"/><Relationship Id="rId86" Type="http://schemas.openxmlformats.org/officeDocument/2006/relationships/hyperlink" Target="../../../../:b:/r/personal/fayeshik_deloitte_com/Documents/Projects/BEZA%20NMP/BEZA%20Scanned%20Docs/Repository/Site%20Visit%20Reports/Kushtia.pdf%3fcsf=1&amp;web=1&amp;e=Fg9zRa" TargetMode="External"/><Relationship Id="rId4" Type="http://schemas.openxmlformats.org/officeDocument/2006/relationships/hyperlink" Target="../../../../:b:/r/personal/fayeshik_deloitte_com/Documents/Projects/BEZA%20NMP/BEZA%20Scanned%20Docs/Repository/Feasibility%20Studies/Feasibility-Study-of-Mirershorai-Economic-Zone.pdf%3fcsf=1&amp;web=1&amp;e=5qqzpO" TargetMode="External"/><Relationship Id="rId9" Type="http://schemas.openxmlformats.org/officeDocument/2006/relationships/hyperlink" Target="../../../../:b:/r/personal/fayeshik_deloitte_com/Documents/Projects/BEZA%20NMP/BEZA%20Scanned%20Docs/Repository/Feasibility%20Studies/Feasibility-Study-Report-Mirershorai.pdf%3fcsf=1&amp;web=1&amp;e=h3Pes4" TargetMode="External"/><Relationship Id="rId13" Type="http://schemas.openxmlformats.org/officeDocument/2006/relationships/hyperlink" Target="../../../../:b:/r/personal/fayeshik_deloitte_com/Documents/Projects/BEZA%20NMP/BEZA%20Scanned%20Docs/Repository/Feasibility%20Studies/Prefeasibility-Study-of-Dhaka-SEZ.pdf%3fcsf=1&amp;web=1&amp;e=nAdlaq" TargetMode="External"/><Relationship Id="rId18" Type="http://schemas.openxmlformats.org/officeDocument/2006/relationships/hyperlink" Target="../../../../:b:/r/personal/fayeshik_deloitte_com/Documents/Projects/BEZA%20NMP/BEZA%20Scanned%20Docs/Repository/Feasibility%20Studies/Pre-Feasibility-Study-of-Mirersarai-2.pdf%3fcsf=1&amp;web=1&amp;e=hQ249E" TargetMode="External"/><Relationship Id="rId39" Type="http://schemas.openxmlformats.org/officeDocument/2006/relationships/hyperlink" Target="https://www.beza.gov.bd/araihazar-economic-zone-japanese-economic-zone/" TargetMode="External"/><Relationship Id="rId34" Type="http://schemas.openxmlformats.org/officeDocument/2006/relationships/hyperlink" Target="../../../../:b:/r/personal/fayeshik_deloitte_com/Documents/Projects/BEZA%20NMP/BEZA%20Scanned%20Docs/Repository/Feasibility%20Studies/Pre-Feasibility-Study-Report-of-Tangail.pdf%3fcsf=1&amp;web=1&amp;e=4d3qkb" TargetMode="External"/><Relationship Id="rId50" Type="http://schemas.openxmlformats.org/officeDocument/2006/relationships/hyperlink" Target="https://www.beza.gov.bd/indian-economic-zone-mongla/" TargetMode="External"/><Relationship Id="rId55" Type="http://schemas.openxmlformats.org/officeDocument/2006/relationships/hyperlink" Target="https://www.beza.gov.bd/mirsarai-economic-zone-phase-i/" TargetMode="External"/><Relationship Id="rId76" Type="http://schemas.openxmlformats.org/officeDocument/2006/relationships/hyperlink" Target="../../../../:b:/r/personal/fayeshik_deloitte_com/Documents/Projects/BEZA%20NMP/BEZA%20Scanned%20Docs/Repository/Site%20Visit%20Reports/Khulna.pdf%3fcsf=1&amp;web=1&amp;e=7ikafY" TargetMode="External"/><Relationship Id="rId7" Type="http://schemas.openxmlformats.org/officeDocument/2006/relationships/hyperlink" Target="../../../../:b:/r/personal/fayeshik_deloitte_com/Documents/Projects/BEZA%20NMP/BEZA%20Scanned%20Docs/Repository/Feasibility%20Studies/Feasibility-Study-of-Sabrang-Tourism-Park.pdf%3fcsf=1&amp;web=1&amp;e=PsBHT6" TargetMode="External"/><Relationship Id="rId71" Type="http://schemas.openxmlformats.org/officeDocument/2006/relationships/hyperlink" Target="https://www.beza.gov.bd/wp-content/uploads/2015/11/Final-Report-ISA-seven-sites_12th-Oct_v2.pdf" TargetMode="External"/><Relationship Id="rId92" Type="http://schemas.microsoft.com/office/2017/10/relationships/threadedComment" Target="../threadedComments/threadedComment5.xml"/><Relationship Id="rId2" Type="http://schemas.openxmlformats.org/officeDocument/2006/relationships/hyperlink" Target="../../../../:b:/r/personal/fayeshik_deloitte_com/Documents/Projects/BEZA%20NMP/BEZA%20Scanned%20Docs/Repository/Feasibility%20Studies/Feasibility-Study-of-Anwara-Economic-Zone.pdf%3fcsf=1&amp;web=1&amp;e=OGrmeK" TargetMode="External"/><Relationship Id="rId29" Type="http://schemas.openxmlformats.org/officeDocument/2006/relationships/hyperlink" Target="../../../../:b:/r/personal/fayeshik_deloitte_com/Documents/Projects/BEZA%20NMP/BEZA%20Scanned%20Docs/Repository/Feasibility%20Studies/Pre-Feasibility-Study-Report-of-Nawabganj.pdf%3fcsf=1&amp;web=1&amp;e=6BMUwM" TargetMode="External"/><Relationship Id="rId24" Type="http://schemas.openxmlformats.org/officeDocument/2006/relationships/hyperlink" Target="../../../../:b:/r/personal/fayeshik_deloitte_com/Documents/Projects/BEZA%20NMP/BEZA%20Scanned%20Docs/Repository/Feasibility%20Studies/Pre-Feasibility-Study-Report-of-Bhola.pdf%3fcsf=1&amp;web=1&amp;e=zMaJMa" TargetMode="External"/><Relationship Id="rId40" Type="http://schemas.openxmlformats.org/officeDocument/2006/relationships/hyperlink" Target="https://www.beza.gov.bd/bay-economic-zone/" TargetMode="External"/><Relationship Id="rId45" Type="http://schemas.openxmlformats.org/officeDocument/2006/relationships/hyperlink" Target="https://www.beza.gov.bd/economic-zones-site/government-owned-sites/maulovibazar-sylhet/" TargetMode="External"/><Relationship Id="rId66" Type="http://schemas.openxmlformats.org/officeDocument/2006/relationships/hyperlink" Target="https://www.beza.gov.bd/wp-content/uploads/2015/11/Initial-Site-Assessment-for-5-sites-Final-Report.pdf" TargetMode="External"/><Relationship Id="rId87" Type="http://schemas.openxmlformats.org/officeDocument/2006/relationships/hyperlink" Target="../../../../:b:/r/personal/fayeshik_deloitte_com/Documents/Projects/BEZA%20NMP/BEZA%20Scanned%20Docs/Repository/Feasibility%20Studies/Feasibility-Study-BarishalAgailjhara-EZ.pdf%3fcsf=1&amp;web=1&amp;e=4Qo9gW" TargetMode="External"/><Relationship Id="rId61" Type="http://schemas.openxmlformats.org/officeDocument/2006/relationships/hyperlink" Target="https://www.beza.gov.bd/economic-zones-site/" TargetMode="External"/><Relationship Id="rId82" Type="http://schemas.openxmlformats.org/officeDocument/2006/relationships/hyperlink" Target="../../../../:b:/r/personal/fayeshik_deloitte_com/Documents/Projects/BEZA%20NMP/BEZA%20Scanned%20Docs/Repository/Site%20Visit%20Reports/Nawabganj.pdf%3fcsf=1&amp;web=1&amp;e=Sk1cmT" TargetMode="External"/><Relationship Id="rId19" Type="http://schemas.openxmlformats.org/officeDocument/2006/relationships/hyperlink" Target="../../../../:b:/r/personal/fayeshik_deloitte_com/Documents/Projects/BEZA%20NMP/BEZA%20Scanned%20Docs/Repository/Feasibility%20Studies/Prefeasibility-Study-of-Moheshkhali-EZ.pdf%3fcsf=1&amp;web=1&amp;e=qtBod6" TargetMode="External"/></Relationships>
</file>

<file path=xl/worksheets/_rels/sheet1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13.bin"/><Relationship Id="rId4" Type="http://schemas.microsoft.com/office/2017/10/relationships/threadedComment" Target="../threadedComments/threadedComment6.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4.bin"/><Relationship Id="rId5" Type="http://schemas.microsoft.com/office/2019/04/relationships/documenttask" Target="../documenttasks/documenttask2.xml"/><Relationship Id="rId4" Type="http://schemas.microsoft.com/office/2017/10/relationships/threadedComment" Target="../threadedComments/threadedComment7.xml"/></Relationships>
</file>

<file path=xl/worksheets/_rels/sheet16.xml.rels><?xml version="1.0" encoding="UTF-8" standalone="yes"?>
<Relationships xmlns="http://schemas.openxmlformats.org/package/2006/relationships"><Relationship Id="rId8" Type="http://schemas.openxmlformats.org/officeDocument/2006/relationships/hyperlink" Target="http://www.bbs.gov.bd/site/page/d13ee628-7458-4650-a824-6423d35d3620/Economic-Census-2013" TargetMode="External"/><Relationship Id="rId13" Type="http://schemas.openxmlformats.org/officeDocument/2006/relationships/hyperlink" Target="https://reliefweb.int/attachments/6513a3a2-c38e-3bee-9ef6-fe88c5c8e5fc/bangladesh-climate-disaster-risk-atlas-volume2-pgs28-45.pdf" TargetMode="External"/><Relationship Id="rId18" Type="http://schemas.openxmlformats.org/officeDocument/2006/relationships/printerSettings" Target="../printerSettings/printerSettings15.bin"/><Relationship Id="rId3" Type="http://schemas.openxmlformats.org/officeDocument/2006/relationships/hyperlink" Target="https://beza.gov.bd/document-and-publication/" TargetMode="External"/><Relationship Id="rId7" Type="http://schemas.openxmlformats.org/officeDocument/2006/relationships/hyperlink" Target="https://bida.gov.bd/incentives" TargetMode="External"/><Relationship Id="rId12" Type="http://schemas.openxmlformats.org/officeDocument/2006/relationships/hyperlink" Target="https://beza.gov.bd/document-and-publication/" TargetMode="External"/><Relationship Id="rId17" Type="http://schemas.openxmlformats.org/officeDocument/2006/relationships/hyperlink" Target="https://ossbhtpa.gov.bd/park-info" TargetMode="External"/><Relationship Id="rId2" Type="http://schemas.openxmlformats.org/officeDocument/2006/relationships/hyperlink" Target="../../../../:b:/r/personal/fayeshik_deloitte_com/Documents/Projects/BEZA%20NMP/BEZA%20Scanned%20Docs/Repository/Updated%20EZ%20Area%20List%20-%20From%20Qader%20Sir.pdf%3fcsf=1&amp;web=1&amp;e=RcH23W" TargetMode="External"/><Relationship Id="rId16" Type="http://schemas.openxmlformats.org/officeDocument/2006/relationships/hyperlink" Target="https://www.bepza.gov.bd/" TargetMode="External"/><Relationship Id="rId1" Type="http://schemas.openxmlformats.org/officeDocument/2006/relationships/hyperlink" Target="../../../../:b:/r/personal/fayeshik_deloitte_com/Documents/Projects/BEZA%20NMP/BEZA%20Scanned%20Docs/Repository/Planning%20Wing%20EZ%20Priority%20List.pdf%3fcsf=1&amp;web=1&amp;e=OxPXhX" TargetMode="External"/><Relationship Id="rId6" Type="http://schemas.openxmlformats.org/officeDocument/2006/relationships/hyperlink" Target="https://oldweb.lged.gov.bd/UploadedDocument/UnitPublication/1/1166/8FYP.pdf" TargetMode="External"/><Relationship Id="rId11" Type="http://schemas.openxmlformats.org/officeDocument/2006/relationships/hyperlink" Target="http://www.ugc.gov.bd/" TargetMode="External"/><Relationship Id="rId5" Type="http://schemas.openxmlformats.org/officeDocument/2006/relationships/hyperlink" Target="https://www.adb.org/sites/default/files/publication/216366/sawp-049.pdf" TargetMode="External"/><Relationship Id="rId15" Type="http://schemas.openxmlformats.org/officeDocument/2006/relationships/hyperlink" Target="https://ossbscic.gov.bd/bscic-industrial-city-list" TargetMode="External"/><Relationship Id="rId10" Type="http://schemas.openxmlformats.org/officeDocument/2006/relationships/hyperlink" Target="http://www.btebcbt.gov.bd/utility/instituteList?division=&amp;district=&amp;upazila=&amp;fromDate=&amp;sector=&amp;occ=&amp;level=&amp;toDate=" TargetMode="External"/><Relationship Id="rId19" Type="http://schemas.openxmlformats.org/officeDocument/2006/relationships/table" Target="../tables/table6.xml"/><Relationship Id="rId4" Type="http://schemas.openxmlformats.org/officeDocument/2006/relationships/hyperlink" Target="../../../../:b:/r/personal/fayeshik_deloitte_com/Documents/Projects/BEZA%20NMP/BEZA%20Scanned%20Docs/Repository/Updated%20EZ%20Area%20List%20-%20From%20Qader%20Sir.pdf%3fcsf=1&amp;web=1&amp;e=RcH23W" TargetMode="External"/><Relationship Id="rId9" Type="http://schemas.openxmlformats.org/officeDocument/2006/relationships/hyperlink" Target="http://facilityregistry.dghs.gov.bd/org_list.php?level=upa&amp;id=276" TargetMode="External"/><Relationship Id="rId14" Type="http://schemas.openxmlformats.org/officeDocument/2006/relationships/hyperlink" Target="https://reliefweb.int/attachments/6513a3a2-c38e-3bee-9ef6-fe88c5c8e5fc/bangladesh-climate-disaster-risk-atlas-volume2-pgs28-45.pdf" TargetMode="External"/></Relationships>
</file>

<file path=xl/worksheets/_rels/sheet17.xml.rels><?xml version="1.0" encoding="UTF-8" standalone="yes"?>
<Relationships xmlns="http://schemas.openxmlformats.org/package/2006/relationships"><Relationship Id="rId13" Type="http://schemas.openxmlformats.org/officeDocument/2006/relationships/hyperlink" Target="../../../../:b:/r/personal/fayeshik_deloitte_com/Documents/Projects/BEZA%20NMP/BEZA%20Scanned%20Docs/Repository/Feasibility%20Studies/Pre-Feasibility-Study-of-Anowara-2-and-Sabrang-Tourism-Park.pdf%3fcsf=1&amp;web=1&amp;e=viPgX1" TargetMode="External"/><Relationship Id="rId18" Type="http://schemas.openxmlformats.org/officeDocument/2006/relationships/hyperlink" Target="../../../../:b:/r/personal/fayeshik_deloitte_com/Documents/Projects/BEZA%20NMP/BEZA%20Scanned%20Docs/Repository/Feasibility%20Studies/Pre-Feasibility-Study-of-Jaliardip-Narayanganj-Economic-Zone.pdf%3fcsf=1&amp;web=1&amp;e=RUmZtW" TargetMode="External"/><Relationship Id="rId26" Type="http://schemas.openxmlformats.org/officeDocument/2006/relationships/hyperlink" Target="../../../../:b:/r/personal/fayeshik_deloitte_com/Documents/Projects/BEZA%20NMP/BEZA%20Scanned%20Docs/Repository/Feasibility%20Studies/Pre-Feasibility-Study-Report-of-Bhola.pdf%3fcsf=1&amp;web=1&amp;e=gUZhoe" TargetMode="External"/><Relationship Id="rId39" Type="http://schemas.openxmlformats.org/officeDocument/2006/relationships/hyperlink" Target="../../../../:b:/r/personal/fayeshik_deloitte_com/Documents/Projects/BEZA%20NMP/BEZA%20Scanned%20Docs/Repository/Feasibility%20Studies/Pre-Feasibility-Study-Report-of-Sylhet.pdf%3fcsf=1&amp;web=1&amp;e=sKlXc4" TargetMode="External"/><Relationship Id="rId21" Type="http://schemas.openxmlformats.org/officeDocument/2006/relationships/hyperlink" Target="../../../../:b:/r/personal/fayeshik_deloitte_com/Documents/Projects/BEZA%20NMP/BEZA%20Scanned%20Docs/Repository/Feasibility%20Studies/Pre-feasibility-Study-Report-Bogura.pdf%3fcsf=1&amp;web=1&amp;e=3YCt3B" TargetMode="External"/><Relationship Id="rId34" Type="http://schemas.openxmlformats.org/officeDocument/2006/relationships/hyperlink" Target="../../../../:b:/r/personal/fayeshik_deloitte_com/Documents/Projects/BEZA%20NMP/BEZA%20Scanned%20Docs/Repository/Feasibility%20Studies/Pre-Feasibility-Study-Report-of-Nawabganj.pdf%3fcsf=1&amp;web=1&amp;e=7Epq7h" TargetMode="External"/><Relationship Id="rId42" Type="http://schemas.openxmlformats.org/officeDocument/2006/relationships/hyperlink" Target="../../../../:b:/r/personal/fayeshik_deloitte_com/Documents/Projects/BEZA%20NMP/BEZA%20Scanned%20Docs/Repository/Site%20Visit%20Reports/Narayanganj%20(Bandar%20&amp;%20Sonargaon).pdf%3fcsf=1&amp;web=1&amp;e=ga4VH7" TargetMode="External"/><Relationship Id="rId47" Type="http://schemas.openxmlformats.org/officeDocument/2006/relationships/hyperlink" Target="../../../../:b:/r/personal/fayeshik_deloitte_com/Documents/Projects/BEZA%20NMP/BEZA%20Scanned%20Docs/Repository/Site%20Visit%20Reports/Shariatpur%20(Gosairhat).pdf%3fcsf=1&amp;web=1&amp;e=HXkYqP" TargetMode="External"/><Relationship Id="rId50" Type="http://schemas.openxmlformats.org/officeDocument/2006/relationships/hyperlink" Target="../../../../:b:/r/personal/fayeshik_deloitte_com/Documents/Projects/BEZA%20NMP/BEZA%20Scanned%20Docs/Repository/Feasibility%20Studies/Pre-Feasibility-Study-of-Mirersarai-2.pdf%3fcsf=1&amp;web=1&amp;e=J0O7n8" TargetMode="External"/><Relationship Id="rId55" Type="http://schemas.microsoft.com/office/2017/10/relationships/threadedComment" Target="../threadedComments/threadedComment8.xml"/><Relationship Id="rId7" Type="http://schemas.openxmlformats.org/officeDocument/2006/relationships/hyperlink" Target="../../../../:b:/r/personal/fayeshik_deloitte_com/Documents/Projects/BEZA%20NMP/BEZA%20Scanned%20Docs/Repository/Feasibility%20Studies/Feasibility-Study-of-Netrokona-EZ.pdf%3fcsf=1&amp;web=1&amp;e=DP0bYG" TargetMode="External"/><Relationship Id="rId2" Type="http://schemas.openxmlformats.org/officeDocument/2006/relationships/hyperlink" Target="../../../../:b:/r/personal/fayeshik_deloitte_com/Documents/Projects/BEZA%20NMP/BEZA%20Scanned%20Docs/Repository/Feasibility%20Studies/Feasibility-Study-BarishalAgailjhara-EZ.pdf%3fcsf=1&amp;web=1&amp;e=zUeUgH" TargetMode="External"/><Relationship Id="rId16" Type="http://schemas.openxmlformats.org/officeDocument/2006/relationships/hyperlink" Target="../../../../:b:/r/personal/fayeshik_deloitte_com/Documents/Projects/BEZA%20NMP/BEZA%20Scanned%20Docs/Repository/Feasibility%20Studies/Pre-Feasibility-Study-of-Gopalgonj-EZ.pdf%3fcsf=1&amp;web=1&amp;e=MgoCH7" TargetMode="External"/><Relationship Id="rId29" Type="http://schemas.openxmlformats.org/officeDocument/2006/relationships/hyperlink" Target="../../../pbaksi/BEZA%20Scanned%20Docs/Repository/Site%20Visit%20Reports/Barishal%20(Char%20Megha).pdf" TargetMode="External"/><Relationship Id="rId11" Type="http://schemas.openxmlformats.org/officeDocument/2006/relationships/hyperlink" Target="../../../../:b:/r/personal/fayeshik_deloitte_com/Documents/Projects/BEZA%20NMP/BEZA%20Scanned%20Docs/Repository/Feasibility%20Studies/Feasibility-Study-Sonadia-Eco-Tourism-Park.pdf%3fcsf=1&amp;web=1&amp;e=bptR9S" TargetMode="External"/><Relationship Id="rId24" Type="http://schemas.openxmlformats.org/officeDocument/2006/relationships/hyperlink" Target="../../../../:b:/r/personal/fayeshik_deloitte_com/Documents/Projects/BEZA%20NMP/BEZA%20Scanned%20Docs/Repository/Feasibility%20Studies/Pre-feasibility-Study-Report-Natore.pdf%3fcsf=1&amp;web=1&amp;e=XLXEGv" TargetMode="External"/><Relationship Id="rId32" Type="http://schemas.openxmlformats.org/officeDocument/2006/relationships/hyperlink" Target="../../../pbaksi/BEZA%20Scanned%20Docs/Repository/Site%20Visit%20Reports/Khulna.pdf" TargetMode="External"/><Relationship Id="rId37" Type="http://schemas.openxmlformats.org/officeDocument/2006/relationships/hyperlink" Target="../../../../:b:/r/personal/fayeshik_deloitte_com/Documents/Projects/BEZA%20NMP/BEZA%20Scanned%20Docs/Repository/Feasibility%20Studies/Pre-Feasibility-Study-Report-of-Panchagarh.pdf%3fcsf=1&amp;web=1&amp;e=9Jd8KD" TargetMode="External"/><Relationship Id="rId40" Type="http://schemas.openxmlformats.org/officeDocument/2006/relationships/hyperlink" Target="../../../../:b:/r/personal/fayeshik_deloitte_com/Documents/Projects/BEZA%20NMP/BEZA%20Scanned%20Docs/Repository/Feasibility%20Studies/Pre-Feasibility-Study-Report-of-Tangail.pdf%3fcsf=1&amp;web=1&amp;e=duz1gP" TargetMode="External"/><Relationship Id="rId45" Type="http://schemas.openxmlformats.org/officeDocument/2006/relationships/hyperlink" Target="../../../pbaksi/BEZA%20Scanned%20Docs/Repository/Site%20Visit%20Reports/Mymensingh%20(Special).pdf" TargetMode="External"/><Relationship Id="rId53" Type="http://schemas.openxmlformats.org/officeDocument/2006/relationships/table" Target="../tables/table7.xml"/><Relationship Id="rId5" Type="http://schemas.openxmlformats.org/officeDocument/2006/relationships/hyperlink" Target="../../../../:b:/r/personal/fayeshik_deloitte_com/Documents/Projects/BEZA%20NMP/BEZA%20Scanned%20Docs/Repository/Feasibility%20Studies/Feasibility-Study-of-Mirershorai-Economic-Zone.pdf%3fcsf=1&amp;web=1&amp;e=x1KxEs" TargetMode="External"/><Relationship Id="rId10" Type="http://schemas.openxmlformats.org/officeDocument/2006/relationships/hyperlink" Target="../../../../:b:/r/personal/fayeshik_deloitte_com/Documents/Projects/BEZA%20NMP/BEZA%20Scanned%20Docs/Repository/Feasibility%20Studies/Feasibility-Study-Report-Mirershorai.pdf%3fcsf=1&amp;web=1&amp;e=R2P7I7" TargetMode="External"/><Relationship Id="rId19" Type="http://schemas.openxmlformats.org/officeDocument/2006/relationships/hyperlink" Target="../../../../:b:/r/personal/fayeshik_deloitte_com/Documents/Projects/BEZA%20NMP/BEZA%20Scanned%20Docs/Repository/Feasibility%20Studies/Pre-Feasibility-Study-of-Mirersarai-2.pdf%3fcsf=1&amp;web=1&amp;e=J0O7n8" TargetMode="External"/><Relationship Id="rId31" Type="http://schemas.openxmlformats.org/officeDocument/2006/relationships/hyperlink" Target="../../../../:b:/r/personal/fayeshik_deloitte_com/Documents/Projects/BEZA%20NMP/BEZA%20Scanned%20Docs/Repository/Feasibility%20Studies/Pre-Feasibility-Study-Report-of-Jamalpur.pdf%3fcsf=1&amp;web=1&amp;e=xCyvRF" TargetMode="External"/><Relationship Id="rId44" Type="http://schemas.openxmlformats.org/officeDocument/2006/relationships/hyperlink" Target="../../../../:b:/r/personal/fayeshik_deloitte_com/Documents/Projects/BEZA%20NMP/BEZA%20Scanned%20Docs/Repository/Site%20Visit%20Reports/Nawabganj.pdf%3fcsf=1&amp;web=1&amp;e=MZrx0H" TargetMode="External"/><Relationship Id="rId52" Type="http://schemas.openxmlformats.org/officeDocument/2006/relationships/vmlDrawing" Target="../drawings/vmlDrawing9.vml"/><Relationship Id="rId4" Type="http://schemas.openxmlformats.org/officeDocument/2006/relationships/hyperlink" Target="../../../../:b:/r/personal/fayeshik_deloitte_com/Documents/Projects/BEZA%20NMP/BEZA%20Scanned%20Docs/Repository/Feasibility%20Studies/Feasibility-Study-of-Bogura-Economic-Zone.pdf%3fcsf=1&amp;web=1&amp;e=mruVff" TargetMode="External"/><Relationship Id="rId9" Type="http://schemas.openxmlformats.org/officeDocument/2006/relationships/hyperlink" Target="../../../../:b:/r/personal/fayeshik_deloitte_com/Documents/Projects/BEZA%20NMP/BEZA%20Scanned%20Docs/Repository/Feasibility%20Studies/Feasibility-Study-Report-for-Jamalpur-Economic-Zone.pdf%3fcsf=1&amp;web=1&amp;e=GDDtXL" TargetMode="External"/><Relationship Id="rId14" Type="http://schemas.openxmlformats.org/officeDocument/2006/relationships/hyperlink" Target="../../../../:b:/r/personal/fayeshik_deloitte_com/Documents/Projects/BEZA%20NMP/BEZA%20Scanned%20Docs/Repository/Feasibility%20Studies/Prefeasibility-Study-of-Dhaka-SEZ.pdf%3fcsf=1&amp;web=1&amp;e=5OwfCY" TargetMode="External"/><Relationship Id="rId22" Type="http://schemas.openxmlformats.org/officeDocument/2006/relationships/hyperlink" Target="../../../../:b:/r/personal/fayeshik_deloitte_com/Documents/Projects/BEZA%20NMP/BEZA%20Scanned%20Docs/Repository/Feasibility%20Studies/Prefeasibility-Study-Report-Jaliardwip-Naf-Tourism-Park.pdf%3fcsf=1&amp;web=1&amp;e=ovwath" TargetMode="External"/><Relationship Id="rId27" Type="http://schemas.openxmlformats.org/officeDocument/2006/relationships/hyperlink" Target="../../../../:b:/r/personal/fayeshik_deloitte_com/Documents/Projects/BEZA%20NMP/BEZA%20Scanned%20Docs/Repository/Feasibility%20Studies/Pre-Feasibility-Study-Report-of-Chandpur.pdf%3fcsf=1&amp;web=1&amp;e=JWNWgq" TargetMode="External"/><Relationship Id="rId30" Type="http://schemas.openxmlformats.org/officeDocument/2006/relationships/hyperlink" Target="../../../pbaksi/BEZA%20Scanned%20Docs/Repository/Site%20Visit%20Reports/Dhaka%20(Dohar).pdf" TargetMode="External"/><Relationship Id="rId35" Type="http://schemas.openxmlformats.org/officeDocument/2006/relationships/hyperlink" Target="../../../../:b:/r/personal/fayeshik_deloitte_com/Documents/Projects/BEZA%20NMP/BEZA%20Scanned%20Docs/Repository/Feasibility%20Studies/Pre-Feasibility-Study-Report-of-Nilfamari.pdf%3fcsf=1&amp;web=1&amp;e=8oyQWc" TargetMode="External"/><Relationship Id="rId43" Type="http://schemas.openxmlformats.org/officeDocument/2006/relationships/hyperlink" Target="../../../../:b:/r/personal/fayeshik_deloitte_com/Documents/Projects/BEZA%20NMP/BEZA%20Scanned%20Docs/Repository/Site%20Visit%20Reports/Narayanganj%20(Bandar%20&amp;%20Sonargaon).pdf%3fcsf=1&amp;web=1&amp;e=ga4VH7" TargetMode="External"/><Relationship Id="rId48" Type="http://schemas.openxmlformats.org/officeDocument/2006/relationships/hyperlink" Target="../../../../:b:/r/personal/fayeshik_deloitte_com/Documents/Projects/BEZA%20NMP/BEZA%20Scanned%20Docs/Repository/Site%20Visit%20Reports/Tangail.pdf%3fcsf=1&amp;web=1&amp;e=2D49r1" TargetMode="External"/><Relationship Id="rId8" Type="http://schemas.openxmlformats.org/officeDocument/2006/relationships/hyperlink" Target="../../../../:b:/r/personal/fayeshik_deloitte_com/Documents/Projects/BEZA%20NMP/BEZA%20Scanned%20Docs/Repository/Feasibility%20Studies/Feasibility-Study-of-Sabrang-Tourism-Park.pdf%3fcsf=1&amp;web=1&amp;e=YIwTdF" TargetMode="External"/><Relationship Id="rId51" Type="http://schemas.openxmlformats.org/officeDocument/2006/relationships/printerSettings" Target="../printerSettings/printerSettings16.bin"/><Relationship Id="rId3" Type="http://schemas.openxmlformats.org/officeDocument/2006/relationships/hyperlink" Target="../../../../:b:/r/personal/fayeshik_deloitte_com/Documents/Projects/BEZA%20NMP/BEZA%20Scanned%20Docs/Repository/Feasibility%20Studies/Feasibility-Study-of-Anwara-Economic-Zone.pdf%3fcsf=1&amp;web=1&amp;e=arOwcd" TargetMode="External"/><Relationship Id="rId12" Type="http://schemas.openxmlformats.org/officeDocument/2006/relationships/hyperlink" Target="../../../../:b:/r/personal/fayeshik_deloitte_com/Documents/Projects/BEZA%20NMP/BEZA%20Scanned%20Docs/Repository/Feasibility%20Studies/Pre-Feasibility-Study-of-Anowara-2-and-Sabrang-Tourism-Park.pdf%3fcsf=1&amp;web=1&amp;e=viPgX1" TargetMode="External"/><Relationship Id="rId17" Type="http://schemas.openxmlformats.org/officeDocument/2006/relationships/hyperlink" Target="../../../../:b:/r/personal/fayeshik_deloitte_com/Documents/Projects/BEZA%20NMP/BEZA%20Scanned%20Docs/Repository/Feasibility%20Studies/Pre-Feasibility-Study-of-Jajira-Economic-Zone.pdf%3fcsf=1&amp;web=1&amp;e=ouPKuD" TargetMode="External"/><Relationship Id="rId25" Type="http://schemas.openxmlformats.org/officeDocument/2006/relationships/hyperlink" Target="../../../../:b:/r/personal/fayeshik_deloitte_com/Documents/Projects/BEZA%20NMP/BEZA%20Scanned%20Docs/Repository/Feasibility%20Studies/Pre-Feasibility-Study-Report-of-Araihazar.pdf%3fcsf=1&amp;web=1&amp;e=tAgBE7" TargetMode="External"/><Relationship Id="rId33" Type="http://schemas.openxmlformats.org/officeDocument/2006/relationships/hyperlink" Target="../../../../:b:/r/personal/fayeshik_deloitte_com/Documents/Projects/BEZA%20NMP/BEZA%20Scanned%20Docs/Repository/Feasibility%20Studies/Pre-Feasibility-Study-Report-of-Manikgonj.pdf%3fcsf=1&amp;web=1&amp;e=OzVNPI" TargetMode="External"/><Relationship Id="rId38" Type="http://schemas.openxmlformats.org/officeDocument/2006/relationships/hyperlink" Target="../../../../:b:/r/personal/fayeshik_deloitte_com/Documents/Projects/BEZA%20NMP/BEZA%20Scanned%20Docs/Repository/Feasibility%20Studies/Pre-Feasibility-Study-Report-of-Sitakundo.pdf%3fcsf=1&amp;web=1&amp;e=cbR23S" TargetMode="External"/><Relationship Id="rId46" Type="http://schemas.openxmlformats.org/officeDocument/2006/relationships/hyperlink" Target="../../../../:b:/r/personal/fayeshik_deloitte_com/Documents/Projects/BEZA%20NMP/BEZA%20Scanned%20Docs/Repository/Site%20Visit%20Reports/Noakhali.pdf%3fcsf=1&amp;web=1&amp;e=ZgPjF8" TargetMode="External"/><Relationship Id="rId20" Type="http://schemas.openxmlformats.org/officeDocument/2006/relationships/hyperlink" Target="../../../../:b:/r/personal/fayeshik_deloitte_com/Documents/Projects/BEZA%20NMP/BEZA%20Scanned%20Docs/Repository/Feasibility%20Studies/Prefeasibility-Study-of-Moheshkhali-EZ.pdf%3fcsf=1&amp;web=1&amp;e=vzR90J" TargetMode="External"/><Relationship Id="rId41" Type="http://schemas.openxmlformats.org/officeDocument/2006/relationships/hyperlink" Target="../../../pbaksi/BEZA%20Scanned%20Docs/Repository/Site%20Visit%20Reports/Madaripur.pdf" TargetMode="External"/><Relationship Id="rId54" Type="http://schemas.openxmlformats.org/officeDocument/2006/relationships/comments" Target="../comments8.xml"/><Relationship Id="rId1" Type="http://schemas.openxmlformats.org/officeDocument/2006/relationships/hyperlink" Target="../../../../:b:/r/personal/fayeshik_deloitte_com/Documents/Projects/BEZA%20NMP/BEZA%20Scanned%20Docs/Repository/Feasibility%20Studies/Feasibility-Report-of-Mongla-EZ.pdf%3fcsf=1&amp;web=1&amp;e=xcUaoX" TargetMode="External"/><Relationship Id="rId6" Type="http://schemas.openxmlformats.org/officeDocument/2006/relationships/hyperlink" Target="../../../../:b:/r/personal/fayeshik_deloitte_com/Documents/Projects/BEZA%20NMP/BEZA%20Scanned%20Docs/Repository/Feasibility%20Studies/Feasibility-Study-of-Moheshkhali-EZ-Dhalghata.pdf%3fcsf=1&amp;web=1&amp;e=2d1lgb" TargetMode="External"/><Relationship Id="rId15" Type="http://schemas.openxmlformats.org/officeDocument/2006/relationships/hyperlink" Target="../../../../:b:/r/personal/fayeshik_deloitte_com/Documents/Projects/BEZA%20NMP/BEZA%20Scanned%20Docs/Repository/Feasibility%20Studies/Pre-Feasibility-Study-of-Feni-Economic-Zone.pdf%3fcsf=1&amp;web=1&amp;e=wYanNW" TargetMode="External"/><Relationship Id="rId23" Type="http://schemas.openxmlformats.org/officeDocument/2006/relationships/hyperlink" Target="../../../pbaksi/BEZA%20Scanned%20Docs/Repository/Site%20Visit%20Reports/BSMSN.pdf" TargetMode="External"/><Relationship Id="rId28" Type="http://schemas.openxmlformats.org/officeDocument/2006/relationships/hyperlink" Target="../../../pbaksi/BEZA%20Scanned%20Docs/Repository/Site%20Visit%20Reports/Chandpur.pdf" TargetMode="External"/><Relationship Id="rId36" Type="http://schemas.openxmlformats.org/officeDocument/2006/relationships/hyperlink" Target="../../../pbaksi/BEZA%20Scanned%20Docs/Repository/Site%20Visit%20Reports/Kushtia.pdf" TargetMode="External"/><Relationship Id="rId49" Type="http://schemas.openxmlformats.org/officeDocument/2006/relationships/hyperlink" Target="../../../../:b:/r/personal/fayeshik_deloitte_com/Documents/Projects/BEZA%20NMP/BEZA%20Scanned%20Docs/Repository/Feasibility%20Studies/Feasibility-Study-of-Shreehatta-EZ-Sherpur.pdf%3fcsf=1&amp;web=1&amp;e=bI59vf" TargetMode="External"/></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7.bin"/><Relationship Id="rId4" Type="http://schemas.microsoft.com/office/2017/10/relationships/threadedComment" Target="../threadedComments/threadedComment9.xml"/></Relationships>
</file>

<file path=xl/worksheets/_rels/sheet19.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printerSettings" Target="../printerSettings/printerSettings18.bin"/><Relationship Id="rId1" Type="http://schemas.openxmlformats.org/officeDocument/2006/relationships/hyperlink" Target="https://www.beza.gov.bd/economic-zones-site/"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printerSettings" Target="../printerSettings/printerSettings19.bin"/><Relationship Id="rId1" Type="http://schemas.openxmlformats.org/officeDocument/2006/relationships/hyperlink" Target="../../../../:b:/r/personal/fayeshik_deloitte_com/Documents/Projects/BEZA%20NMP/BEZA%20Scanned%20Docs/Repository/Planning%20Wing%20EZ%20Priority%20List.pdf%3fcsf=1&amp;web=1&amp;e=WJfUpm" TargetMode="Externa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b:/r/personal/fayeshik_deloitte_com/Documents/Projects/BEZA%20NMP/BEZA%20Scanned%20Docs/Repository/OSS%20PEZ%20Data/PEZs%20Info.pdf%3fcsf=1&amp;web=1&amp;e=W5Usqh" TargetMode="External"/><Relationship Id="rId1" Type="http://schemas.openxmlformats.org/officeDocument/2006/relationships/hyperlink" Target="../../../../:f:/r/personal/fayeshik_deloitte_com/Documents/Projects/BEZA%20NMP/BEZA%20Scanned%20Docs/Repository/OSS%20PEZ%20Data%3fcsf=1&amp;web=1&amp;e=ovoM7q" TargetMode="External"/><Relationship Id="rId4" Type="http://schemas.openxmlformats.org/officeDocument/2006/relationships/table" Target="../tables/table10.xml"/></Relationships>
</file>

<file path=xl/worksheets/_rels/sheet22.xml.rels><?xml version="1.0" encoding="UTF-8" standalone="yes"?>
<Relationships xmlns="http://schemas.openxmlformats.org/package/2006/relationships"><Relationship Id="rId13" Type="http://schemas.openxmlformats.org/officeDocument/2006/relationships/hyperlink" Target="https://archive.dhakatribune.com/business/2019/01/27/standard-global-economic-zone-gets-pre-qualification-certificate" TargetMode="External"/><Relationship Id="rId18" Type="http://schemas.openxmlformats.org/officeDocument/2006/relationships/hyperlink" Target="https://www.beza.gov.bd/private-ez/adjacent-to-bangabandhu-bridge-sirajganj/" TargetMode="External"/><Relationship Id="rId26" Type="http://schemas.openxmlformats.org/officeDocument/2006/relationships/hyperlink" Target="https://www.beza.gov.bd/city-economic-zone/" TargetMode="External"/><Relationship Id="rId39" Type="http://schemas.openxmlformats.org/officeDocument/2006/relationships/printerSettings" Target="../printerSettings/printerSettings21.bin"/><Relationship Id="rId21" Type="http://schemas.openxmlformats.org/officeDocument/2006/relationships/hyperlink" Target="https://www.beza.gov.bd/economic-zones-site/private-sector-owned-sites/ak-khan-and-company-ltd/" TargetMode="External"/><Relationship Id="rId34" Type="http://schemas.openxmlformats.org/officeDocument/2006/relationships/hyperlink" Target="https://www.beza.gov.bd/economic-zones-site/private-sector-owned-sites/meghna-economic-zone-miez/" TargetMode="External"/><Relationship Id="rId7" Type="http://schemas.openxmlformats.org/officeDocument/2006/relationships/hyperlink" Target="https://www.mgi.org/businessverticals/cez" TargetMode="External"/><Relationship Id="rId12" Type="http://schemas.openxmlformats.org/officeDocument/2006/relationships/hyperlink" Target="https://archive.dhakatribune.com/business/2019/02/25/bashundhara-group-gets-economic-zone-licence" TargetMode="External"/><Relationship Id="rId17" Type="http://schemas.openxmlformats.org/officeDocument/2006/relationships/hyperlink" Target="https://www.mgi.org/businessverticals/miez" TargetMode="External"/><Relationship Id="rId25" Type="http://schemas.openxmlformats.org/officeDocument/2006/relationships/hyperlink" Target="https://www.beza.gov.bd/news/arisha-private-economic-zone-received-prequalification-license/" TargetMode="External"/><Relationship Id="rId33" Type="http://schemas.openxmlformats.org/officeDocument/2006/relationships/hyperlink" Target="https://thefinancialexpress.com.bd/economy/bangladesh/kishoreganj-ez-obtains-final-licence-1550500540" TargetMode="External"/><Relationship Id="rId38" Type="http://schemas.openxmlformats.org/officeDocument/2006/relationships/hyperlink" Target="https://www.daily-sun.com/printversion/details/296851/BGMEA-gets-500-acres-in-Mirsharai-EZ-for-RMG-park-" TargetMode="External"/><Relationship Id="rId2" Type="http://schemas.openxmlformats.org/officeDocument/2006/relationships/hyperlink" Target="https://www.beza.gov.bd/abdul-monem-economic-zone/" TargetMode="External"/><Relationship Id="rId16" Type="http://schemas.openxmlformats.org/officeDocument/2006/relationships/hyperlink" Target="https://www.mgi.org/businessverticals/mez" TargetMode="External"/><Relationship Id="rId20" Type="http://schemas.openxmlformats.org/officeDocument/2006/relationships/hyperlink" Target="https://www.daily-sun.com/printversion/details/296851/BGMEA-gets-500-acres-in-Mirsharai-EZ-for-RMG-park-" TargetMode="External"/><Relationship Id="rId29" Type="http://schemas.openxmlformats.org/officeDocument/2006/relationships/hyperlink" Target="https://www.beza.gov.bd/news/hoshendi-economic-zone-gets-final-license-as-11th-private-economic-zone/" TargetMode="External"/><Relationship Id="rId1" Type="http://schemas.openxmlformats.org/officeDocument/2006/relationships/hyperlink" Target="https://www.beza.gov.bd/economic-zones-site/private-sector-owned-sites/ak-khan-and-company-ltd/" TargetMode="External"/><Relationship Id="rId6" Type="http://schemas.openxmlformats.org/officeDocument/2006/relationships/hyperlink" Target="https://www.beza.gov.bd/city-economic-zone/" TargetMode="External"/><Relationship Id="rId11" Type="http://schemas.openxmlformats.org/officeDocument/2006/relationships/hyperlink" Target="https://www.thedailystar.net/business/united-group-set-economic-zone-it-industry-1255228" TargetMode="External"/><Relationship Id="rId24" Type="http://schemas.openxmlformats.org/officeDocument/2006/relationships/hyperlink" Target="https://www.beza.gov.bd/aman-economic-zone/" TargetMode="External"/><Relationship Id="rId32" Type="http://schemas.openxmlformats.org/officeDocument/2006/relationships/hyperlink" Target="https://archive.dhakatribune.com/business/2019/02/25/bashundhara-group-gets-economic-zone-licence" TargetMode="External"/><Relationship Id="rId37" Type="http://schemas.openxmlformats.org/officeDocument/2006/relationships/hyperlink" Target="https://www.beza.gov.bd/bay-economic-zone/" TargetMode="External"/><Relationship Id="rId40" Type="http://schemas.openxmlformats.org/officeDocument/2006/relationships/table" Target="../tables/table11.xml"/><Relationship Id="rId5" Type="http://schemas.openxmlformats.org/officeDocument/2006/relationships/hyperlink" Target="https://www.beza.gov.bd/news/arisha-private-economic-zone-received-prequalification-license/" TargetMode="External"/><Relationship Id="rId15" Type="http://schemas.openxmlformats.org/officeDocument/2006/relationships/hyperlink" Target="https://thefinancialexpress.com.bd/economy/bangladesh/kishoreganj-ez-obtains-final-licence-1550500540" TargetMode="External"/><Relationship Id="rId23" Type="http://schemas.openxmlformats.org/officeDocument/2006/relationships/hyperlink" Target="https://www.thedailystar.net/business/akij-invest-tk-1500cr-three-plants-its-economic-zone-1288102" TargetMode="External"/><Relationship Id="rId28" Type="http://schemas.openxmlformats.org/officeDocument/2006/relationships/hyperlink" Target="https://today.thefinancialexpress.com.bd/trade-market/hamid-group-to-set-up-economic-zone-in-mymensingh-1545845343" TargetMode="External"/><Relationship Id="rId36" Type="http://schemas.openxmlformats.org/officeDocument/2006/relationships/hyperlink" Target="https://www.beza.gov.bd/private-ez/adjacent-to-bangabandhu-bridge-sirajganj/" TargetMode="External"/><Relationship Id="rId10" Type="http://schemas.openxmlformats.org/officeDocument/2006/relationships/hyperlink" Target="https://www.tbsnews.net/bangladesh/karnafuly-dry-dock-signs-land-lease-agreement-beza-336532" TargetMode="External"/><Relationship Id="rId19" Type="http://schemas.openxmlformats.org/officeDocument/2006/relationships/hyperlink" Target="https://www.beza.gov.bd/bay-economic-zone/" TargetMode="External"/><Relationship Id="rId31" Type="http://schemas.openxmlformats.org/officeDocument/2006/relationships/hyperlink" Target="https://www.thedailystar.net/business/united-group-set-economic-zone-it-industry-1255228" TargetMode="External"/><Relationship Id="rId4" Type="http://schemas.openxmlformats.org/officeDocument/2006/relationships/hyperlink" Target="https://www.beza.gov.bd/aman-economic-zone/" TargetMode="External"/><Relationship Id="rId9" Type="http://schemas.openxmlformats.org/officeDocument/2006/relationships/hyperlink" Target="https://www.beza.gov.bd/news/hoshendi-economic-zone-gets-final-license-as-11th-private-economic-zone/" TargetMode="External"/><Relationship Id="rId14" Type="http://schemas.openxmlformats.org/officeDocument/2006/relationships/hyperlink" Target="https://www.sez.com.bd/about.html" TargetMode="External"/><Relationship Id="rId22" Type="http://schemas.openxmlformats.org/officeDocument/2006/relationships/hyperlink" Target="https://www.beza.gov.bd/abdul-monem-economic-zone/" TargetMode="External"/><Relationship Id="rId27" Type="http://schemas.openxmlformats.org/officeDocument/2006/relationships/hyperlink" Target="https://www.mgi.org/businessverticals/cez" TargetMode="External"/><Relationship Id="rId30" Type="http://schemas.openxmlformats.org/officeDocument/2006/relationships/hyperlink" Target="https://www.tbsnews.net/bangladesh/karnafuly-dry-dock-signs-land-lease-agreement-beza-336532" TargetMode="External"/><Relationship Id="rId35" Type="http://schemas.openxmlformats.org/officeDocument/2006/relationships/hyperlink" Target="https://www.beza.gov.bd/meghna-industrial-ez/" TargetMode="External"/><Relationship Id="rId8" Type="http://schemas.openxmlformats.org/officeDocument/2006/relationships/hyperlink" Target="https://today.thefinancialexpress.com.bd/trade-market/hamid-group-to-set-up-economic-zone-in-mymensingh-1545845343" TargetMode="External"/><Relationship Id="rId3" Type="http://schemas.openxmlformats.org/officeDocument/2006/relationships/hyperlink" Target="https://www.thedailystar.net/business/akij-invest-tk-1500cr-three-plants-its-economic-zone-1288102"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b:/r/personal/fayeshik_deloitte_com/Documents/Projects/BEZA%20NMP/BEZA%20Scanned%20Docs/Repository/OSS%20PEZ%20Data/PEZs%20Info.pdf%3fcsf=1&amp;web=1&amp;e=4xA7QL" TargetMode="External"/><Relationship Id="rId2" Type="http://schemas.openxmlformats.org/officeDocument/2006/relationships/hyperlink" Target="https://www.beza.gov.bd/private-ez/" TargetMode="External"/><Relationship Id="rId1" Type="http://schemas.openxmlformats.org/officeDocument/2006/relationships/hyperlink" Target="https://www.beza.gov.bd/private-ez/" TargetMode="External"/><Relationship Id="rId5" Type="http://schemas.openxmlformats.org/officeDocument/2006/relationships/table" Target="../tables/table12.xml"/><Relationship Id="rId4"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pivotTable" Target="../pivotTables/pivotTable4.xml"/><Relationship Id="rId7" Type="http://schemas.openxmlformats.org/officeDocument/2006/relationships/printerSettings" Target="../printerSettings/printerSettings26.bin"/><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pivotTable" Target="../pivotTables/pivotTable7.xml"/><Relationship Id="rId5" Type="http://schemas.openxmlformats.org/officeDocument/2006/relationships/pivotTable" Target="../pivotTables/pivotTable6.xml"/><Relationship Id="rId4" Type="http://schemas.openxmlformats.org/officeDocument/2006/relationships/pivotTable" Target="../pivotTables/pivotTable5.xml"/></Relationships>
</file>

<file path=xl/worksheets/_rels/sheet28.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4.vml"/><Relationship Id="rId1" Type="http://schemas.openxmlformats.org/officeDocument/2006/relationships/printerSettings" Target="../printerSettings/printerSettings8.bin"/><Relationship Id="rId6" Type="http://schemas.microsoft.com/office/2019/04/relationships/documenttask" Target="../documenttasks/documenttask1.xml"/><Relationship Id="rId5" Type="http://schemas.microsoft.com/office/2017/10/relationships/threadedComment" Target="../threadedComments/threadedComment3.xm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5517B-3B5B-4A82-AF48-707EC9DC1194}">
  <sheetPr>
    <tabColor rgb="FF92D050"/>
  </sheetPr>
  <dimension ref="B2:P56"/>
  <sheetViews>
    <sheetView tabSelected="1" zoomScale="60" zoomScaleNormal="60" workbookViewId="0">
      <pane xSplit="3" ySplit="1" topLeftCell="D2" activePane="bottomRight" state="frozen"/>
      <selection pane="topRight" activeCell="D1" sqref="D1"/>
      <selection pane="bottomLeft" activeCell="A2" sqref="A2"/>
      <selection pane="bottomRight" activeCell="C8" sqref="C8"/>
    </sheetView>
  </sheetViews>
  <sheetFormatPr defaultColWidth="42" defaultRowHeight="20.149999999999999" customHeight="1" x14ac:dyDescent="0.35"/>
  <cols>
    <col min="1" max="1" width="4.1796875" style="152" customWidth="1"/>
    <col min="2" max="2" width="8" style="152" customWidth="1"/>
    <col min="3" max="3" width="76.90625" style="152" customWidth="1"/>
    <col min="4" max="4" width="20.453125" style="152" bestFit="1" customWidth="1"/>
    <col min="5" max="5" width="22.54296875" style="152" customWidth="1"/>
    <col min="6" max="6" width="26.81640625" style="152" hidden="1" customWidth="1"/>
    <col min="7" max="7" width="20.453125" style="152" hidden="1" customWidth="1"/>
    <col min="8" max="8" width="19.54296875" style="152" customWidth="1"/>
    <col min="9" max="9" width="20.81640625" style="152" customWidth="1"/>
    <col min="10" max="10" width="23.1796875" style="152" hidden="1" customWidth="1"/>
    <col min="11" max="11" width="17.453125" style="152" hidden="1" customWidth="1"/>
    <col min="12" max="12" width="14.1796875" style="152" hidden="1" customWidth="1"/>
    <col min="13" max="13" width="18.81640625" style="152" customWidth="1"/>
    <col min="14" max="14" width="18.54296875" style="152" customWidth="1"/>
    <col min="15" max="15" width="20" style="237" customWidth="1"/>
    <col min="16" max="16" width="21.36328125" style="735" customWidth="1"/>
    <col min="17" max="16384" width="42" style="152"/>
  </cols>
  <sheetData>
    <row r="2" spans="2:16" ht="20.149999999999999" customHeight="1" x14ac:dyDescent="0.35">
      <c r="B2" s="762" t="s">
        <v>0</v>
      </c>
      <c r="C2" s="762"/>
    </row>
    <row r="3" spans="2:16" ht="20.149999999999999" customHeight="1" x14ac:dyDescent="0.35">
      <c r="B3" s="763" t="s">
        <v>1</v>
      </c>
      <c r="C3" s="763"/>
      <c r="E3" s="748"/>
    </row>
    <row r="4" spans="2:16" ht="20.149999999999999" customHeight="1" x14ac:dyDescent="0.35">
      <c r="B4" s="764" t="s">
        <v>2</v>
      </c>
      <c r="C4" s="764"/>
    </row>
    <row r="5" spans="2:16" ht="20.149999999999999" customHeight="1" x14ac:dyDescent="0.35">
      <c r="B5" s="765" t="s">
        <v>1444</v>
      </c>
      <c r="C5" s="765"/>
    </row>
    <row r="6" spans="2:16" ht="20.149999999999999" customHeight="1" x14ac:dyDescent="0.35">
      <c r="B6" s="761" t="s">
        <v>3</v>
      </c>
      <c r="C6" s="761"/>
      <c r="D6" s="761"/>
      <c r="E6" s="761"/>
      <c r="F6" s="761"/>
      <c r="G6" s="761"/>
      <c r="H6" s="761"/>
      <c r="I6" s="761"/>
      <c r="J6" s="761"/>
      <c r="K6" s="761"/>
      <c r="L6" s="761"/>
      <c r="M6" s="761"/>
      <c r="N6" s="761"/>
    </row>
    <row r="7" spans="2:16" ht="54.65" customHeight="1" x14ac:dyDescent="0.35">
      <c r="B7" s="379" t="s">
        <v>4</v>
      </c>
      <c r="C7" s="404" t="s">
        <v>5</v>
      </c>
      <c r="D7" s="379" t="s">
        <v>6</v>
      </c>
      <c r="E7" s="379" t="s">
        <v>7</v>
      </c>
      <c r="F7" s="379" t="s">
        <v>8</v>
      </c>
      <c r="G7" s="379" t="s">
        <v>9</v>
      </c>
      <c r="H7" s="380" t="s">
        <v>10</v>
      </c>
      <c r="I7" s="380" t="s">
        <v>11</v>
      </c>
      <c r="J7" s="380" t="s">
        <v>12</v>
      </c>
      <c r="K7" s="381" t="s">
        <v>13</v>
      </c>
      <c r="L7" s="756" t="s">
        <v>14</v>
      </c>
      <c r="M7" s="751" t="s">
        <v>15</v>
      </c>
      <c r="N7" s="751" t="s">
        <v>16</v>
      </c>
      <c r="O7" s="722" t="s">
        <v>1441</v>
      </c>
      <c r="P7" s="738" t="s">
        <v>1442</v>
      </c>
    </row>
    <row r="8" spans="2:16" ht="20.149999999999999" customHeight="1" x14ac:dyDescent="0.35">
      <c r="B8" s="616" cm="1">
        <f t="array" ref="B8">_xlfn.XLOOKUP(Table16[[#This Row],[Name]], Table9[[#All],[Name]], Table9[[#All],[SN]],"Not Found",0,1)</f>
        <v>16</v>
      </c>
      <c r="C8" s="617" t="s">
        <v>18</v>
      </c>
      <c r="D8" s="616" t="str">
        <f>_xlfn.XLOOKUP(Table16[[#This Row],[SN]], Table9[SN], Table9[Division], "", 0, 1)</f>
        <v>Chattogram</v>
      </c>
      <c r="E8" s="616" t="str">
        <f>_xlfn.XLOOKUP(Table16[[#This Row],[SN]], Table9[SN], Table9[District], "", 0, 1)</f>
        <v>Feni</v>
      </c>
      <c r="F8" s="616" t="str">
        <f>_xlfn.XLOOKUP(Table16[[#This Row],[SN]], Table9[SN], Table9[Upazila], "", 0, 1)</f>
        <v>Sonagazi</v>
      </c>
      <c r="G8" s="616" t="str">
        <f>_xlfn.XLOOKUP(Table16[[#This Row],[SN]], Table9[SN], Table9[Type], "", 0, 1)</f>
        <v>Government</v>
      </c>
      <c r="H8" s="618">
        <f>_xlfn.XLOOKUP(Table16[[#This Row],[SN]], Table9[SN], Table9[Land Size (Acres)
(15%)], "", 0, 1)</f>
        <v>9549.5499999999993</v>
      </c>
      <c r="I8" s="616" t="str">
        <f>_xlfn.XLOOKUP(Table16[[#This Row],[SN]], Table9[SN], Table9[Land Availability (Grade)​
(50%)], "", 0, 1)</f>
        <v>A Grade</v>
      </c>
      <c r="J8" s="616" t="str">
        <f>_xlfn.XLOOKUP(Table16[[#This Row],[SN]], Table9[SN], Table9[Zone Priority
(40%)], "", 0, 1)</f>
        <v>Priority 1</v>
      </c>
      <c r="K8" s="618">
        <f>_xlfn.XLOOKUP(Table16[[#This Row],[SN]], Table9[SN], Table9[Level 1 Score], "", 0, 1)</f>
        <v>1.6600000000000001</v>
      </c>
      <c r="L8" s="757">
        <f>_xlfn.XLOOKUP(Table16[[#This Row],[SN]], Table9[SN], Table9[Level 1 Score Rank], "", 0, 1)</f>
        <v>2</v>
      </c>
      <c r="M8" s="618">
        <f>_xlfn.XLOOKUP(Table16[[#This Row],[SN]], Table9[SN], Table9[Total Score], "", 0, 1)</f>
        <v>3.3920000000000003</v>
      </c>
      <c r="N8" s="752">
        <f>_xlfn.XLOOKUP(Table16[[#This Row],[SN]], Table9[SN], Table9[Total Score Rank], "", 0, 1)</f>
        <v>1</v>
      </c>
      <c r="O8" s="735"/>
      <c r="P8" s="736"/>
    </row>
    <row r="9" spans="2:16" ht="20.149999999999999" customHeight="1" x14ac:dyDescent="0.35">
      <c r="B9" s="616" cm="1">
        <f t="array" ref="B9">_xlfn.XLOOKUP(Table16[[#This Row],[Name]], Table9[[#All],[Name]], Table9[[#All],[SN]],"Not Found",0,1)</f>
        <v>27</v>
      </c>
      <c r="C9" s="617" t="s">
        <v>17</v>
      </c>
      <c r="D9" s="616" t="str">
        <f>_xlfn.XLOOKUP(Table16[[#This Row],[SN]], Table9[SN], Table9[Division], "", 0, 1)</f>
        <v>Chattogram</v>
      </c>
      <c r="E9" s="616" t="str">
        <f>_xlfn.XLOOKUP(Table16[[#This Row],[SN]], Table9[SN], Table9[District], "", 0, 1)</f>
        <v>Chattogram</v>
      </c>
      <c r="F9" s="616" t="str">
        <f>_xlfn.XLOOKUP(Table16[[#This Row],[SN]], Table9[SN], Table9[Upazila], "", 0, 1)</f>
        <v>Mirsarai</v>
      </c>
      <c r="G9" s="616" t="str">
        <f>_xlfn.XLOOKUP(Table16[[#This Row],[SN]], Table9[SN], Table9[Type], "", 0, 1)</f>
        <v>Government</v>
      </c>
      <c r="H9" s="618">
        <f>_xlfn.XLOOKUP(Table16[[#This Row],[SN]], Table9[SN], Table9[Land Size (Acres)
(15%)], "", 0, 1)</f>
        <v>11004.665000000001</v>
      </c>
      <c r="I9" s="616" t="str">
        <f>_xlfn.XLOOKUP(Table16[[#This Row],[SN]], Table9[SN], Table9[Land Availability (Grade)​
(50%)], "", 0, 1)</f>
        <v>A Grade</v>
      </c>
      <c r="J9" s="616" t="str">
        <f>_xlfn.XLOOKUP(Table16[[#This Row],[SN]], Table9[SN], Table9[Zone Priority
(40%)], "", 0, 1)</f>
        <v>Priority 1</v>
      </c>
      <c r="K9" s="618">
        <f>_xlfn.XLOOKUP(Table16[[#This Row],[SN]], Table9[SN], Table9[Level 1 Score], "", 0, 1)</f>
        <v>1.6600000000000001</v>
      </c>
      <c r="L9" s="757">
        <f>_xlfn.XLOOKUP(Table16[[#This Row],[SN]], Table9[SN], Table9[Level 1 Score Rank], "", 0, 1)</f>
        <v>2</v>
      </c>
      <c r="M9" s="618">
        <f>_xlfn.XLOOKUP(Table16[[#This Row],[SN]], Table9[SN], Table9[Total Score], "", 0, 1)</f>
        <v>3.3920000000000003</v>
      </c>
      <c r="N9" s="752">
        <f>_xlfn.XLOOKUP(Table16[[#This Row],[SN]], Table9[SN], Table9[Total Score Rank], "", 0, 1)</f>
        <v>1</v>
      </c>
      <c r="O9" s="735"/>
      <c r="P9" s="736"/>
    </row>
    <row r="10" spans="2:16" ht="20.149999999999999" customHeight="1" x14ac:dyDescent="0.35">
      <c r="B10" s="616" cm="1">
        <f t="array" ref="B10">_xlfn.XLOOKUP(Table16[[#This Row],[Name]], Table9[[#All],[Name]], Table9[[#All],[SN]],"Not Found",0,1)</f>
        <v>60</v>
      </c>
      <c r="C10" s="617" t="s">
        <v>19</v>
      </c>
      <c r="D10" s="616" t="str">
        <f>_xlfn.XLOOKUP(Table16[[#This Row],[SN]], Table9[SN], Table9[Division], "", 0, 1)</f>
        <v>Chattogram</v>
      </c>
      <c r="E10" s="616" t="str">
        <f>_xlfn.XLOOKUP(Table16[[#This Row],[SN]], Table9[SN], Table9[District], "", 0, 1)</f>
        <v>Chattogram</v>
      </c>
      <c r="F10" s="616" t="str">
        <f>_xlfn.XLOOKUP(Table16[[#This Row],[SN]], Table9[SN], Table9[Upazila], "", 0, 1)</f>
        <v>Sitakundo</v>
      </c>
      <c r="G10" s="616" t="str">
        <f>_xlfn.XLOOKUP(Table16[[#This Row],[SN]], Table9[SN], Table9[Type], "", 0, 1)</f>
        <v>Government</v>
      </c>
      <c r="H10" s="618">
        <f>_xlfn.XLOOKUP(Table16[[#This Row],[SN]], Table9[SN], Table9[Land Size (Acres)
(15%)], "", 0, 1)</f>
        <v>1918.807</v>
      </c>
      <c r="I10" s="616" t="str">
        <f>_xlfn.XLOOKUP(Table16[[#This Row],[SN]], Table9[SN], Table9[Land Availability (Grade)​
(50%)], "", 0, 1)</f>
        <v>A Grade</v>
      </c>
      <c r="J10" s="616" t="str">
        <f>_xlfn.XLOOKUP(Table16[[#This Row],[SN]], Table9[SN], Table9[Zone Priority
(40%)], "", 0, 1)</f>
        <v>Priority 1</v>
      </c>
      <c r="K10" s="618">
        <f>_xlfn.XLOOKUP(Table16[[#This Row],[SN]], Table9[SN], Table9[Level 1 Score], "", 0, 1)</f>
        <v>1.6600000000000001</v>
      </c>
      <c r="L10" s="757">
        <f>_xlfn.XLOOKUP(Table16[[#This Row],[SN]], Table9[SN], Table9[Level 1 Score Rank], "", 0, 1)</f>
        <v>2</v>
      </c>
      <c r="M10" s="618">
        <f>_xlfn.XLOOKUP(Table16[[#This Row],[SN]], Table9[SN], Table9[Total Score], "", 0, 1)</f>
        <v>3.3920000000000003</v>
      </c>
      <c r="N10" s="752">
        <f>_xlfn.XLOOKUP(Table16[[#This Row],[SN]], Table9[SN], Table9[Total Score Rank], "", 0, 1)</f>
        <v>1</v>
      </c>
      <c r="O10" s="735"/>
      <c r="P10" s="736"/>
    </row>
    <row r="11" spans="2:16" ht="20.149999999999999" customHeight="1" x14ac:dyDescent="0.35">
      <c r="B11" s="616" cm="1">
        <f t="array" ref="B11">_xlfn.XLOOKUP(Table16[[#This Row],[Name]], Table9[[#All],[Name]], Table9[[#All],[SN]],"Not Found",0,1)</f>
        <v>66</v>
      </c>
      <c r="C11" s="617" t="s">
        <v>21</v>
      </c>
      <c r="D11" s="616" t="str">
        <f>_xlfn.XLOOKUP(Table16[[#This Row],[SN]], Table9[SN], Table9[Division], "", 0, 1)</f>
        <v>Dhaka</v>
      </c>
      <c r="E11" s="616" t="str">
        <f>_xlfn.XLOOKUP(Table16[[#This Row],[SN]], Table9[SN], Table9[District], "", 0, 1)</f>
        <v>Narayanganj</v>
      </c>
      <c r="F11" s="616" t="str">
        <f>_xlfn.XLOOKUP(Table16[[#This Row],[SN]], Table9[SN], Table9[Upazila], "", 0, 1)</f>
        <v>Araihazar</v>
      </c>
      <c r="G11" s="616" t="str">
        <f>_xlfn.XLOOKUP(Table16[[#This Row],[SN]], Table9[SN], Table9[Type], "", 0, 1)</f>
        <v>G2G</v>
      </c>
      <c r="H11" s="618">
        <f>_xlfn.XLOOKUP(Table16[[#This Row],[SN]], Table9[SN], Table9[Land Size (Acres)
(15%)], "", 0, 1)</f>
        <v>1010.9</v>
      </c>
      <c r="I11" s="616" t="str">
        <f>_xlfn.XLOOKUP(Table16[[#This Row],[SN]], Table9[SN], Table9[Land Availability (Grade)​
(50%)], "", 0, 1)</f>
        <v>A Grade</v>
      </c>
      <c r="J11" s="616" t="str">
        <f>_xlfn.XLOOKUP(Table16[[#This Row],[SN]], Table9[SN], Table9[Zone Priority
(40%)], "", 0, 1)</f>
        <v>Priority 1</v>
      </c>
      <c r="K11" s="618">
        <f>_xlfn.XLOOKUP(Table16[[#This Row],[SN]], Table9[SN], Table9[Level 1 Score], "", 0, 1)</f>
        <v>1.7</v>
      </c>
      <c r="L11" s="757">
        <f>_xlfn.XLOOKUP(Table16[[#This Row],[SN]], Table9[SN], Table9[Level 1 Score Rank], "", 0, 1)</f>
        <v>1</v>
      </c>
      <c r="M11" s="618">
        <f>_xlfn.XLOOKUP(Table16[[#This Row],[SN]], Table9[SN], Table9[Total Score], "", 0, 1)</f>
        <v>3.258</v>
      </c>
      <c r="N11" s="752">
        <f>_xlfn.XLOOKUP(Table16[[#This Row],[SN]], Table9[SN], Table9[Total Score Rank], "", 0, 1)</f>
        <v>4</v>
      </c>
      <c r="O11" s="735"/>
      <c r="P11" s="736"/>
    </row>
    <row r="12" spans="2:16" ht="20.149999999999999" customHeight="1" x14ac:dyDescent="0.35">
      <c r="B12" s="616" cm="1">
        <f t="array" ref="B12">_xlfn.XLOOKUP(Table16[[#This Row],[Name]], Table9[[#All],[Name]], Table9[[#All],[SN]],"Not Found",0,1)</f>
        <v>52</v>
      </c>
      <c r="C12" s="617" t="s">
        <v>20</v>
      </c>
      <c r="D12" s="616" t="str">
        <f>_xlfn.XLOOKUP(Table16[[#This Row],[SN]], Table9[SN], Table9[Division], "", 0, 1)</f>
        <v>Chattogram</v>
      </c>
      <c r="E12" s="616" t="str">
        <f>_xlfn.XLOOKUP(Table16[[#This Row],[SN]], Table9[SN], Table9[District], "", 0, 1)</f>
        <v>Cox’s Bazar</v>
      </c>
      <c r="F12" s="616" t="str">
        <f>_xlfn.XLOOKUP(Table16[[#This Row],[SN]], Table9[SN], Table9[Upazila], "", 0, 1)</f>
        <v>Teknaf</v>
      </c>
      <c r="G12" s="616" t="str">
        <f>_xlfn.XLOOKUP(Table16[[#This Row],[SN]], Table9[SN], Table9[Type], "", 0, 1)</f>
        <v>Government</v>
      </c>
      <c r="H12" s="618">
        <f>_xlfn.XLOOKUP(Table16[[#This Row],[SN]], Table9[SN], Table9[Land Size (Acres)
(15%)], "", 0, 1)</f>
        <v>965.36</v>
      </c>
      <c r="I12" s="616" t="str">
        <f>_xlfn.XLOOKUP(Table16[[#This Row],[SN]], Table9[SN], Table9[Land Availability (Grade)​
(50%)], "", 0, 1)</f>
        <v>A Grade</v>
      </c>
      <c r="J12" s="616" t="str">
        <f>_xlfn.XLOOKUP(Table16[[#This Row],[SN]], Table9[SN], Table9[Zone Priority
(40%)], "", 0, 1)</f>
        <v>Priority 1</v>
      </c>
      <c r="K12" s="618">
        <f>_xlfn.XLOOKUP(Table16[[#This Row],[SN]], Table9[SN], Table9[Level 1 Score], "", 0, 1)</f>
        <v>1.4100000000000001</v>
      </c>
      <c r="L12" s="757">
        <f>_xlfn.XLOOKUP(Table16[[#This Row],[SN]], Table9[SN], Table9[Level 1 Score Rank], "", 0, 1)</f>
        <v>8</v>
      </c>
      <c r="M12" s="618">
        <f>_xlfn.XLOOKUP(Table16[[#This Row],[SN]], Table9[SN], Table9[Total Score], "", 0, 1)</f>
        <v>3.234</v>
      </c>
      <c r="N12" s="752">
        <f>_xlfn.XLOOKUP(Table16[[#This Row],[SN]], Table9[SN], Table9[Total Score Rank], "", 0, 1)</f>
        <v>5</v>
      </c>
      <c r="O12" s="735"/>
      <c r="P12" s="736" t="s">
        <v>417</v>
      </c>
    </row>
    <row r="13" spans="2:16" ht="20.149999999999999" customHeight="1" x14ac:dyDescent="0.35">
      <c r="B13" s="616" cm="1">
        <f t="array" ref="B13">_xlfn.XLOOKUP(Table16[[#This Row],[Name]], Table9[[#All],[Name]], Table9[[#All],[SN]],"Not Found",0,1)</f>
        <v>30</v>
      </c>
      <c r="C13" s="617" t="s">
        <v>27</v>
      </c>
      <c r="D13" s="616" t="str">
        <f>_xlfn.XLOOKUP(Table16[[#This Row],[SN]], Table9[SN], Table9[Division], "", 0, 1)</f>
        <v>Chattogram</v>
      </c>
      <c r="E13" s="616" t="str">
        <f>_xlfn.XLOOKUP(Table16[[#This Row],[SN]], Table9[SN], Table9[District], "", 0, 1)</f>
        <v>Cox’s Bazar</v>
      </c>
      <c r="F13" s="616" t="str">
        <f>_xlfn.XLOOKUP(Table16[[#This Row],[SN]], Table9[SN], Table9[Upazila], "", 0, 1)</f>
        <v>Moheshkhali</v>
      </c>
      <c r="G13" s="616" t="str">
        <f>_xlfn.XLOOKUP(Table16[[#This Row],[SN]], Table9[SN], Table9[Type], "", 0, 1)</f>
        <v>Government</v>
      </c>
      <c r="H13" s="618">
        <f>_xlfn.XLOOKUP(Table16[[#This Row],[SN]], Table9[SN], Table9[Land Size (Acres)
(15%)], "", 0, 1)</f>
        <v>1240.72</v>
      </c>
      <c r="I13" s="616" t="str">
        <f>_xlfn.XLOOKUP(Table16[[#This Row],[SN]], Table9[SN], Table9[Land Availability (Grade)​
(50%)], "", 0, 1)</f>
        <v>A Grade</v>
      </c>
      <c r="J13" s="616" t="str">
        <f>_xlfn.XLOOKUP(Table16[[#This Row],[SN]], Table9[SN], Table9[Zone Priority
(40%)], "", 0, 1)</f>
        <v>Priority 1</v>
      </c>
      <c r="K13" s="618">
        <f>_xlfn.XLOOKUP(Table16[[#This Row],[SN]], Table9[SN], Table9[Level 1 Score], "", 0, 1)</f>
        <v>1.37</v>
      </c>
      <c r="L13" s="757">
        <f>_xlfn.XLOOKUP(Table16[[#This Row],[SN]], Table9[SN], Table9[Level 1 Score Rank], "", 0, 1)</f>
        <v>12</v>
      </c>
      <c r="M13" s="618">
        <f>_xlfn.XLOOKUP(Table16[[#This Row],[SN]], Table9[SN], Table9[Total Score], "", 0, 1)</f>
        <v>3.1340000000000003</v>
      </c>
      <c r="N13" s="752">
        <f>_xlfn.XLOOKUP(Table16[[#This Row],[SN]], Table9[SN], Table9[Total Score Rank], "", 0, 1)</f>
        <v>6</v>
      </c>
      <c r="O13" s="735"/>
      <c r="P13" s="736"/>
    </row>
    <row r="14" spans="2:16" ht="20.149999999999999" customHeight="1" x14ac:dyDescent="0.35">
      <c r="B14" s="616" cm="1">
        <f t="array" ref="B14">_xlfn.XLOOKUP(Table16[[#This Row],[Name]], Table9[[#All],[Name]], Table9[[#All],[SN]],"Not Found",0,1)</f>
        <v>13</v>
      </c>
      <c r="C14" s="740" t="s">
        <v>26</v>
      </c>
      <c r="D14" s="616" t="str">
        <f>_xlfn.XLOOKUP(Table16[[#This Row],[SN]], Table9[SN], Table9[Division], "", 0, 1)</f>
        <v>Dhaka</v>
      </c>
      <c r="E14" s="616" t="str">
        <f>_xlfn.XLOOKUP(Table16[[#This Row],[SN]], Table9[SN], Table9[District], "", 0, 1)</f>
        <v>Dhaka</v>
      </c>
      <c r="F14" s="616" t="str">
        <f>_xlfn.XLOOKUP(Table16[[#This Row],[SN]], Table9[SN], Table9[Upazila], "", 0, 1)</f>
        <v>Keraniganj</v>
      </c>
      <c r="G14" s="616" t="str">
        <f>_xlfn.XLOOKUP(Table16[[#This Row],[SN]], Table9[SN], Table9[Type], "", 0, 1)</f>
        <v>Government</v>
      </c>
      <c r="H14" s="618">
        <f>_xlfn.XLOOKUP(Table16[[#This Row],[SN]], Table9[SN], Table9[Land Size (Acres)
(15%)], "", 0, 1)</f>
        <v>104.985</v>
      </c>
      <c r="I14" s="616" t="str">
        <f>_xlfn.XLOOKUP(Table16[[#This Row],[SN]], Table9[SN], Table9[Land Availability (Grade)​
(50%)], "", 0, 1)</f>
        <v>B Grade</v>
      </c>
      <c r="J14" s="616" t="str">
        <f>_xlfn.XLOOKUP(Table16[[#This Row],[SN]], Table9[SN], Table9[Zone Priority
(40%)], "", 0, 1)</f>
        <v>Priority 3</v>
      </c>
      <c r="K14" s="618">
        <f>_xlfn.XLOOKUP(Table16[[#This Row],[SN]], Table9[SN], Table9[Level 1 Score], "", 0, 1)</f>
        <v>1.34</v>
      </c>
      <c r="L14" s="757">
        <f>_xlfn.XLOOKUP(Table16[[#This Row],[SN]], Table9[SN], Table9[Level 1 Score Rank], "", 0, 1)</f>
        <v>13</v>
      </c>
      <c r="M14" s="618">
        <f>_xlfn.XLOOKUP(Table16[[#This Row],[SN]], Table9[SN], Table9[Total Score], "", 0, 1)</f>
        <v>3.028</v>
      </c>
      <c r="N14" s="749">
        <f>_xlfn.XLOOKUP(Table16[[#This Row],[SN]], Table9[SN], Table9[Total Score Rank], "", 0, 1)</f>
        <v>7</v>
      </c>
      <c r="O14" s="735"/>
      <c r="P14" s="736"/>
    </row>
    <row r="15" spans="2:16" ht="20.149999999999999" customHeight="1" x14ac:dyDescent="0.35">
      <c r="B15" s="616" cm="1">
        <f t="array" ref="B15">_xlfn.XLOOKUP(Table16[[#This Row],[Name]], Table9[[#All],[Name]], Table9[[#All],[SN]],"Not Found",0,1)</f>
        <v>58</v>
      </c>
      <c r="C15" s="617" t="s">
        <v>36</v>
      </c>
      <c r="D15" s="616" t="str">
        <f>_xlfn.XLOOKUP(Table16[[#This Row],[SN]], Table9[SN], Table9[Division], "", 0, 1)</f>
        <v>Sylhet</v>
      </c>
      <c r="E15" s="616" t="str">
        <f>_xlfn.XLOOKUP(Table16[[#This Row],[SN]], Table9[SN], Table9[District], "", 0, 1)</f>
        <v>Moulvibazar</v>
      </c>
      <c r="F15" s="616" t="str">
        <f>_xlfn.XLOOKUP(Table16[[#This Row],[SN]], Table9[SN], Table9[Upazila], "", 0, 1)</f>
        <v>Moulvibazar Sadar</v>
      </c>
      <c r="G15" s="616" t="str">
        <f>_xlfn.XLOOKUP(Table16[[#This Row],[SN]], Table9[SN], Table9[Type], "", 0, 1)</f>
        <v>Government</v>
      </c>
      <c r="H15" s="618">
        <f>_xlfn.XLOOKUP(Table16[[#This Row],[SN]], Table9[SN], Table9[Land Size (Acres)
(15%)], "", 0, 1)</f>
        <v>352.12</v>
      </c>
      <c r="I15" s="616" t="str">
        <f>_xlfn.XLOOKUP(Table16[[#This Row],[SN]], Table9[SN], Table9[Land Availability (Grade)​
(50%)], "", 0, 1)</f>
        <v>A Grade</v>
      </c>
      <c r="J15" s="616" t="str">
        <f>_xlfn.XLOOKUP(Table16[[#This Row],[SN]], Table9[SN], Table9[Zone Priority
(40%)], "", 0, 1)</f>
        <v>Priority 1</v>
      </c>
      <c r="K15" s="618">
        <f>_xlfn.XLOOKUP(Table16[[#This Row],[SN]], Table9[SN], Table9[Level 1 Score], "", 0, 1)</f>
        <v>1.39</v>
      </c>
      <c r="L15" s="757">
        <f>_xlfn.XLOOKUP(Table16[[#This Row],[SN]], Table9[SN], Table9[Level 1 Score Rank], "", 0, 1)</f>
        <v>10</v>
      </c>
      <c r="M15" s="618">
        <f>_xlfn.XLOOKUP(Table16[[#This Row],[SN]], Table9[SN], Table9[Total Score], "", 0, 1)</f>
        <v>3.0219999999999998</v>
      </c>
      <c r="N15" s="752">
        <f>_xlfn.XLOOKUP(Table16[[#This Row],[SN]], Table9[SN], Table9[Total Score Rank], "", 0, 1)</f>
        <v>8</v>
      </c>
      <c r="O15" s="735"/>
      <c r="P15" s="736"/>
    </row>
    <row r="16" spans="2:16" ht="20.149999999999999" customHeight="1" x14ac:dyDescent="0.35">
      <c r="B16" s="729" cm="1">
        <f t="array" ref="B16">_xlfn.XLOOKUP(Table16[[#This Row],[Name]], Table9[[#All],[Name]], Table9[[#All],[SN]],"Not Found",0,1)</f>
        <v>4</v>
      </c>
      <c r="C16" s="747" t="s">
        <v>148</v>
      </c>
      <c r="D16" s="729" t="str">
        <f>_xlfn.XLOOKUP(Table16[[#This Row],[SN]], Table9[SN], Table9[Division], "", 0, 1)</f>
        <v>Dhaka</v>
      </c>
      <c r="E16" s="729" t="str">
        <f>_xlfn.XLOOKUP(Table16[[#This Row],[SN]], Table9[SN], Table9[District], "", 0, 1)</f>
        <v>Narayanganj</v>
      </c>
      <c r="F16" s="729" t="str">
        <f>_xlfn.XLOOKUP(Table16[[#This Row],[SN]], Table9[SN], Table9[Upazila], "", 0, 1)</f>
        <v>Araihazar</v>
      </c>
      <c r="G16" s="729" t="str">
        <f>_xlfn.XLOOKUP(Table16[[#This Row],[SN]], Table9[SN], Table9[Type], "", 0, 1)</f>
        <v>Government</v>
      </c>
      <c r="H16" s="618">
        <f>_xlfn.XLOOKUP(Table16[[#This Row],[SN]], Table9[SN], Table9[Land Size (Acres)
(15%)], "", 0, 1)</f>
        <v>413</v>
      </c>
      <c r="I16" s="687" t="str">
        <f>_xlfn.XLOOKUP(Table16[[#This Row],[SN]], Table9[SN], Table9[Land Availability (Grade)​
(50%)], "", 0, 1)</f>
        <v>A Grade</v>
      </c>
      <c r="J16" s="729" t="str">
        <f>_xlfn.XLOOKUP(Table16[[#This Row],[SN]], Table9[SN], Table9[Zone Priority
(40%)], "", 0, 1)</f>
        <v>Priority 3</v>
      </c>
      <c r="K16" s="737">
        <f>_xlfn.XLOOKUP(Table16[[#This Row],[SN]], Table9[SN], Table9[Level 1 Score], "", 0, 1)</f>
        <v>1.54</v>
      </c>
      <c r="L16" s="757">
        <f>_xlfn.XLOOKUP(Table16[[#This Row],[SN]], Table9[SN], Table9[Level 1 Score Rank], "", 0, 1)</f>
        <v>6</v>
      </c>
      <c r="M16" s="759">
        <f>_xlfn.XLOOKUP(Table16[[#This Row],[SN]], Table9[SN], Table9[Total Score], "", 0, 1)</f>
        <v>2.9980000000000002</v>
      </c>
      <c r="N16" s="753">
        <f>_xlfn.XLOOKUP(Table16[[#This Row],[SN]], Table9[SN], Table9[Total Score Rank], "", 0, 1)</f>
        <v>9</v>
      </c>
      <c r="O16" s="736"/>
      <c r="P16" s="736"/>
    </row>
    <row r="17" spans="2:16" ht="20.149999999999999" customHeight="1" x14ac:dyDescent="0.35">
      <c r="B17" s="616" cm="1">
        <f t="array" ref="B17">_xlfn.XLOOKUP(Table16[[#This Row],[Name]], Table9[[#All],[Name]], Table9[[#All],[SN]],"Not Found",0,1)</f>
        <v>65</v>
      </c>
      <c r="C17" s="617" t="s">
        <v>23</v>
      </c>
      <c r="D17" s="616" t="str">
        <f>_xlfn.XLOOKUP(Table16[[#This Row],[SN]], Table9[SN], Table9[Division], "", 0, 1)</f>
        <v>Chattogram</v>
      </c>
      <c r="E17" s="616" t="str">
        <f>_xlfn.XLOOKUP(Table16[[#This Row],[SN]], Table9[SN], Table9[District], "", 0, 1)</f>
        <v>Chattogram</v>
      </c>
      <c r="F17" s="616" t="str">
        <f>_xlfn.XLOOKUP(Table16[[#This Row],[SN]], Table9[SN], Table9[Upazila], "", 0, 1)</f>
        <v>Anowara</v>
      </c>
      <c r="G17" s="616" t="str">
        <f>_xlfn.XLOOKUP(Table16[[#This Row],[SN]], Table9[SN], Table9[Type], "", 0, 1)</f>
        <v>G2G</v>
      </c>
      <c r="H17" s="618">
        <f>_xlfn.XLOOKUP(Table16[[#This Row],[SN]], Table9[SN], Table9[Land Size (Acres)
(15%)], "", 0, 1)</f>
        <v>805.86649999999997</v>
      </c>
      <c r="I17" s="616" t="str">
        <f>_xlfn.XLOOKUP(Table16[[#This Row],[SN]], Table9[SN], Table9[Land Availability (Grade)​
(50%)], "", 0, 1)</f>
        <v>A Grade</v>
      </c>
      <c r="J17" s="616" t="str">
        <f>_xlfn.XLOOKUP(Table16[[#This Row],[SN]], Table9[SN], Table9[Zone Priority
(40%)], "", 0, 1)</f>
        <v>Priority 1</v>
      </c>
      <c r="K17" s="618">
        <f>_xlfn.XLOOKUP(Table16[[#This Row],[SN]], Table9[SN], Table9[Level 1 Score], "", 0, 1)</f>
        <v>1.5200000000000002</v>
      </c>
      <c r="L17" s="757">
        <f>_xlfn.XLOOKUP(Table16[[#This Row],[SN]], Table9[SN], Table9[Level 1 Score Rank], "", 0, 1)</f>
        <v>7</v>
      </c>
      <c r="M17" s="618">
        <f>_xlfn.XLOOKUP(Table16[[#This Row],[SN]], Table9[SN], Table9[Total Score], "", 0, 1)</f>
        <v>2.9880000000000004</v>
      </c>
      <c r="N17" s="752">
        <f>_xlfn.XLOOKUP(Table16[[#This Row],[SN]], Table9[SN], Table9[Total Score Rank], "", 0, 1)</f>
        <v>10</v>
      </c>
      <c r="O17" s="735"/>
      <c r="P17" s="735" t="s">
        <v>417</v>
      </c>
    </row>
    <row r="18" spans="2:16" ht="20.149999999999999" customHeight="1" x14ac:dyDescent="0.35">
      <c r="B18" s="616" cm="1">
        <f t="array" ref="B18">_xlfn.XLOOKUP(Table16[[#This Row],[Name]], Table9[[#All],[Name]], Table9[[#All],[SN]],"Not Found",0,1)</f>
        <v>38</v>
      </c>
      <c r="C18" s="740" t="s">
        <v>29</v>
      </c>
      <c r="D18" s="616" t="str">
        <f>_xlfn.XLOOKUP(Table16[[#This Row],[SN]], Table9[SN], Table9[Division], "", 0, 1)</f>
        <v>Dhaka</v>
      </c>
      <c r="E18" s="616" t="str">
        <f>_xlfn.XLOOKUP(Table16[[#This Row],[SN]], Table9[SN], Table9[District], "", 0, 1)</f>
        <v>Narayanganj</v>
      </c>
      <c r="F18" s="616" t="str">
        <f>_xlfn.XLOOKUP(Table16[[#This Row],[SN]], Table9[SN], Table9[Upazila], "", 0, 1)</f>
        <v>Bandar and Sonargaon</v>
      </c>
      <c r="G18" s="616" t="str">
        <f>_xlfn.XLOOKUP(Table16[[#This Row],[SN]], Table9[SN], Table9[Type], "", 0, 1)</f>
        <v>Government</v>
      </c>
      <c r="H18" s="618">
        <f>_xlfn.XLOOKUP(Table16[[#This Row],[SN]], Table9[SN], Table9[Land Size (Acres)
(15%)], "", 0, 1)</f>
        <v>276.12</v>
      </c>
      <c r="I18" s="616" t="str">
        <f>_xlfn.XLOOKUP(Table16[[#This Row],[SN]], Table9[SN], Table9[Land Availability (Grade)​
(50%)], "", 0, 1)</f>
        <v>B Grade</v>
      </c>
      <c r="J18" s="616" t="str">
        <f>_xlfn.XLOOKUP(Table16[[#This Row],[SN]], Table9[SN], Table9[Zone Priority
(40%)], "", 0, 1)</f>
        <v>Priority 3</v>
      </c>
      <c r="K18" s="618">
        <f>_xlfn.XLOOKUP(Table16[[#This Row],[SN]], Table9[SN], Table9[Level 1 Score], "", 0, 1)</f>
        <v>1.34</v>
      </c>
      <c r="L18" s="757">
        <f>_xlfn.XLOOKUP(Table16[[#This Row],[SN]], Table9[SN], Table9[Level 1 Score Rank], "", 0, 1)</f>
        <v>13</v>
      </c>
      <c r="M18" s="618">
        <f>_xlfn.XLOOKUP(Table16[[#This Row],[SN]], Table9[SN], Table9[Total Score], "", 0, 1)</f>
        <v>2.968</v>
      </c>
      <c r="N18" s="749">
        <f>_xlfn.XLOOKUP(Table16[[#This Row],[SN]], Table9[SN], Table9[Total Score Rank], "", 0, 1)</f>
        <v>11</v>
      </c>
      <c r="O18" s="735"/>
      <c r="P18" s="736"/>
    </row>
    <row r="19" spans="2:16" ht="20.149999999999999" customHeight="1" x14ac:dyDescent="0.35">
      <c r="B19" s="616" cm="1">
        <f t="array" ref="B19">_xlfn.XLOOKUP(Table16[[#This Row],[Name]], Table9[[#All],[Name]], Table9[[#All],[SN]],"Not Found",0,1)</f>
        <v>67</v>
      </c>
      <c r="C19" s="741" t="s">
        <v>25</v>
      </c>
      <c r="D19" s="616" t="str">
        <f>_xlfn.XLOOKUP(Table16[[#This Row],[SN]], Table9[SN], Table9[Division], "", 0, 1)</f>
        <v>Khulna</v>
      </c>
      <c r="E19" s="616" t="str">
        <f>_xlfn.XLOOKUP(Table16[[#This Row],[SN]], Table9[SN], Table9[District], "", 0, 1)</f>
        <v>Kushtia</v>
      </c>
      <c r="F19" s="616" t="str">
        <f>_xlfn.XLOOKUP(Table16[[#This Row],[SN]], Table9[SN], Table9[Upazila], "", 0, 1)</f>
        <v>Bheramara</v>
      </c>
      <c r="G19" s="616" t="str">
        <f>_xlfn.XLOOKUP(Table16[[#This Row],[SN]], Table9[SN], Table9[Type], "", 0, 1)</f>
        <v>G2G</v>
      </c>
      <c r="H19" s="618">
        <f>_xlfn.XLOOKUP(Table16[[#This Row],[SN]], Table9[SN], Table9[Land Size (Acres)
(15%)], "", 0, 1)</f>
        <v>382.07209999999998</v>
      </c>
      <c r="I19" s="616" t="str">
        <f>_xlfn.XLOOKUP(Table16[[#This Row],[SN]], Table9[SN], Table9[Land Availability (Grade)​
(50%)], "", 0, 1)</f>
        <v>A Grade</v>
      </c>
      <c r="J19" s="616" t="str">
        <f>_xlfn.XLOOKUP(Table16[[#This Row],[SN]], Table9[SN], Table9[Zone Priority
(40%)], "", 0, 1)</f>
        <v>Priority 1</v>
      </c>
      <c r="K19" s="618">
        <f>_xlfn.XLOOKUP(Table16[[#This Row],[SN]], Table9[SN], Table9[Level 1 Score], "", 0, 1)</f>
        <v>1.24</v>
      </c>
      <c r="L19" s="757">
        <f>_xlfn.XLOOKUP(Table16[[#This Row],[SN]], Table9[SN], Table9[Level 1 Score Rank], "", 0, 1)</f>
        <v>15</v>
      </c>
      <c r="M19" s="618">
        <f>_xlfn.XLOOKUP(Table16[[#This Row],[SN]], Table9[SN], Table9[Total Score], "", 0, 1)</f>
        <v>2.9359999999999999</v>
      </c>
      <c r="N19" s="752">
        <f>_xlfn.XLOOKUP(Table16[[#This Row],[SN]], Table9[SN], Table9[Total Score Rank], "", 0, 1)</f>
        <v>12</v>
      </c>
      <c r="O19" s="735" t="s">
        <v>417</v>
      </c>
      <c r="P19" s="736" t="s">
        <v>417</v>
      </c>
    </row>
    <row r="20" spans="2:16" ht="20.149999999999999" customHeight="1" x14ac:dyDescent="0.35">
      <c r="B20" s="616" cm="1">
        <f t="array" ref="B20">_xlfn.XLOOKUP(Table16[[#This Row],[Name]], Table9[[#All],[Name]], Table9[[#All],[SN]],"Not Found",0,1)</f>
        <v>42</v>
      </c>
      <c r="C20" s="739" t="s">
        <v>22</v>
      </c>
      <c r="D20" s="616" t="str">
        <f>_xlfn.XLOOKUP(Table16[[#This Row],[SN]], Table9[SN], Table9[Division], "", 0, 1)</f>
        <v>Dhaka</v>
      </c>
      <c r="E20" s="616" t="str">
        <f>_xlfn.XLOOKUP(Table16[[#This Row],[SN]], Table9[SN], Table9[District], "", 0, 1)</f>
        <v>Dhaka</v>
      </c>
      <c r="F20" s="616" t="str">
        <f>_xlfn.XLOOKUP(Table16[[#This Row],[SN]], Table9[SN], Table9[Upazila], "", 0, 1)</f>
        <v>Nawabganj</v>
      </c>
      <c r="G20" s="616" t="str">
        <f>_xlfn.XLOOKUP(Table16[[#This Row],[SN]], Table9[SN], Table9[Type], "", 0, 1)</f>
        <v>Government</v>
      </c>
      <c r="H20" s="618">
        <f>_xlfn.XLOOKUP(Table16[[#This Row],[SN]], Table9[SN], Table9[Land Size (Acres)
(15%)], "", 0, 1)</f>
        <v>880.04200000000003</v>
      </c>
      <c r="I20" s="616" t="str">
        <f>_xlfn.XLOOKUP(Table16[[#This Row],[SN]], Table9[SN], Table9[Land Availability (Grade)​
(50%)], "", 0, 1)</f>
        <v>C Grade</v>
      </c>
      <c r="J20" s="616" t="str">
        <f>_xlfn.XLOOKUP(Table16[[#This Row],[SN]], Table9[SN], Table9[Zone Priority
(40%)], "", 0, 1)</f>
        <v>Priority 1</v>
      </c>
      <c r="K20" s="618">
        <f>_xlfn.XLOOKUP(Table16[[#This Row],[SN]], Table9[SN], Table9[Level 1 Score], "", 0, 1)</f>
        <v>1.2</v>
      </c>
      <c r="L20" s="757">
        <f>_xlfn.XLOOKUP(Table16[[#This Row],[SN]], Table9[SN], Table9[Level 1 Score Rank], "", 0, 1)</f>
        <v>17</v>
      </c>
      <c r="M20" s="618">
        <f>_xlfn.XLOOKUP(Table16[[#This Row],[SN]], Table9[SN], Table9[Total Score], "", 0, 1)</f>
        <v>2.8159999999999998</v>
      </c>
      <c r="N20" s="749">
        <f>_xlfn.XLOOKUP(Table16[[#This Row],[SN]], Table9[SN], Table9[Total Score Rank], "", 0, 1)</f>
        <v>13</v>
      </c>
      <c r="O20" s="735" t="s">
        <v>417</v>
      </c>
      <c r="P20" s="736"/>
    </row>
    <row r="21" spans="2:16" ht="20.149999999999999" customHeight="1" x14ac:dyDescent="0.35">
      <c r="B21" s="616" cm="1">
        <f t="array" ref="B21">_xlfn.XLOOKUP(Table16[[#This Row],[Name]], Table9[[#All],[Name]], Table9[[#All],[SN]],"Not Found",0,1)</f>
        <v>21</v>
      </c>
      <c r="C21" s="617" t="s">
        <v>43</v>
      </c>
      <c r="D21" s="616" t="str">
        <f>_xlfn.XLOOKUP(Table16[[#This Row],[SN]], Table9[SN], Table9[Division], "", 0, 1)</f>
        <v>Mymensingh</v>
      </c>
      <c r="E21" s="616" t="str">
        <f>_xlfn.XLOOKUP(Table16[[#This Row],[SN]], Table9[SN], Table9[District], "", 0, 1)</f>
        <v>Jamalpur</v>
      </c>
      <c r="F21" s="616" t="str">
        <f>_xlfn.XLOOKUP(Table16[[#This Row],[SN]], Table9[SN], Table9[Upazila], "", 0, 1)</f>
        <v>Jamalpur Sadar</v>
      </c>
      <c r="G21" s="616" t="str">
        <f>_xlfn.XLOOKUP(Table16[[#This Row],[SN]], Table9[SN], Table9[Type], "", 0, 1)</f>
        <v>Government</v>
      </c>
      <c r="H21" s="618">
        <f>_xlfn.XLOOKUP(Table16[[#This Row],[SN]], Table9[SN], Table9[Land Size (Acres)
(15%)], "", 0, 1)</f>
        <v>441.64</v>
      </c>
      <c r="I21" s="616" t="str">
        <f>_xlfn.XLOOKUP(Table16[[#This Row],[SN]], Table9[SN], Table9[Land Availability (Grade)​
(50%)], "", 0, 1)</f>
        <v>A Grade</v>
      </c>
      <c r="J21" s="616" t="str">
        <f>_xlfn.XLOOKUP(Table16[[#This Row],[SN]], Table9[SN], Table9[Zone Priority
(40%)], "", 0, 1)</f>
        <v>Priority 1</v>
      </c>
      <c r="K21" s="618">
        <f>_xlfn.XLOOKUP(Table16[[#This Row],[SN]], Table9[SN], Table9[Level 1 Score], "", 0, 1)</f>
        <v>1.6</v>
      </c>
      <c r="L21" s="757">
        <f>_xlfn.XLOOKUP(Table16[[#This Row],[SN]], Table9[SN], Table9[Level 1 Score Rank], "", 0, 1)</f>
        <v>5</v>
      </c>
      <c r="M21" s="618">
        <f>_xlfn.XLOOKUP(Table16[[#This Row],[SN]], Table9[SN], Table9[Total Score], "", 0, 1)</f>
        <v>2.7800000000000002</v>
      </c>
      <c r="N21" s="752">
        <f>_xlfn.XLOOKUP(Table16[[#This Row],[SN]], Table9[SN], Table9[Total Score Rank], "", 0, 1)</f>
        <v>14</v>
      </c>
      <c r="O21" s="735"/>
      <c r="P21" s="736"/>
    </row>
    <row r="22" spans="2:16" ht="20.149999999999999" customHeight="1" x14ac:dyDescent="0.35">
      <c r="B22" s="729" cm="1">
        <f t="array" ref="B22">_xlfn.XLOOKUP(Table16[[#This Row],[Name]], Table9[[#All],[Name]], Table9[[#All],[SN]],"Not Found",0,1)</f>
        <v>9</v>
      </c>
      <c r="C22" s="742" t="s">
        <v>140</v>
      </c>
      <c r="D22" s="729" t="str">
        <f>_xlfn.XLOOKUP(Table16[[#This Row],[SN]], Table9[SN], Table9[Division], "", 0, 1)</f>
        <v>Chattogram</v>
      </c>
      <c r="E22" s="729" t="str">
        <f>_xlfn.XLOOKUP(Table16[[#This Row],[SN]], Table9[SN], Table9[District], "", 0, 1)</f>
        <v>Chandpur</v>
      </c>
      <c r="F22" s="729" t="str">
        <f>_xlfn.XLOOKUP(Table16[[#This Row],[SN]], Table9[SN], Table9[Upazila], "", 0, 1)</f>
        <v>Haimchar</v>
      </c>
      <c r="G22" s="729" t="str">
        <f>_xlfn.XLOOKUP(Table16[[#This Row],[SN]], Table9[SN], Table9[Type], "", 0, 1)</f>
        <v>Government</v>
      </c>
      <c r="H22" s="618">
        <f>_xlfn.XLOOKUP(Table16[[#This Row],[SN]], Table9[SN], Table9[Land Size (Acres)
(15%)], "", 0, 1)</f>
        <v>8005.01</v>
      </c>
      <c r="I22" s="687" t="str">
        <f>_xlfn.XLOOKUP(Table16[[#This Row],[SN]], Table9[SN], Table9[Land Availability (Grade)​
(50%)], "", 0, 1)</f>
        <v>A Grade</v>
      </c>
      <c r="J22" s="729" t="str">
        <f>_xlfn.XLOOKUP(Table16[[#This Row],[SN]], Table9[SN], Table9[Zone Priority
(40%)], "", 0, 1)</f>
        <v>Priority 1</v>
      </c>
      <c r="K22" s="737">
        <f>_xlfn.XLOOKUP(Table16[[#This Row],[SN]], Table9[SN], Table9[Level 1 Score], "", 0, 1)</f>
        <v>1.4</v>
      </c>
      <c r="L22" s="757">
        <f>_xlfn.XLOOKUP(Table16[[#This Row],[SN]], Table9[SN], Table9[Level 1 Score Rank], "", 0, 1)</f>
        <v>9</v>
      </c>
      <c r="M22" s="759">
        <f>_xlfn.XLOOKUP(Table16[[#This Row],[SN]], Table9[SN], Table9[Total Score], "", 0, 1)</f>
        <v>2.7779999999999996</v>
      </c>
      <c r="N22" s="755">
        <f>_xlfn.XLOOKUP(Table16[[#This Row],[SN]], Table9[SN], Table9[Total Score Rank], "", 0, 1)</f>
        <v>15</v>
      </c>
      <c r="O22" s="736" t="s">
        <v>417</v>
      </c>
      <c r="P22" s="736" t="s">
        <v>417</v>
      </c>
    </row>
    <row r="23" spans="2:16" ht="20.149999999999999" customHeight="1" x14ac:dyDescent="0.35">
      <c r="B23" s="616" cm="1">
        <f t="array" ref="B23">_xlfn.XLOOKUP(Table16[[#This Row],[Name]], Table9[[#All],[Name]], Table9[[#All],[SN]],"Not Found",0,1)</f>
        <v>33</v>
      </c>
      <c r="C23" s="739" t="s">
        <v>30</v>
      </c>
      <c r="D23" s="616" t="str">
        <f>_xlfn.XLOOKUP(Table16[[#This Row],[SN]], Table9[SN], Table9[Division], "", 0, 1)</f>
        <v>Chattogram</v>
      </c>
      <c r="E23" s="616" t="str">
        <f>_xlfn.XLOOKUP(Table16[[#This Row],[SN]], Table9[SN], Table9[District], "", 0, 1)</f>
        <v>Cox’s Bazar</v>
      </c>
      <c r="F23" s="616" t="str">
        <f>_xlfn.XLOOKUP(Table16[[#This Row],[SN]], Table9[SN], Table9[Upazila], "", 0, 1)</f>
        <v>Moheshkhali</v>
      </c>
      <c r="G23" s="616" t="str">
        <f>_xlfn.XLOOKUP(Table16[[#This Row],[SN]], Table9[SN], Table9[Type], "", 0, 1)</f>
        <v>Government</v>
      </c>
      <c r="H23" s="618">
        <f>_xlfn.XLOOKUP(Table16[[#This Row],[SN]], Table9[SN], Table9[Land Size (Acres)
(15%)], "", 0, 1)</f>
        <v>1000</v>
      </c>
      <c r="I23" s="616" t="str">
        <f>_xlfn.XLOOKUP(Table16[[#This Row],[SN]], Table9[SN], Table9[Land Availability (Grade)​
(50%)], "", 0, 1)</f>
        <v>C Grade</v>
      </c>
      <c r="J23" s="616" t="str">
        <f>_xlfn.XLOOKUP(Table16[[#This Row],[SN]], Table9[SN], Table9[Zone Priority
(40%)], "", 0, 1)</f>
        <v>Priority 1</v>
      </c>
      <c r="K23" s="618">
        <f>_xlfn.XLOOKUP(Table16[[#This Row],[SN]], Table9[SN], Table9[Level 1 Score], "", 0, 1)</f>
        <v>1.1099999999999999</v>
      </c>
      <c r="L23" s="757">
        <f>_xlfn.XLOOKUP(Table16[[#This Row],[SN]], Table9[SN], Table9[Level 1 Score Rank], "", 0, 1)</f>
        <v>19</v>
      </c>
      <c r="M23" s="618">
        <f>_xlfn.XLOOKUP(Table16[[#This Row],[SN]], Table9[SN], Table9[Total Score], "", 0, 1)</f>
        <v>2.762</v>
      </c>
      <c r="N23" s="749">
        <f>_xlfn.XLOOKUP(Table16[[#This Row],[SN]], Table9[SN], Table9[Total Score Rank], "", 0, 1)</f>
        <v>16</v>
      </c>
      <c r="O23" s="735" t="s">
        <v>417</v>
      </c>
      <c r="P23" s="736"/>
    </row>
    <row r="24" spans="2:16" ht="20.149999999999999" customHeight="1" x14ac:dyDescent="0.35">
      <c r="B24" s="616" cm="1">
        <f t="array" ref="B24">_xlfn.XLOOKUP(Table16[[#This Row],[Name]], Table9[[#All],[Name]], Table9[[#All],[SN]],"Not Found",0,1)</f>
        <v>37</v>
      </c>
      <c r="C24" s="617" t="s">
        <v>28</v>
      </c>
      <c r="D24" s="616" t="str">
        <f>_xlfn.XLOOKUP(Table16[[#This Row],[SN]], Table9[SN], Table9[Division], "", 0, 1)</f>
        <v>Chattogram</v>
      </c>
      <c r="E24" s="616" t="str">
        <f>_xlfn.XLOOKUP(Table16[[#This Row],[SN]], Table9[SN], Table9[District], "", 0, 1)</f>
        <v>Cox’s Bazar</v>
      </c>
      <c r="F24" s="616" t="str">
        <f>_xlfn.XLOOKUP(Table16[[#This Row],[SN]], Table9[SN], Table9[Upazila], "", 0, 1)</f>
        <v>Teknaf</v>
      </c>
      <c r="G24" s="616" t="str">
        <f>_xlfn.XLOOKUP(Table16[[#This Row],[SN]], Table9[SN], Table9[Type], "", 0, 1)</f>
        <v>Government</v>
      </c>
      <c r="H24" s="618">
        <f>_xlfn.XLOOKUP(Table16[[#This Row],[SN]], Table9[SN], Table9[Land Size (Acres)
(15%)], "", 0, 1)</f>
        <v>293.05</v>
      </c>
      <c r="I24" s="616" t="str">
        <f>_xlfn.XLOOKUP(Table16[[#This Row],[SN]], Table9[SN], Table9[Land Availability (Grade)​
(50%)], "", 0, 1)</f>
        <v>A Grade</v>
      </c>
      <c r="J24" s="616" t="str">
        <f>_xlfn.XLOOKUP(Table16[[#This Row],[SN]], Table9[SN], Table9[Zone Priority
(40%)], "", 0, 1)</f>
        <v>Priority 1</v>
      </c>
      <c r="K24" s="618">
        <f>_xlfn.XLOOKUP(Table16[[#This Row],[SN]], Table9[SN], Table9[Level 1 Score], "", 0, 1)</f>
        <v>1.39</v>
      </c>
      <c r="L24" s="757">
        <f>_xlfn.XLOOKUP(Table16[[#This Row],[SN]], Table9[SN], Table9[Level 1 Score Rank], "", 0, 1)</f>
        <v>10</v>
      </c>
      <c r="M24" s="618">
        <f>_xlfn.XLOOKUP(Table16[[#This Row],[SN]], Table9[SN], Table9[Total Score], "", 0, 1)</f>
        <v>2.738</v>
      </c>
      <c r="N24" s="755">
        <f>_xlfn.XLOOKUP(Table16[[#This Row],[SN]], Table9[SN], Table9[Total Score Rank], "", 0, 1)</f>
        <v>17</v>
      </c>
      <c r="O24" s="735" t="s">
        <v>417</v>
      </c>
      <c r="P24" s="735" t="s">
        <v>417</v>
      </c>
    </row>
    <row r="25" spans="2:16" ht="20.149999999999999" customHeight="1" x14ac:dyDescent="0.35">
      <c r="B25" s="616" cm="1">
        <f t="array" ref="B25">_xlfn.XLOOKUP(Table16[[#This Row],[Name]], Table9[[#All],[Name]], Table9[[#All],[SN]],"Not Found",0,1)</f>
        <v>3</v>
      </c>
      <c r="C25" s="739" t="s">
        <v>42</v>
      </c>
      <c r="D25" s="616" t="str">
        <f>_xlfn.XLOOKUP(Table16[[#This Row],[SN]], Table9[SN], Table9[Division], "", 0, 1)</f>
        <v>Chattogram</v>
      </c>
      <c r="E25" s="616" t="str">
        <f>_xlfn.XLOOKUP(Table16[[#This Row],[SN]], Table9[SN], Table9[District], "", 0, 1)</f>
        <v>Chattogram</v>
      </c>
      <c r="F25" s="616" t="str">
        <f>_xlfn.XLOOKUP(Table16[[#This Row],[SN]], Table9[SN], Table9[Upazila], "", 0, 1)</f>
        <v>Anowara</v>
      </c>
      <c r="G25" s="616" t="str">
        <f>_xlfn.XLOOKUP(Table16[[#This Row],[SN]], Table9[SN], Table9[Type], "", 0, 1)</f>
        <v>Government</v>
      </c>
      <c r="H25" s="618">
        <f>_xlfn.XLOOKUP(Table16[[#This Row],[SN]], Table9[SN], Table9[Land Size (Acres)
(15%)], "", 0, 1)</f>
        <v>634.9</v>
      </c>
      <c r="I25" s="616" t="str">
        <f>_xlfn.XLOOKUP(Table16[[#This Row],[SN]], Table9[SN], Table9[Land Availability (Grade)​
(50%)], "", 0, 1)</f>
        <v>C Grade</v>
      </c>
      <c r="J25" s="616" t="str">
        <f>_xlfn.XLOOKUP(Table16[[#This Row],[SN]], Table9[SN], Table9[Zone Priority
(40%)], "", 0, 1)</f>
        <v>Priority 3</v>
      </c>
      <c r="K25" s="618">
        <f>_xlfn.XLOOKUP(Table16[[#This Row],[SN]], Table9[SN], Table9[Level 1 Score], "", 0, 1)</f>
        <v>1.02</v>
      </c>
      <c r="L25" s="757">
        <f>_xlfn.XLOOKUP(Table16[[#This Row],[SN]], Table9[SN], Table9[Level 1 Score Rank], "", 0, 1)</f>
        <v>23</v>
      </c>
      <c r="M25" s="618">
        <f>_xlfn.XLOOKUP(Table16[[#This Row],[SN]], Table9[SN], Table9[Total Score], "", 0, 1)</f>
        <v>2.68</v>
      </c>
      <c r="N25" s="749">
        <f>_xlfn.XLOOKUP(Table16[[#This Row],[SN]], Table9[SN], Table9[Total Score Rank], "", 0, 1)</f>
        <v>18</v>
      </c>
      <c r="O25" s="735"/>
    </row>
    <row r="26" spans="2:16" ht="20.149999999999999" customHeight="1" x14ac:dyDescent="0.35">
      <c r="B26" s="616" cm="1">
        <f t="array" ref="B26">_xlfn.XLOOKUP(Table16[[#This Row],[Name]], Table9[[#All],[Name]], Table9[[#All],[SN]],"Not Found",0,1)</f>
        <v>8</v>
      </c>
      <c r="C26" s="617" t="s">
        <v>31</v>
      </c>
      <c r="D26" s="616" t="str">
        <f>_xlfn.XLOOKUP(Table16[[#This Row],[SN]], Table9[SN], Table9[Division], "", 0, 1)</f>
        <v>Chattogram</v>
      </c>
      <c r="E26" s="616" t="str">
        <f>_xlfn.XLOOKUP(Table16[[#This Row],[SN]], Table9[SN], Table9[District], "", 0, 1)</f>
        <v>Chandpur</v>
      </c>
      <c r="F26" s="616" t="str">
        <f>_xlfn.XLOOKUP(Table16[[#This Row],[SN]], Table9[SN], Table9[Upazila], "", 0, 1)</f>
        <v>Matlab Uttar</v>
      </c>
      <c r="G26" s="616" t="str">
        <f>_xlfn.XLOOKUP(Table16[[#This Row],[SN]], Table9[SN], Table9[Type], "", 0, 1)</f>
        <v>Government</v>
      </c>
      <c r="H26" s="618">
        <f>_xlfn.XLOOKUP(Table16[[#This Row],[SN]], Table9[SN], Table9[Land Size (Acres)
(15%)], "", 0, 1)</f>
        <v>3037.85</v>
      </c>
      <c r="I26" s="616" t="str">
        <f>_xlfn.XLOOKUP(Table16[[#This Row],[SN]], Table9[SN], Table9[Land Availability (Grade)​
(50%)], "", 0, 1)</f>
        <v>A Grade</v>
      </c>
      <c r="J26" s="616" t="str">
        <f>_xlfn.XLOOKUP(Table16[[#This Row],[SN]], Table9[SN], Table9[Zone Priority
(40%)], "", 0, 1)</f>
        <v>Priority 1</v>
      </c>
      <c r="K26" s="618">
        <f>_xlfn.XLOOKUP(Table16[[#This Row],[SN]], Table9[SN], Table9[Level 1 Score], "", 0, 1)</f>
        <v>1.2000000000000002</v>
      </c>
      <c r="L26" s="757">
        <f>_xlfn.XLOOKUP(Table16[[#This Row],[SN]], Table9[SN], Table9[Level 1 Score Rank], "", 0, 1)</f>
        <v>16</v>
      </c>
      <c r="M26" s="618">
        <f>_xlfn.XLOOKUP(Table16[[#This Row],[SN]], Table9[SN], Table9[Total Score], "", 0, 1)</f>
        <v>2.5920000000000001</v>
      </c>
      <c r="N26" s="616">
        <f>_xlfn.XLOOKUP(Table16[[#This Row],[SN]], Table9[SN], Table9[Total Score Rank], "", 0, 1)</f>
        <v>19</v>
      </c>
      <c r="O26" s="735" t="s">
        <v>417</v>
      </c>
      <c r="P26" s="735" t="s">
        <v>417</v>
      </c>
    </row>
    <row r="27" spans="2:16" ht="20.149999999999999" customHeight="1" x14ac:dyDescent="0.35">
      <c r="B27" s="620" cm="1">
        <f t="array" ref="B27">_xlfn.XLOOKUP(Table16[[#This Row],[Name]], Table9[[#All],[Name]], Table9[[#All],[SN]],"Not Found",0,1)</f>
        <v>47</v>
      </c>
      <c r="C27" s="621" t="s">
        <v>235</v>
      </c>
      <c r="D27" s="616" t="str">
        <f>_xlfn.XLOOKUP(Table16[[#This Row],[SN]], Table9[SN], Table9[Division], "", 0, 1)</f>
        <v>Rajshahi</v>
      </c>
      <c r="E27" s="616" t="str">
        <f>_xlfn.XLOOKUP(Table16[[#This Row],[SN]], Table9[SN], Table9[District], "", 0, 1)</f>
        <v>Pabna</v>
      </c>
      <c r="F27" s="616" t="str">
        <f>_xlfn.XLOOKUP(Table16[[#This Row],[SN]], Table9[SN], Table9[Upazila], "", 0, 1)</f>
        <v>Bera</v>
      </c>
      <c r="G27" s="616" t="str">
        <f>_xlfn.XLOOKUP(Table16[[#This Row],[SN]], Table9[SN], Table9[Type], "", 0, 1)</f>
        <v>Government</v>
      </c>
      <c r="H27" s="618">
        <f>_xlfn.XLOOKUP(Table16[[#This Row],[SN]], Table9[SN], Table9[Land Size (Acres)
(15%)], "", 0, 1)</f>
        <v>405.84</v>
      </c>
      <c r="I27" s="616" t="str">
        <f>_xlfn.XLOOKUP(Table16[[#This Row],[SN]], Table9[SN], Table9[Land Availability (Grade)​
(50%)], "", 0, 1)</f>
        <v>C Grade</v>
      </c>
      <c r="J27" s="616" t="str">
        <f>_xlfn.XLOOKUP(Table16[[#This Row],[SN]], Table9[SN], Table9[Zone Priority
(40%)], "", 0, 1)</f>
        <v>Priority 3</v>
      </c>
      <c r="K27" s="622">
        <f>_xlfn.XLOOKUP(Table16[[#This Row],[SN]], Table9[SN], Table9[Level 1 Score], "", 0, 1)</f>
        <v>0.94000000000000006</v>
      </c>
      <c r="L27" s="757">
        <f>_xlfn.XLOOKUP(Table16[[#This Row],[SN]], Table9[SN], Table9[Level 1 Score Rank], "", 0, 1)</f>
        <v>26</v>
      </c>
      <c r="M27" s="618">
        <f>_xlfn.XLOOKUP(Table16[[#This Row],[SN]], Table9[SN], Table9[Total Score], "", 0, 1)</f>
        <v>2.532</v>
      </c>
      <c r="N27" s="749">
        <f>_xlfn.XLOOKUP(Table16[[#This Row],[SN]], Table9[SN], Table9[Total Score Rank], "", 0, 1)</f>
        <v>20</v>
      </c>
      <c r="O27" s="735"/>
      <c r="P27" s="736"/>
    </row>
    <row r="28" spans="2:16" ht="20.149999999999999" customHeight="1" x14ac:dyDescent="0.35">
      <c r="B28" s="616" cm="1">
        <f t="array" ref="B28">_xlfn.XLOOKUP(Table16[[#This Row],[Name]], Table9[[#All],[Name]], Table9[[#All],[SN]],"Not Found",0,1)</f>
        <v>1</v>
      </c>
      <c r="C28" s="739" t="s">
        <v>53</v>
      </c>
      <c r="D28" s="616" t="str">
        <f>_xlfn.XLOOKUP(Table16[[#This Row],[SN]], Table9[SN], Table9[Division], "", 0, 1)</f>
        <v>Barishal</v>
      </c>
      <c r="E28" s="616" t="str">
        <f>_xlfn.XLOOKUP(Table16[[#This Row],[SN]], Table9[SN], Table9[District], "", 0, 1)</f>
        <v>Barishal</v>
      </c>
      <c r="F28" s="616" t="str">
        <f>_xlfn.XLOOKUP(Table16[[#This Row],[SN]], Table9[SN], Table9[Upazila], "", 0, 1)</f>
        <v>Agoiljhara</v>
      </c>
      <c r="G28" s="616" t="str">
        <f>_xlfn.XLOOKUP(Table16[[#This Row],[SN]], Table9[SN], Table9[Type], "", 0, 1)</f>
        <v>Government</v>
      </c>
      <c r="H28" s="618">
        <f>_xlfn.XLOOKUP(Table16[[#This Row],[SN]], Table9[SN], Table9[Land Size (Acres)
(15%)], "", 0, 1)</f>
        <v>300</v>
      </c>
      <c r="I28" s="616" t="str">
        <f>_xlfn.XLOOKUP(Table16[[#This Row],[SN]], Table9[SN], Table9[Land Availability (Grade)​
(50%)], "", 0, 1)</f>
        <v>C Grade</v>
      </c>
      <c r="J28" s="616" t="str">
        <f>_xlfn.XLOOKUP(Table16[[#This Row],[SN]], Table9[SN], Table9[Zone Priority
(40%)], "", 0, 1)</f>
        <v>Priority 3</v>
      </c>
      <c r="K28" s="618">
        <f>_xlfn.XLOOKUP(Table16[[#This Row],[SN]], Table9[SN], Table9[Level 1 Score], "", 0, 1)</f>
        <v>0.96</v>
      </c>
      <c r="L28" s="757">
        <f>_xlfn.XLOOKUP(Table16[[#This Row],[SN]], Table9[SN], Table9[Level 1 Score Rank], "", 0, 1)</f>
        <v>25</v>
      </c>
      <c r="M28" s="618">
        <f>_xlfn.XLOOKUP(Table16[[#This Row],[SN]], Table9[SN], Table9[Total Score], "", 0, 1)</f>
        <v>2.5040000000000004</v>
      </c>
      <c r="N28" s="749">
        <f>_xlfn.XLOOKUP(Table16[[#This Row],[SN]], Table9[SN], Table9[Total Score Rank], "", 0, 1)</f>
        <v>21</v>
      </c>
      <c r="O28" s="735"/>
      <c r="P28" s="736"/>
    </row>
    <row r="29" spans="2:16" ht="20.149999999999999" customHeight="1" x14ac:dyDescent="0.35">
      <c r="B29" s="616" cm="1">
        <f t="array" ref="B29">_xlfn.XLOOKUP(Table16[[#This Row],[Name]], Table9[[#All],[Name]], Table9[[#All],[SN]],"Not Found",0,1)</f>
        <v>34</v>
      </c>
      <c r="C29" s="617" t="s">
        <v>37</v>
      </c>
      <c r="D29" s="616" t="str">
        <f>_xlfn.XLOOKUP(Table16[[#This Row],[SN]], Table9[SN], Table9[Division], "", 0, 1)</f>
        <v>Khulna</v>
      </c>
      <c r="E29" s="616" t="str">
        <f>_xlfn.XLOOKUP(Table16[[#This Row],[SN]], Table9[SN], Table9[District], "", 0, 1)</f>
        <v>Bagerhat</v>
      </c>
      <c r="F29" s="616" t="str">
        <f>_xlfn.XLOOKUP(Table16[[#This Row],[SN]], Table9[SN], Table9[Upazila], "", 0, 1)</f>
        <v>Mongla</v>
      </c>
      <c r="G29" s="616" t="str">
        <f>_xlfn.XLOOKUP(Table16[[#This Row],[SN]], Table9[SN], Table9[Type], "", 0, 1)</f>
        <v>Government</v>
      </c>
      <c r="H29" s="618">
        <f>_xlfn.XLOOKUP(Table16[[#This Row],[SN]], Table9[SN], Table9[Land Size (Acres)
(15%)], "", 0, 1)</f>
        <v>205.22</v>
      </c>
      <c r="I29" s="616" t="str">
        <f>_xlfn.XLOOKUP(Table16[[#This Row],[SN]], Table9[SN], Table9[Land Availability (Grade)​
(50%)], "", 0, 1)</f>
        <v>A Grade</v>
      </c>
      <c r="J29" s="616" t="str">
        <f>_xlfn.XLOOKUP(Table16[[#This Row],[SN]], Table9[SN], Table9[Zone Priority
(40%)], "", 0, 1)</f>
        <v>Priority 1</v>
      </c>
      <c r="K29" s="618">
        <f>_xlfn.XLOOKUP(Table16[[#This Row],[SN]], Table9[SN], Table9[Level 1 Score], "", 0, 1)</f>
        <v>1.06</v>
      </c>
      <c r="L29" s="757">
        <f>_xlfn.XLOOKUP(Table16[[#This Row],[SN]], Table9[SN], Table9[Level 1 Score Rank], "", 0, 1)</f>
        <v>21</v>
      </c>
      <c r="M29" s="618">
        <f>_xlfn.XLOOKUP(Table16[[#This Row],[SN]], Table9[SN], Table9[Total Score], "", 0, 1)</f>
        <v>2.5040000000000004</v>
      </c>
      <c r="N29" s="616">
        <f>_xlfn.XLOOKUP(Table16[[#This Row],[SN]], Table9[SN], Table9[Total Score Rank], "", 0, 1)</f>
        <v>21</v>
      </c>
      <c r="O29" s="735"/>
    </row>
    <row r="30" spans="2:16" ht="13.5" x14ac:dyDescent="0.35">
      <c r="B30" s="616" cm="1">
        <f t="array" ref="B30">_xlfn.XLOOKUP(Table16[[#This Row],[Name]], Table9[[#All],[Name]], Table9[[#All],[SN]],"Not Found",0,1)</f>
        <v>63</v>
      </c>
      <c r="C30" s="617" t="s">
        <v>50</v>
      </c>
      <c r="D30" s="616" t="str">
        <f>_xlfn.XLOOKUP(Table16[[#This Row],[SN]], Table9[SN], Table9[Division], "", 0, 1)</f>
        <v>Sylhet</v>
      </c>
      <c r="E30" s="616" t="str">
        <f>_xlfn.XLOOKUP(Table16[[#This Row],[SN]], Table9[SN], Table9[District], "", 0, 1)</f>
        <v>Sylhet</v>
      </c>
      <c r="F30" s="616" t="str">
        <f>_xlfn.XLOOKUP(Table16[[#This Row],[SN]], Table9[SN], Table9[Upazila], "", 0, 1)</f>
        <v>Gowainghat</v>
      </c>
      <c r="G30" s="616" t="str">
        <f>_xlfn.XLOOKUP(Table16[[#This Row],[SN]], Table9[SN], Table9[Type], "", 0, 1)</f>
        <v>Government</v>
      </c>
      <c r="H30" s="618">
        <f>_xlfn.XLOOKUP(Table16[[#This Row],[SN]], Table9[SN], Table9[Land Size (Acres)
(15%)], "", 0, 1)</f>
        <v>255.86</v>
      </c>
      <c r="I30" s="616" t="str">
        <f>_xlfn.XLOOKUP(Table16[[#This Row],[SN]], Table9[SN], Table9[Land Availability (Grade)​
(50%)], "", 0, 1)</f>
        <v>B Grade</v>
      </c>
      <c r="J30" s="616" t="str">
        <f>_xlfn.XLOOKUP(Table16[[#This Row],[SN]], Table9[SN], Table9[Zone Priority
(40%)], "", 0, 1)</f>
        <v>Priority 2</v>
      </c>
      <c r="K30" s="618">
        <f>_xlfn.XLOOKUP(Table16[[#This Row],[SN]], Table9[SN], Table9[Level 1 Score], "", 0, 1)</f>
        <v>1.1499999999999999</v>
      </c>
      <c r="L30" s="757">
        <f>_xlfn.XLOOKUP(Table16[[#This Row],[SN]], Table9[SN], Table9[Level 1 Score Rank], "", 0, 1)</f>
        <v>18</v>
      </c>
      <c r="M30" s="618">
        <f>_xlfn.XLOOKUP(Table16[[#This Row],[SN]], Table9[SN], Table9[Total Score], "", 0, 1)</f>
        <v>2.4740000000000002</v>
      </c>
      <c r="N30" s="616">
        <f>_xlfn.XLOOKUP(Table16[[#This Row],[SN]], Table9[SN], Table9[Total Score Rank], "", 0, 1)</f>
        <v>23</v>
      </c>
      <c r="O30" s="735" t="s">
        <v>417</v>
      </c>
    </row>
    <row r="31" spans="2:16" ht="20.149999999999999" customHeight="1" x14ac:dyDescent="0.35">
      <c r="B31" s="616" cm="1">
        <f t="array" ref="B31">_xlfn.XLOOKUP(Table16[[#This Row],[Name]], Table9[[#All],[Name]], Table9[[#All],[SN]],"Not Found",0,1)</f>
        <v>7</v>
      </c>
      <c r="C31" s="617" t="s">
        <v>49</v>
      </c>
      <c r="D31" s="616" t="str">
        <f>_xlfn.XLOOKUP(Table16[[#This Row],[SN]], Table9[SN], Table9[Division], "", 0, 1)</f>
        <v>Rajshahi</v>
      </c>
      <c r="E31" s="616" t="str">
        <f>_xlfn.XLOOKUP(Table16[[#This Row],[SN]], Table9[SN], Table9[District], "", 0, 1)</f>
        <v>Bogura</v>
      </c>
      <c r="F31" s="616" t="str">
        <f>_xlfn.XLOOKUP(Table16[[#This Row],[SN]], Table9[SN], Table9[Upazila], "", 0, 1)</f>
        <v>Shahajahanpur</v>
      </c>
      <c r="G31" s="616" t="str">
        <f>_xlfn.XLOOKUP(Table16[[#This Row],[SN]], Table9[SN], Table9[Type], "", 0, 1)</f>
        <v>Government</v>
      </c>
      <c r="H31" s="618">
        <f>_xlfn.XLOOKUP(Table16[[#This Row],[SN]], Table9[SN], Table9[Land Size (Acres)
(15%)], "", 0, 1)</f>
        <v>251.43</v>
      </c>
      <c r="I31" s="616" t="str">
        <f>_xlfn.XLOOKUP(Table16[[#This Row],[SN]], Table9[SN], Table9[Land Availability (Grade)​
(50%)], "", 0, 1)</f>
        <v>C Grade</v>
      </c>
      <c r="J31" s="616" t="str">
        <f>_xlfn.XLOOKUP(Table16[[#This Row],[SN]], Table9[SN], Table9[Zone Priority
(40%)], "", 0, 1)</f>
        <v>Priority 1</v>
      </c>
      <c r="K31" s="618">
        <f>_xlfn.XLOOKUP(Table16[[#This Row],[SN]], Table9[SN], Table9[Level 1 Score], "", 0, 1)</f>
        <v>0.9900000000000001</v>
      </c>
      <c r="L31" s="757">
        <f>_xlfn.XLOOKUP(Table16[[#This Row],[SN]], Table9[SN], Table9[Level 1 Score Rank], "", 0, 1)</f>
        <v>24</v>
      </c>
      <c r="M31" s="618">
        <f>_xlfn.XLOOKUP(Table16[[#This Row],[SN]], Table9[SN], Table9[Total Score], "", 0, 1)</f>
        <v>2.4500000000000002</v>
      </c>
      <c r="N31" s="750">
        <f>_xlfn.XLOOKUP(Table16[[#This Row],[SN]], Table9[SN], Table9[Total Score Rank], "", 0, 1)</f>
        <v>24</v>
      </c>
      <c r="O31" s="735"/>
      <c r="P31" s="736" t="s">
        <v>417</v>
      </c>
    </row>
    <row r="32" spans="2:16" ht="20.149999999999999" customHeight="1" x14ac:dyDescent="0.35">
      <c r="B32" s="616" cm="1">
        <f t="array" ref="B32">_xlfn.XLOOKUP(Table16[[#This Row],[Name]], Table9[[#All],[Name]], Table9[[#All],[SN]],"Not Found",0,1)</f>
        <v>64</v>
      </c>
      <c r="C32" s="739" t="s">
        <v>41</v>
      </c>
      <c r="D32" s="616" t="str">
        <f>_xlfn.XLOOKUP(Table16[[#This Row],[SN]], Table9[SN], Table9[Division], "", 0, 1)</f>
        <v>Dhaka</v>
      </c>
      <c r="E32" s="616" t="str">
        <f>_xlfn.XLOOKUP(Table16[[#This Row],[SN]], Table9[SN], Table9[District], "", 0, 1)</f>
        <v>Tangail</v>
      </c>
      <c r="F32" s="616" t="str">
        <f>_xlfn.XLOOKUP(Table16[[#This Row],[SN]], Table9[SN], Table9[Upazila], "", 0, 1)</f>
        <v>Bhuapur</v>
      </c>
      <c r="G32" s="616" t="str">
        <f>_xlfn.XLOOKUP(Table16[[#This Row],[SN]], Table9[SN], Table9[Type], "", 0, 1)</f>
        <v>Government</v>
      </c>
      <c r="H32" s="618">
        <f>_xlfn.XLOOKUP(Table16[[#This Row],[SN]], Table9[SN], Table9[Land Size (Acres)
(15%)], "", 0, 1)</f>
        <v>1764.89</v>
      </c>
      <c r="I32" s="616" t="s">
        <v>444</v>
      </c>
      <c r="J32" s="616" t="str">
        <f>_xlfn.XLOOKUP(Table16[[#This Row],[SN]], Table9[SN], Table9[Zone Priority
(40%)], "", 0, 1)</f>
        <v>Priority 2</v>
      </c>
      <c r="K32" s="618">
        <f>_xlfn.XLOOKUP(Table16[[#This Row],[SN]], Table9[SN], Table9[Level 1 Score], "", 0, 1)</f>
        <v>0.8</v>
      </c>
      <c r="L32" s="757">
        <f>_xlfn.XLOOKUP(Table16[[#This Row],[SN]], Table9[SN], Table9[Level 1 Score Rank], "", 0, 1)</f>
        <v>33</v>
      </c>
      <c r="M32" s="618">
        <f>_xlfn.XLOOKUP(Table16[[#This Row],[SN]], Table9[SN], Table9[Total Score], "", 0, 1)</f>
        <v>2.3959999999999999</v>
      </c>
      <c r="N32" s="749">
        <f>_xlfn.XLOOKUP(Table16[[#This Row],[SN]], Table9[SN], Table9[Total Score Rank], "", 0, 1)</f>
        <v>25</v>
      </c>
      <c r="O32" s="735"/>
    </row>
    <row r="33" spans="2:16" ht="20.149999999999999" customHeight="1" x14ac:dyDescent="0.35">
      <c r="B33" s="616" cm="1">
        <f t="array" ref="B33">_xlfn.XLOOKUP(Table16[[#This Row],[Name]], Table9[[#All],[Name]], Table9[[#All],[SN]],"Not Found",0,1)</f>
        <v>18</v>
      </c>
      <c r="C33" s="739" t="s">
        <v>24</v>
      </c>
      <c r="D33" s="616" t="str">
        <f>_xlfn.XLOOKUP(Table16[[#This Row],[SN]], Table9[SN], Table9[Division], "", 0, 1)</f>
        <v>Dhaka</v>
      </c>
      <c r="E33" s="616" t="str">
        <f>_xlfn.XLOOKUP(Table16[[#This Row],[SN]], Table9[SN], Table9[District], "", 0, 1)</f>
        <v>Gopalganj</v>
      </c>
      <c r="F33" s="616" t="str">
        <f>_xlfn.XLOOKUP(Table16[[#This Row],[SN]], Table9[SN], Table9[Upazila], "", 0, 1)</f>
        <v>Kotalipara</v>
      </c>
      <c r="G33" s="616" t="str">
        <f>_xlfn.XLOOKUP(Table16[[#This Row],[SN]], Table9[SN], Table9[Type], "", 0, 1)</f>
        <v>Government</v>
      </c>
      <c r="H33" s="618">
        <f>_xlfn.XLOOKUP(Table16[[#This Row],[SN]], Table9[SN], Table9[Land Size (Acres)
(15%)], "", 0, 1)</f>
        <v>201.83</v>
      </c>
      <c r="I33" s="616" t="str">
        <f>_xlfn.XLOOKUP(Table16[[#This Row],[SN]], Table9[SN], Table9[Land Availability (Grade)​
(50%)], "", 0, 1)</f>
        <v>C Grade</v>
      </c>
      <c r="J33" s="616" t="str">
        <f>_xlfn.XLOOKUP(Table16[[#This Row],[SN]], Table9[SN], Table9[Zone Priority
(40%)], "", 0, 1)</f>
        <v>Priority 1</v>
      </c>
      <c r="K33" s="618">
        <f>_xlfn.XLOOKUP(Table16[[#This Row],[SN]], Table9[SN], Table9[Level 1 Score], "", 0, 1)</f>
        <v>0.85</v>
      </c>
      <c r="L33" s="757">
        <f>_xlfn.XLOOKUP(Table16[[#This Row],[SN]], Table9[SN], Table9[Level 1 Score Rank], "", 0, 1)</f>
        <v>30</v>
      </c>
      <c r="M33" s="618">
        <f>_xlfn.XLOOKUP(Table16[[#This Row],[SN]], Table9[SN], Table9[Total Score], "", 0, 1)</f>
        <v>2.37</v>
      </c>
      <c r="N33" s="749">
        <f>_xlfn.XLOOKUP(Table16[[#This Row],[SN]], Table9[SN], Table9[Total Score Rank], "", 0, 1)</f>
        <v>26</v>
      </c>
      <c r="O33" s="735" t="s">
        <v>417</v>
      </c>
    </row>
    <row r="34" spans="2:16" ht="20.149999999999999" customHeight="1" x14ac:dyDescent="0.35">
      <c r="B34" s="616" cm="1">
        <f t="array" ref="B34">_xlfn.XLOOKUP(Table16[[#This Row],[Name]], Table9[[#All],[Name]], Table9[[#All],[SN]],"Not Found",0,1)</f>
        <v>12</v>
      </c>
      <c r="C34" s="739" t="s">
        <v>45</v>
      </c>
      <c r="D34" s="616" t="str">
        <f>_xlfn.XLOOKUP(Table16[[#This Row],[SN]], Table9[SN], Table9[Division], "", 0, 1)</f>
        <v>Dhaka</v>
      </c>
      <c r="E34" s="616" t="str">
        <f>_xlfn.XLOOKUP(Table16[[#This Row],[SN]], Table9[SN], Table9[District], "", 0, 1)</f>
        <v>Dhaka</v>
      </c>
      <c r="F34" s="616" t="str">
        <f>_xlfn.XLOOKUP(Table16[[#This Row],[SN]], Table9[SN], Table9[Upazila], "", 0, 1)</f>
        <v>Dohar</v>
      </c>
      <c r="G34" s="616" t="str">
        <f>_xlfn.XLOOKUP(Table16[[#This Row],[SN]], Table9[SN], Table9[Type], "", 0, 1)</f>
        <v>Government</v>
      </c>
      <c r="H34" s="618">
        <f>_xlfn.XLOOKUP(Table16[[#This Row],[SN]], Table9[SN], Table9[Land Size (Acres)
(15%)], "", 0, 1)</f>
        <v>316.35000000000002</v>
      </c>
      <c r="I34" s="616" t="str">
        <f>_xlfn.XLOOKUP(Table16[[#This Row],[SN]], Table9[SN], Table9[Land Availability (Grade)​
(50%)], "", 0, 1)</f>
        <v>C Grade</v>
      </c>
      <c r="J34" s="616" t="str">
        <f>_xlfn.XLOOKUP(Table16[[#This Row],[SN]], Table9[SN], Table9[Zone Priority
(40%)], "", 0, 1)</f>
        <v>Priority 3</v>
      </c>
      <c r="K34" s="618">
        <f>_xlfn.XLOOKUP(Table16[[#This Row],[SN]], Table9[SN], Table9[Level 1 Score], "", 0, 1)</f>
        <v>0.74</v>
      </c>
      <c r="L34" s="757">
        <f>_xlfn.XLOOKUP(Table16[[#This Row],[SN]], Table9[SN], Table9[Level 1 Score Rank], "", 0, 1)</f>
        <v>37</v>
      </c>
      <c r="M34" s="618">
        <f>_xlfn.XLOOKUP(Table16[[#This Row],[SN]], Table9[SN], Table9[Total Score], "", 0, 1)</f>
        <v>2.3460000000000001</v>
      </c>
      <c r="N34" s="749">
        <f>_xlfn.XLOOKUP(Table16[[#This Row],[SN]], Table9[SN], Table9[Total Score Rank], "", 0, 1)</f>
        <v>27</v>
      </c>
      <c r="O34" s="735"/>
    </row>
    <row r="35" spans="2:16" ht="20.149999999999999" customHeight="1" x14ac:dyDescent="0.35">
      <c r="B35" s="616" cm="1">
        <f t="array" ref="B35">_xlfn.XLOOKUP(Table16[[#This Row],[Name]], Table9[[#All],[Name]], Table9[[#All],[SN]],"Not Found",0,1)</f>
        <v>26</v>
      </c>
      <c r="C35" s="617" t="s">
        <v>57</v>
      </c>
      <c r="D35" s="616" t="str">
        <f>_xlfn.XLOOKUP(Table16[[#This Row],[SN]], Table9[SN], Table9[Division], "", 0, 1)</f>
        <v>Dhaka</v>
      </c>
      <c r="E35" s="616" t="str">
        <f>_xlfn.XLOOKUP(Table16[[#This Row],[SN]], Table9[SN], Table9[District], "", 0, 1)</f>
        <v>Manikganj</v>
      </c>
      <c r="F35" s="616" t="str">
        <f>_xlfn.XLOOKUP(Table16[[#This Row],[SN]], Table9[SN], Table9[Upazila], "", 0, 1)</f>
        <v>Shibaloy</v>
      </c>
      <c r="G35" s="616" t="str">
        <f>_xlfn.XLOOKUP(Table16[[#This Row],[SN]], Table9[SN], Table9[Type], "", 0, 1)</f>
        <v>Government</v>
      </c>
      <c r="H35" s="618">
        <f>_xlfn.XLOOKUP(Table16[[#This Row],[SN]], Table9[SN], Table9[Land Size (Acres)
(15%)], "", 0, 1)</f>
        <v>320.37</v>
      </c>
      <c r="I35" s="616" t="str">
        <f>_xlfn.XLOOKUP(Table16[[#This Row],[SN]], Table9[SN], Table9[Land Availability (Grade)​
(50%)], "", 0, 1)</f>
        <v>C Grade</v>
      </c>
      <c r="J35" s="616" t="str">
        <f>_xlfn.XLOOKUP(Table16[[#This Row],[SN]], Table9[SN], Table9[Zone Priority
(40%)], "", 0, 1)</f>
        <v>Priority 3</v>
      </c>
      <c r="K35" s="618">
        <f>_xlfn.XLOOKUP(Table16[[#This Row],[SN]], Table9[SN], Table9[Level 1 Score], "", 0, 1)</f>
        <v>0.8</v>
      </c>
      <c r="L35" s="757">
        <f>_xlfn.XLOOKUP(Table16[[#This Row],[SN]], Table9[SN], Table9[Level 1 Score Rank], "", 0, 1)</f>
        <v>33</v>
      </c>
      <c r="M35" s="618">
        <f>_xlfn.XLOOKUP(Table16[[#This Row],[SN]], Table9[SN], Table9[Total Score], "", 0, 1)</f>
        <v>2.3200000000000003</v>
      </c>
      <c r="N35" s="749">
        <f>_xlfn.XLOOKUP(Table16[[#This Row],[SN]], Table9[SN], Table9[Total Score Rank], "", 0, 1)</f>
        <v>28</v>
      </c>
      <c r="O35" s="735"/>
    </row>
    <row r="36" spans="2:16" ht="20.149999999999999" customHeight="1" x14ac:dyDescent="0.35">
      <c r="B36" s="616" cm="1">
        <f t="array" ref="B36">_xlfn.XLOOKUP(Table16[[#This Row],[Name]], Table9[[#All],[Name]], Table9[[#All],[SN]],"Not Found",0,1)</f>
        <v>89</v>
      </c>
      <c r="C36" s="617" t="s">
        <v>32</v>
      </c>
      <c r="D36" s="616" t="str">
        <f>_xlfn.XLOOKUP(Table16[[#This Row],[SN]], Table9[SN], Table9[Division], "", 0, 1)</f>
        <v>Chattogram</v>
      </c>
      <c r="E36" s="616" t="str">
        <f>_xlfn.XLOOKUP(Table16[[#This Row],[SN]], Table9[SN], Table9[District], "", 0, 1)</f>
        <v>Chattogram</v>
      </c>
      <c r="F36" s="616" t="str">
        <f>_xlfn.XLOOKUP(Table16[[#This Row],[SN]], Table9[SN], Table9[Upazila], "", 0, 1)</f>
        <v>Anowara</v>
      </c>
      <c r="G36" s="616" t="str">
        <f>_xlfn.XLOOKUP(Table16[[#This Row],[SN]], Table9[SN], Table9[Type], "", 0, 1)</f>
        <v>Private</v>
      </c>
      <c r="H36" s="618">
        <f>_xlfn.XLOOKUP(Table16[[#This Row],[SN]], Table9[SN], Table9[Land Size (Acres)
(15%)], "", 0, 1)</f>
        <v>65.247799999999998</v>
      </c>
      <c r="I36" s="616" t="str">
        <f>_xlfn.XLOOKUP(Table16[[#This Row],[SN]], Table9[SN], Table9[Land Availability (Grade)​
(50%)], "", 0, 1)</f>
        <v>A Grade</v>
      </c>
      <c r="J36" s="616" t="str">
        <f>_xlfn.XLOOKUP(Table16[[#This Row],[SN]], Table9[SN], Table9[Zone Priority
(40%)], "", 0, 1)</f>
        <v>N/A</v>
      </c>
      <c r="K36" s="618">
        <f>_xlfn.XLOOKUP(Table16[[#This Row],[SN]], Table9[SN], Table9[Level 1 Score], "", 0, 1)</f>
        <v>0.7</v>
      </c>
      <c r="L36" s="757">
        <f>_xlfn.XLOOKUP(Table16[[#This Row],[SN]], Table9[SN], Table9[Level 1 Score Rank], "", 0, 1)</f>
        <v>41</v>
      </c>
      <c r="M36" s="618">
        <f>_xlfn.XLOOKUP(Table16[[#This Row],[SN]], Table9[SN], Table9[Total Score], "", 0, 1)</f>
        <v>2.3200000000000003</v>
      </c>
      <c r="N36" s="616">
        <f>_xlfn.XLOOKUP(Table16[[#This Row],[SN]], Table9[SN], Table9[Total Score Rank], "", 0, 1)</f>
        <v>28</v>
      </c>
      <c r="O36" s="735"/>
    </row>
    <row r="37" spans="2:16" ht="20.149999999999999" customHeight="1" x14ac:dyDescent="0.35">
      <c r="B37" s="616" cm="1">
        <f t="array" ref="B37">_xlfn.XLOOKUP(Table16[[#This Row],[Name]], Table9[[#All],[Name]], Table9[[#All],[SN]],"Not Found",0,1)</f>
        <v>75</v>
      </c>
      <c r="C37" s="617" t="s">
        <v>33</v>
      </c>
      <c r="D37" s="616" t="str">
        <f>_xlfn.XLOOKUP(Table16[[#This Row],[SN]], Table9[SN], Table9[Division], "", 0, 1)</f>
        <v>Dhaka</v>
      </c>
      <c r="E37" s="616" t="str">
        <f>_xlfn.XLOOKUP(Table16[[#This Row],[SN]], Table9[SN], Table9[District], "", 0, 1)</f>
        <v>Narayanganj</v>
      </c>
      <c r="F37" s="616" t="str">
        <f>_xlfn.XLOOKUP(Table16[[#This Row],[SN]], Table9[SN], Table9[Upazila], "", 0, 1)</f>
        <v>Sonargaon</v>
      </c>
      <c r="G37" s="616" t="str">
        <f>_xlfn.XLOOKUP(Table16[[#This Row],[SN]], Table9[SN], Table9[Type], "", 0, 1)</f>
        <v>Private</v>
      </c>
      <c r="H37" s="618">
        <f>_xlfn.XLOOKUP(Table16[[#This Row],[SN]], Table9[SN], Table9[Land Size (Acres)
(15%)], "", 0, 1)</f>
        <v>150</v>
      </c>
      <c r="I37" s="616" t="str">
        <f>_xlfn.XLOOKUP(Table16[[#This Row],[SN]], Table9[SN], Table9[Land Availability (Grade)​
(50%)], "", 0, 1)</f>
        <v>A Grade</v>
      </c>
      <c r="J37" s="616" t="str">
        <f>_xlfn.XLOOKUP(Table16[[#This Row],[SN]], Table9[SN], Table9[Zone Priority
(40%)], "", 0, 1)</f>
        <v>N/A</v>
      </c>
      <c r="K37" s="618">
        <f>_xlfn.XLOOKUP(Table16[[#This Row],[SN]], Table9[SN], Table9[Level 1 Score], "", 0, 1)</f>
        <v>0.76</v>
      </c>
      <c r="L37" s="757">
        <f>_xlfn.XLOOKUP(Table16[[#This Row],[SN]], Table9[SN], Table9[Level 1 Score Rank], "", 0, 1)</f>
        <v>36</v>
      </c>
      <c r="M37" s="618">
        <f>_xlfn.XLOOKUP(Table16[[#This Row],[SN]], Table9[SN], Table9[Total Score], "", 0, 1)</f>
        <v>2.3159999999999998</v>
      </c>
      <c r="N37" s="616">
        <f>_xlfn.XLOOKUP(Table16[[#This Row],[SN]], Table9[SN], Table9[Total Score Rank], "", 0, 1)</f>
        <v>30</v>
      </c>
      <c r="O37" s="735"/>
    </row>
    <row r="38" spans="2:16" ht="20.149999999999999" customHeight="1" x14ac:dyDescent="0.35">
      <c r="B38" s="616" cm="1">
        <f t="array" ref="B38">_xlfn.XLOOKUP(Table16[[#This Row],[Name]], Table9[[#All],[Name]], Table9[[#All],[SN]],"Not Found",0,1)</f>
        <v>85</v>
      </c>
      <c r="C38" s="617" t="s">
        <v>34</v>
      </c>
      <c r="D38" s="616" t="str">
        <f>_xlfn.XLOOKUP(Table16[[#This Row],[SN]], Table9[SN], Table9[Division], "", 0, 1)</f>
        <v>Dhaka</v>
      </c>
      <c r="E38" s="616" t="str">
        <f>_xlfn.XLOOKUP(Table16[[#This Row],[SN]], Table9[SN], Table9[District], "", 0, 1)</f>
        <v>Dhaka</v>
      </c>
      <c r="F38" s="616" t="str">
        <f>_xlfn.XLOOKUP(Table16[[#This Row],[SN]], Table9[SN], Table9[Upazila], "", 0, 1)</f>
        <v>Keraniganj</v>
      </c>
      <c r="G38" s="616" t="str">
        <f>_xlfn.XLOOKUP(Table16[[#This Row],[SN]], Table9[SN], Table9[Type], "", 0, 1)</f>
        <v>Private</v>
      </c>
      <c r="H38" s="618">
        <f>_xlfn.XLOOKUP(Table16[[#This Row],[SN]], Table9[SN], Table9[Land Size (Acres)
(15%)], "", 0, 1)</f>
        <v>53.872700000000002</v>
      </c>
      <c r="I38" s="616" t="str">
        <f>_xlfn.XLOOKUP(Table16[[#This Row],[SN]], Table9[SN], Table9[Land Availability (Grade)​
(50%)], "", 0, 1)</f>
        <v>A Grade</v>
      </c>
      <c r="J38" s="616" t="str">
        <f>_xlfn.XLOOKUP(Table16[[#This Row],[SN]], Table9[SN], Table9[Zone Priority
(40%)], "", 0, 1)</f>
        <v>N/A</v>
      </c>
      <c r="K38" s="618">
        <f>_xlfn.XLOOKUP(Table16[[#This Row],[SN]], Table9[SN], Table9[Level 1 Score], "", 0, 1)</f>
        <v>0.7</v>
      </c>
      <c r="L38" s="757">
        <f>_xlfn.XLOOKUP(Table16[[#This Row],[SN]], Table9[SN], Table9[Level 1 Score Rank], "", 0, 1)</f>
        <v>41</v>
      </c>
      <c r="M38" s="618">
        <f>_xlfn.XLOOKUP(Table16[[#This Row],[SN]], Table9[SN], Table9[Total Score], "", 0, 1)</f>
        <v>2.3159999999999998</v>
      </c>
      <c r="N38" s="616">
        <f>_xlfn.XLOOKUP(Table16[[#This Row],[SN]], Table9[SN], Table9[Total Score Rank], "", 0, 1)</f>
        <v>30</v>
      </c>
      <c r="O38" s="735"/>
    </row>
    <row r="39" spans="2:16" ht="20.149999999999999" customHeight="1" x14ac:dyDescent="0.35">
      <c r="B39" s="616" cm="1">
        <f t="array" ref="B39">_xlfn.XLOOKUP(Table16[[#This Row],[Name]], Table9[[#All],[Name]], Table9[[#All],[SN]],"Not Found",0,1)</f>
        <v>93</v>
      </c>
      <c r="C39" s="617" t="s">
        <v>35</v>
      </c>
      <c r="D39" s="616" t="str">
        <f>_xlfn.XLOOKUP(Table16[[#This Row],[SN]], Table9[SN], Table9[Division], "", 0, 1)</f>
        <v>Dhaka</v>
      </c>
      <c r="E39" s="616" t="str">
        <f>_xlfn.XLOOKUP(Table16[[#This Row],[SN]], Table9[SN], Table9[District], "", 0, 1)</f>
        <v>Narayanganj</v>
      </c>
      <c r="F39" s="616" t="str">
        <f>_xlfn.XLOOKUP(Table16[[#This Row],[SN]], Table9[SN], Table9[Upazila], "", 0, 1)</f>
        <v>Sonargaon</v>
      </c>
      <c r="G39" s="616" t="str">
        <f>_xlfn.XLOOKUP(Table16[[#This Row],[SN]], Table9[SN], Table9[Type], "", 0, 1)</f>
        <v>Private</v>
      </c>
      <c r="H39" s="618">
        <f>_xlfn.XLOOKUP(Table16[[#This Row],[SN]], Table9[SN], Table9[Land Size (Acres)
(15%)], "", 0, 1)</f>
        <v>80</v>
      </c>
      <c r="I39" s="616" t="str">
        <f>_xlfn.XLOOKUP(Table16[[#This Row],[SN]], Table9[SN], Table9[Land Availability (Grade)​
(50%)], "", 0, 1)</f>
        <v>A Grade</v>
      </c>
      <c r="J39" s="616" t="str">
        <f>_xlfn.XLOOKUP(Table16[[#This Row],[SN]], Table9[SN], Table9[Zone Priority
(40%)], "", 0, 1)</f>
        <v>N/A</v>
      </c>
      <c r="K39" s="618">
        <f>_xlfn.XLOOKUP(Table16[[#This Row],[SN]], Table9[SN], Table9[Level 1 Score], "", 0, 1)</f>
        <v>0.7</v>
      </c>
      <c r="L39" s="757">
        <f>_xlfn.XLOOKUP(Table16[[#This Row],[SN]], Table9[SN], Table9[Level 1 Score Rank], "", 0, 1)</f>
        <v>41</v>
      </c>
      <c r="M39" s="618">
        <f>_xlfn.XLOOKUP(Table16[[#This Row],[SN]], Table9[SN], Table9[Total Score], "", 0, 1)</f>
        <v>2.2880000000000003</v>
      </c>
      <c r="N39" s="616">
        <f>_xlfn.XLOOKUP(Table16[[#This Row],[SN]], Table9[SN], Table9[Total Score Rank], "", 0, 1)</f>
        <v>32</v>
      </c>
      <c r="O39" s="735"/>
    </row>
    <row r="40" spans="2:16" ht="20.149999999999999" customHeight="1" x14ac:dyDescent="0.35">
      <c r="B40" s="616" cm="1">
        <f t="array" ref="B40">_xlfn.XLOOKUP(Table16[[#This Row],[Name]], Table9[[#All],[Name]], Table9[[#All],[SN]],"Not Found",0,1)</f>
        <v>81</v>
      </c>
      <c r="C40" s="617" t="s">
        <v>38</v>
      </c>
      <c r="D40" s="616" t="str">
        <f>_xlfn.XLOOKUP(Table16[[#This Row],[SN]], Table9[SN], Table9[Division], "", 0, 1)</f>
        <v>Dhaka</v>
      </c>
      <c r="E40" s="616" t="str">
        <f>_xlfn.XLOOKUP(Table16[[#This Row],[SN]], Table9[SN], Table9[District], "", 0, 1)</f>
        <v>Narayanganj</v>
      </c>
      <c r="F40" s="616" t="str">
        <f>_xlfn.XLOOKUP(Table16[[#This Row],[SN]], Table9[SN], Table9[Upazila], "", 0, 1)</f>
        <v>Rupganj</v>
      </c>
      <c r="G40" s="616" t="str">
        <f>_xlfn.XLOOKUP(Table16[[#This Row],[SN]], Table9[SN], Table9[Type], "", 0, 1)</f>
        <v>Private</v>
      </c>
      <c r="H40" s="618">
        <f>_xlfn.XLOOKUP(Table16[[#This Row],[SN]], Table9[SN], Table9[Land Size (Acres)
(15%)], "", 0, 1)</f>
        <v>91.214100000000002</v>
      </c>
      <c r="I40" s="616" t="str">
        <f>_xlfn.XLOOKUP(Table16[[#This Row],[SN]], Table9[SN], Table9[Land Availability (Grade)​
(50%)], "", 0, 1)</f>
        <v>A Grade</v>
      </c>
      <c r="J40" s="616" t="str">
        <f>_xlfn.XLOOKUP(Table16[[#This Row],[SN]], Table9[SN], Table9[Zone Priority
(40%)], "", 0, 1)</f>
        <v>N/A</v>
      </c>
      <c r="K40" s="618">
        <f>_xlfn.XLOOKUP(Table16[[#This Row],[SN]], Table9[SN], Table9[Level 1 Score], "", 0, 1)</f>
        <v>0.7</v>
      </c>
      <c r="L40" s="757">
        <f>_xlfn.XLOOKUP(Table16[[#This Row],[SN]], Table9[SN], Table9[Level 1 Score Rank], "", 0, 1)</f>
        <v>41</v>
      </c>
      <c r="M40" s="618">
        <f>_xlfn.XLOOKUP(Table16[[#This Row],[SN]], Table9[SN], Table9[Total Score], "", 0, 1)</f>
        <v>2.2560000000000002</v>
      </c>
      <c r="N40" s="616">
        <f>_xlfn.XLOOKUP(Table16[[#This Row],[SN]], Table9[SN], Table9[Total Score Rank], "", 0, 1)</f>
        <v>33</v>
      </c>
      <c r="O40" s="735"/>
    </row>
    <row r="41" spans="2:16" ht="20.149999999999999" customHeight="1" x14ac:dyDescent="0.35">
      <c r="B41" s="616" cm="1">
        <f t="array" ref="B41">_xlfn.XLOOKUP(Table16[[#This Row],[Name]], Table9[[#All],[Name]], Table9[[#All],[SN]],"Not Found",0,1)</f>
        <v>92</v>
      </c>
      <c r="C41" s="617" t="s">
        <v>39</v>
      </c>
      <c r="D41" s="616" t="str">
        <f>_xlfn.XLOOKUP(Table16[[#This Row],[SN]], Table9[SN], Table9[Division], "", 0, 1)</f>
        <v>Dhaka</v>
      </c>
      <c r="E41" s="616" t="str">
        <f>_xlfn.XLOOKUP(Table16[[#This Row],[SN]], Table9[SN], Table9[District], "", 0, 1)</f>
        <v>Narayanganj</v>
      </c>
      <c r="F41" s="616" t="str">
        <f>_xlfn.XLOOKUP(Table16[[#This Row],[SN]], Table9[SN], Table9[Upazila], "", 0, 1)</f>
        <v>Sonargaon</v>
      </c>
      <c r="G41" s="616" t="str">
        <f>_xlfn.XLOOKUP(Table16[[#This Row],[SN]], Table9[SN], Table9[Type], "", 0, 1)</f>
        <v>Private</v>
      </c>
      <c r="H41" s="618">
        <f>_xlfn.XLOOKUP(Table16[[#This Row],[SN]], Table9[SN], Table9[Land Size (Acres)
(15%)], "", 0, 1)</f>
        <v>67.916300000000007</v>
      </c>
      <c r="I41" s="616" t="str">
        <f>_xlfn.XLOOKUP(Table16[[#This Row],[SN]], Table9[SN], Table9[Land Availability (Grade)​
(50%)], "", 0, 1)</f>
        <v>A Grade</v>
      </c>
      <c r="J41" s="616" t="str">
        <f>_xlfn.XLOOKUP(Table16[[#This Row],[SN]], Table9[SN], Table9[Zone Priority
(40%)], "", 0, 1)</f>
        <v>N/A</v>
      </c>
      <c r="K41" s="618">
        <f>_xlfn.XLOOKUP(Table16[[#This Row],[SN]], Table9[SN], Table9[Level 1 Score], "", 0, 1)</f>
        <v>0.7</v>
      </c>
      <c r="L41" s="757">
        <f>_xlfn.XLOOKUP(Table16[[#This Row],[SN]], Table9[SN], Table9[Level 1 Score Rank], "", 0, 1)</f>
        <v>41</v>
      </c>
      <c r="M41" s="618">
        <f>_xlfn.XLOOKUP(Table16[[#This Row],[SN]], Table9[SN], Table9[Total Score], "", 0, 1)</f>
        <v>2.2560000000000002</v>
      </c>
      <c r="N41" s="616">
        <f>_xlfn.XLOOKUP(Table16[[#This Row],[SN]], Table9[SN], Table9[Total Score Rank], "", 0, 1)</f>
        <v>33</v>
      </c>
      <c r="O41" s="735"/>
    </row>
    <row r="42" spans="2:16" ht="20.149999999999999" customHeight="1" x14ac:dyDescent="0.35">
      <c r="B42" s="616" cm="1">
        <f t="array" ref="B42">_xlfn.XLOOKUP(Table16[[#This Row],[Name]], Table9[[#All],[Name]], Table9[[#All],[SN]],"Not Found",0,1)</f>
        <v>83</v>
      </c>
      <c r="C42" s="617" t="s">
        <v>40</v>
      </c>
      <c r="D42" s="616" t="str">
        <f>_xlfn.XLOOKUP(Table16[[#This Row],[SN]], Table9[SN], Table9[Division], "", 0, 1)</f>
        <v>Chattogram</v>
      </c>
      <c r="E42" s="616" t="str">
        <f>_xlfn.XLOOKUP(Table16[[#This Row],[SN]], Table9[SN], Table9[District], "", 0, 1)</f>
        <v>Cumilla</v>
      </c>
      <c r="F42" s="616" t="str">
        <f>_xlfn.XLOOKUP(Table16[[#This Row],[SN]], Table9[SN], Table9[Upazila], "", 0, 1)</f>
        <v>Meghna</v>
      </c>
      <c r="G42" s="616" t="str">
        <f>_xlfn.XLOOKUP(Table16[[#This Row],[SN]], Table9[SN], Table9[Type], "", 0, 1)</f>
        <v>Private</v>
      </c>
      <c r="H42" s="618">
        <f>_xlfn.XLOOKUP(Table16[[#This Row],[SN]], Table9[SN], Table9[Land Size (Acres)
(15%)], "", 0, 1)</f>
        <v>272</v>
      </c>
      <c r="I42" s="616" t="str">
        <f>_xlfn.XLOOKUP(Table16[[#This Row],[SN]], Table9[SN], Table9[Land Availability (Grade)​
(50%)], "", 0, 1)</f>
        <v>A Grade</v>
      </c>
      <c r="J42" s="616" t="str">
        <f>_xlfn.XLOOKUP(Table16[[#This Row],[SN]], Table9[SN], Table9[Zone Priority
(40%)], "", 0, 1)</f>
        <v>N/A</v>
      </c>
      <c r="K42" s="618">
        <f>_xlfn.XLOOKUP(Table16[[#This Row],[SN]], Table9[SN], Table9[Level 1 Score], "", 0, 1)</f>
        <v>0.61</v>
      </c>
      <c r="L42" s="757">
        <f>_xlfn.XLOOKUP(Table16[[#This Row],[SN]], Table9[SN], Table9[Level 1 Score Rank], "", 0, 1)</f>
        <v>52</v>
      </c>
      <c r="M42" s="618">
        <f>_xlfn.XLOOKUP(Table16[[#This Row],[SN]], Table9[SN], Table9[Total Score], "", 0, 1)</f>
        <v>2.254</v>
      </c>
      <c r="N42" s="616">
        <f>_xlfn.XLOOKUP(Table16[[#This Row],[SN]], Table9[SN], Table9[Total Score Rank], "", 0, 1)</f>
        <v>35</v>
      </c>
      <c r="O42" s="735"/>
    </row>
    <row r="43" spans="2:16" ht="20.149999999999999" customHeight="1" x14ac:dyDescent="0.35">
      <c r="B43" s="616" cm="1">
        <f t="array" ref="B43">_xlfn.XLOOKUP(Table16[[#This Row],[Name]], Table9[[#All],[Name]], Table9[[#All],[SN]],"Not Found",0,1)</f>
        <v>43</v>
      </c>
      <c r="C43" s="617" t="s">
        <v>58</v>
      </c>
      <c r="D43" s="616" t="str">
        <f>_xlfn.XLOOKUP(Table16[[#This Row],[SN]], Table9[SN], Table9[Division], "", 0, 1)</f>
        <v>Mymensingh</v>
      </c>
      <c r="E43" s="616" t="str">
        <f>_xlfn.XLOOKUP(Table16[[#This Row],[SN]], Table9[SN], Table9[District], "", 0, 1)</f>
        <v>Netrakona</v>
      </c>
      <c r="F43" s="616" t="str">
        <f>_xlfn.XLOOKUP(Table16[[#This Row],[SN]], Table9[SN], Table9[Upazila], "", 0, 1)</f>
        <v>Netrakona Sadar</v>
      </c>
      <c r="G43" s="616" t="str">
        <f>_xlfn.XLOOKUP(Table16[[#This Row],[SN]], Table9[SN], Table9[Type], "", 0, 1)</f>
        <v>Government</v>
      </c>
      <c r="H43" s="618">
        <f>_xlfn.XLOOKUP(Table16[[#This Row],[SN]], Table9[SN], Table9[Land Size (Acres)
(15%)], "", 0, 1)</f>
        <v>500</v>
      </c>
      <c r="I43" s="616" t="str">
        <f>_xlfn.XLOOKUP(Table16[[#This Row],[SN]], Table9[SN], Table9[Land Availability (Grade)​
(50%)], "", 0, 1)</f>
        <v>C Grade</v>
      </c>
      <c r="J43" s="616" t="str">
        <f>_xlfn.XLOOKUP(Table16[[#This Row],[SN]], Table9[SN], Table9[Zone Priority
(40%)], "", 0, 1)</f>
        <v>Priority 2</v>
      </c>
      <c r="K43" s="618">
        <f>_xlfn.XLOOKUP(Table16[[#This Row],[SN]], Table9[SN], Table9[Level 1 Score], "", 0, 1)</f>
        <v>0.74</v>
      </c>
      <c r="L43" s="757">
        <f>_xlfn.XLOOKUP(Table16[[#This Row],[SN]], Table9[SN], Table9[Level 1 Score Rank], "", 0, 1)</f>
        <v>37</v>
      </c>
      <c r="M43" s="618">
        <f>_xlfn.XLOOKUP(Table16[[#This Row],[SN]], Table9[SN], Table9[Total Score], "", 0, 1)</f>
        <v>2.1959999999999997</v>
      </c>
      <c r="N43" s="616">
        <f>_xlfn.XLOOKUP(Table16[[#This Row],[SN]], Table9[SN], Table9[Total Score Rank], "", 0, 1)</f>
        <v>36</v>
      </c>
      <c r="O43" s="735"/>
    </row>
    <row r="44" spans="2:16" ht="20.149999999999999" customHeight="1" x14ac:dyDescent="0.35">
      <c r="B44" s="616" cm="1">
        <f t="array" ref="B44">_xlfn.XLOOKUP(Table16[[#This Row],[Name]], Table9[[#All],[Name]], Table9[[#All],[SN]],"Not Found",0,1)</f>
        <v>79</v>
      </c>
      <c r="C44" s="617" t="s">
        <v>44</v>
      </c>
      <c r="D44" s="616" t="str">
        <f>_xlfn.XLOOKUP(Table16[[#This Row],[SN]], Table9[SN], Table9[Division], "", 0, 1)</f>
        <v>Dhaka</v>
      </c>
      <c r="E44" s="616" t="str">
        <f>_xlfn.XLOOKUP(Table16[[#This Row],[SN]], Table9[SN], Table9[District], "", 0, 1)</f>
        <v>Gazipur</v>
      </c>
      <c r="F44" s="616" t="str">
        <f>_xlfn.XLOOKUP(Table16[[#This Row],[SN]], Table9[SN], Table9[Upazila], "", 0, 1)</f>
        <v>Konabari</v>
      </c>
      <c r="G44" s="616" t="str">
        <f>_xlfn.XLOOKUP(Table16[[#This Row],[SN]], Table9[SN], Table9[Type], "", 0, 1)</f>
        <v>Private</v>
      </c>
      <c r="H44" s="618">
        <f>_xlfn.XLOOKUP(Table16[[#This Row],[SN]], Table9[SN], Table9[Land Size (Acres)
(15%)], "", 0, 1)</f>
        <v>65</v>
      </c>
      <c r="I44" s="616" t="str">
        <f>_xlfn.XLOOKUP(Table16[[#This Row],[SN]], Table9[SN], Table9[Land Availability (Grade)​
(50%)], "", 0, 1)</f>
        <v>A Grade</v>
      </c>
      <c r="J44" s="616" t="str">
        <f>_xlfn.XLOOKUP(Table16[[#This Row],[SN]], Table9[SN], Table9[Zone Priority
(40%)], "", 0, 1)</f>
        <v>N/A</v>
      </c>
      <c r="K44" s="618">
        <f>_xlfn.XLOOKUP(Table16[[#This Row],[SN]], Table9[SN], Table9[Level 1 Score], "", 0, 1)</f>
        <v>0.7</v>
      </c>
      <c r="L44" s="757">
        <f>_xlfn.XLOOKUP(Table16[[#This Row],[SN]], Table9[SN], Table9[Level 1 Score Rank], "", 0, 1)</f>
        <v>41</v>
      </c>
      <c r="M44" s="618">
        <f>_xlfn.XLOOKUP(Table16[[#This Row],[SN]], Table9[SN], Table9[Total Score], "", 0, 1)</f>
        <v>2.1920000000000002</v>
      </c>
      <c r="N44" s="616">
        <f>_xlfn.XLOOKUP(Table16[[#This Row],[SN]], Table9[SN], Table9[Total Score Rank], "", 0, 1)</f>
        <v>37</v>
      </c>
      <c r="O44" s="735"/>
    </row>
    <row r="45" spans="2:16" ht="20.149999999999999" customHeight="1" x14ac:dyDescent="0.35">
      <c r="B45" s="616" cm="1">
        <f t="array" ref="B45">_xlfn.XLOOKUP(Table16[[#This Row],[Name]], Table9[[#All],[Name]], Table9[[#All],[SN]],"Not Found",0,1)</f>
        <v>48</v>
      </c>
      <c r="C45" s="617" t="s">
        <v>55</v>
      </c>
      <c r="D45" s="616" t="str">
        <f>_xlfn.XLOOKUP(Table16[[#This Row],[SN]], Table9[SN], Table9[Division], "", 0, 1)</f>
        <v>Rangpur</v>
      </c>
      <c r="E45" s="616" t="str">
        <f>_xlfn.XLOOKUP(Table16[[#This Row],[SN]], Table9[SN], Table9[District], "", 0, 1)</f>
        <v>Panchagarh</v>
      </c>
      <c r="F45" s="616" t="str">
        <f>_xlfn.XLOOKUP(Table16[[#This Row],[SN]], Table9[SN], Table9[Upazila], "", 0, 1)</f>
        <v>Debiganj</v>
      </c>
      <c r="G45" s="616" t="str">
        <f>_xlfn.XLOOKUP(Table16[[#This Row],[SN]], Table9[SN], Table9[Type], "", 0, 1)</f>
        <v>Government</v>
      </c>
      <c r="H45" s="618">
        <f>_xlfn.XLOOKUP(Table16[[#This Row],[SN]], Table9[SN], Table9[Land Size (Acres)
(15%)], "", 0, 1)</f>
        <v>602.41999999999996</v>
      </c>
      <c r="I45" s="616" t="str">
        <f>_xlfn.XLOOKUP(Table16[[#This Row],[SN]], Table9[SN], Table9[Land Availability (Grade)​
(50%)], "", 0, 1)</f>
        <v>B Grade</v>
      </c>
      <c r="J45" s="616" t="str">
        <f>_xlfn.XLOOKUP(Table16[[#This Row],[SN]], Table9[SN], Table9[Zone Priority
(40%)], "", 0, 1)</f>
        <v>Priority 1</v>
      </c>
      <c r="K45" s="618">
        <f>_xlfn.XLOOKUP(Table16[[#This Row],[SN]], Table9[SN], Table9[Level 1 Score], "", 0, 1)</f>
        <v>1.1000000000000001</v>
      </c>
      <c r="L45" s="757">
        <f>_xlfn.XLOOKUP(Table16[[#This Row],[SN]], Table9[SN], Table9[Level 1 Score Rank], "", 0, 1)</f>
        <v>20</v>
      </c>
      <c r="M45" s="618">
        <f>_xlfn.XLOOKUP(Table16[[#This Row],[SN]], Table9[SN], Table9[Total Score], "", 0, 1)</f>
        <v>2.1779999999999999</v>
      </c>
      <c r="N45" s="750">
        <f>_xlfn.XLOOKUP(Table16[[#This Row],[SN]], Table9[SN], Table9[Total Score Rank], "", 0, 1)</f>
        <v>38</v>
      </c>
      <c r="O45" s="735" t="s">
        <v>417</v>
      </c>
      <c r="P45" s="736" t="s">
        <v>417</v>
      </c>
    </row>
    <row r="46" spans="2:16" ht="20.149999999999999" customHeight="1" x14ac:dyDescent="0.35">
      <c r="B46" s="616" cm="1">
        <f t="array" ref="B46">_xlfn.XLOOKUP(Table16[[#This Row],[Name]], Table9[[#All],[Name]], Table9[[#All],[SN]],"Not Found",0,1)</f>
        <v>40</v>
      </c>
      <c r="C46" s="617" t="s">
        <v>60</v>
      </c>
      <c r="D46" s="616" t="str">
        <f>_xlfn.XLOOKUP(Table16[[#This Row],[SN]], Table9[SN], Table9[Division], "", 0, 1)</f>
        <v>Rajshahi</v>
      </c>
      <c r="E46" s="616" t="str">
        <f>_xlfn.XLOOKUP(Table16[[#This Row],[SN]], Table9[SN], Table9[District], "", 0, 1)</f>
        <v>Natore</v>
      </c>
      <c r="F46" s="616" t="str">
        <f>_xlfn.XLOOKUP(Table16[[#This Row],[SN]], Table9[SN], Table9[Upazila], "", 0, 1)</f>
        <v>Lalpur</v>
      </c>
      <c r="G46" s="616" t="str">
        <f>_xlfn.XLOOKUP(Table16[[#This Row],[SN]], Table9[SN], Table9[Type], "", 0, 1)</f>
        <v>Government</v>
      </c>
      <c r="H46" s="618">
        <f>_xlfn.XLOOKUP(Table16[[#This Row],[SN]], Table9[SN], Table9[Land Size (Acres)
(15%)], "", 0, 1)</f>
        <v>242.34</v>
      </c>
      <c r="I46" s="616" t="str">
        <f>_xlfn.XLOOKUP(Table16[[#This Row],[SN]], Table9[SN], Table9[Land Availability (Grade)​
(50%)], "", 0, 1)</f>
        <v>C Grade</v>
      </c>
      <c r="J46" s="616" t="str">
        <f>_xlfn.XLOOKUP(Table16[[#This Row],[SN]], Table9[SN], Table9[Zone Priority
(40%)], "", 0, 1)</f>
        <v>Priority 3</v>
      </c>
      <c r="K46" s="618">
        <f>_xlfn.XLOOKUP(Table16[[#This Row],[SN]], Table9[SN], Table9[Level 1 Score], "", 0, 1)</f>
        <v>0.89</v>
      </c>
      <c r="L46" s="757">
        <f>_xlfn.XLOOKUP(Table16[[#This Row],[SN]], Table9[SN], Table9[Level 1 Score Rank], "", 0, 1)</f>
        <v>28</v>
      </c>
      <c r="M46" s="618">
        <f>_xlfn.XLOOKUP(Table16[[#This Row],[SN]], Table9[SN], Table9[Total Score], "", 0, 1)</f>
        <v>2.1540000000000004</v>
      </c>
      <c r="N46" s="616">
        <f>_xlfn.XLOOKUP(Table16[[#This Row],[SN]], Table9[SN], Table9[Total Score Rank], "", 0, 1)</f>
        <v>39</v>
      </c>
      <c r="O46" s="735"/>
    </row>
    <row r="47" spans="2:16" ht="20.149999999999999" customHeight="1" x14ac:dyDescent="0.35">
      <c r="B47" s="616" cm="1">
        <f t="array" ref="B47">_xlfn.XLOOKUP(Table16[[#This Row],[Name]], Table9[[#All],[Name]], Table9[[#All],[SN]],"Not Found",0,1)</f>
        <v>87</v>
      </c>
      <c r="C47" s="617" t="s">
        <v>46</v>
      </c>
      <c r="D47" s="616" t="str">
        <f>_xlfn.XLOOKUP(Table16[[#This Row],[SN]], Table9[SN], Table9[Division], "", 0, 1)</f>
        <v>Mymensingh</v>
      </c>
      <c r="E47" s="616" t="str">
        <f>_xlfn.XLOOKUP(Table16[[#This Row],[SN]], Table9[SN], Table9[District], "", 0, 1)</f>
        <v>Mymensingh</v>
      </c>
      <c r="F47" s="616" t="str">
        <f>_xlfn.XLOOKUP(Table16[[#This Row],[SN]], Table9[SN], Table9[Upazila], "", 0, 1)</f>
        <v>Trishal</v>
      </c>
      <c r="G47" s="616" t="str">
        <f>_xlfn.XLOOKUP(Table16[[#This Row],[SN]], Table9[SN], Table9[Type], "", 0, 1)</f>
        <v>Private</v>
      </c>
      <c r="H47" s="618">
        <f>_xlfn.XLOOKUP(Table16[[#This Row],[SN]], Table9[SN], Table9[Land Size (Acres)
(15%)], "", 0, 1)</f>
        <v>153</v>
      </c>
      <c r="I47" s="616" t="str">
        <f>_xlfn.XLOOKUP(Table16[[#This Row],[SN]], Table9[SN], Table9[Land Availability (Grade)​
(50%)], "", 0, 1)</f>
        <v>B Grade</v>
      </c>
      <c r="J47" s="616" t="str">
        <f>_xlfn.XLOOKUP(Table16[[#This Row],[SN]], Table9[SN], Table9[Zone Priority
(40%)], "", 0, 1)</f>
        <v>N/A</v>
      </c>
      <c r="K47" s="618">
        <f>_xlfn.XLOOKUP(Table16[[#This Row],[SN]], Table9[SN], Table9[Level 1 Score], "", 0, 1)</f>
        <v>0.56000000000000005</v>
      </c>
      <c r="L47" s="757">
        <f>_xlfn.XLOOKUP(Table16[[#This Row],[SN]], Table9[SN], Table9[Level 1 Score Rank], "", 0, 1)</f>
        <v>54</v>
      </c>
      <c r="M47" s="618">
        <f>_xlfn.XLOOKUP(Table16[[#This Row],[SN]], Table9[SN], Table9[Total Score], "", 0, 1)</f>
        <v>2.1400000000000006</v>
      </c>
      <c r="N47" s="616">
        <f>_xlfn.XLOOKUP(Table16[[#This Row],[SN]], Table9[SN], Table9[Total Score Rank], "", 0, 1)</f>
        <v>40</v>
      </c>
      <c r="O47" s="735"/>
    </row>
    <row r="48" spans="2:16" ht="20.149999999999999" customHeight="1" x14ac:dyDescent="0.35">
      <c r="B48" s="616" cm="1">
        <f t="array" ref="B48">_xlfn.XLOOKUP(Table16[[#This Row],[Name]], Table9[[#All],[Name]], Table9[[#All],[SN]],"Not Found",0,1)</f>
        <v>90</v>
      </c>
      <c r="C48" s="617" t="s">
        <v>47</v>
      </c>
      <c r="D48" s="616" t="str">
        <f>_xlfn.XLOOKUP(Table16[[#This Row],[SN]], Table9[SN], Table9[Division], "", 0, 1)</f>
        <v>Chattogram</v>
      </c>
      <c r="E48" s="616" t="str">
        <f>_xlfn.XLOOKUP(Table16[[#This Row],[SN]], Table9[SN], Table9[District], "", 0, 1)</f>
        <v>Chattogram</v>
      </c>
      <c r="F48" s="616" t="str">
        <f>_xlfn.XLOOKUP(Table16[[#This Row],[SN]], Table9[SN], Table9[Upazila], "", 0, 1)</f>
        <v>Chandanaish</v>
      </c>
      <c r="G48" s="616" t="str">
        <f>_xlfn.XLOOKUP(Table16[[#This Row],[SN]], Table9[SN], Table9[Type], "", 0, 1)</f>
        <v>Private</v>
      </c>
      <c r="H48" s="618">
        <f>_xlfn.XLOOKUP(Table16[[#This Row],[SN]], Table9[SN], Table9[Land Size (Acres)
(15%)], "", 0, 1)</f>
        <v>130.62530000000001</v>
      </c>
      <c r="I48" s="616" t="str">
        <f>_xlfn.XLOOKUP(Table16[[#This Row],[SN]], Table9[SN], Table9[Land Availability (Grade)​
(50%)], "", 0, 1)</f>
        <v>B Grade</v>
      </c>
      <c r="J48" s="616" t="str">
        <f>_xlfn.XLOOKUP(Table16[[#This Row],[SN]], Table9[SN], Table9[Zone Priority
(40%)], "", 0, 1)</f>
        <v>N/A</v>
      </c>
      <c r="K48" s="618">
        <f>_xlfn.XLOOKUP(Table16[[#This Row],[SN]], Table9[SN], Table9[Level 1 Score], "", 0, 1)</f>
        <v>0.56000000000000005</v>
      </c>
      <c r="L48" s="757">
        <f>_xlfn.XLOOKUP(Table16[[#This Row],[SN]], Table9[SN], Table9[Level 1 Score Rank], "", 0, 1)</f>
        <v>54</v>
      </c>
      <c r="M48" s="618">
        <f>_xlfn.XLOOKUP(Table16[[#This Row],[SN]], Table9[SN], Table9[Total Score], "", 0, 1)</f>
        <v>2.1400000000000006</v>
      </c>
      <c r="N48" s="616">
        <f>_xlfn.XLOOKUP(Table16[[#This Row],[SN]], Table9[SN], Table9[Total Score Rank], "", 0, 1)</f>
        <v>40</v>
      </c>
      <c r="O48" s="735"/>
    </row>
    <row r="49" spans="2:15" ht="20.149999999999999" customHeight="1" x14ac:dyDescent="0.35">
      <c r="B49" s="616" cm="1">
        <f t="array" ref="B49">_xlfn.XLOOKUP(Table16[[#This Row],[Name]], Table9[[#All],[Name]], Table9[[#All],[SN]],"Not Found",0,1)</f>
        <v>82</v>
      </c>
      <c r="C49" s="617" t="s">
        <v>48</v>
      </c>
      <c r="D49" s="616" t="str">
        <f>_xlfn.XLOOKUP(Table16[[#This Row],[SN]], Table9[SN], Table9[Division], "", 0, 1)</f>
        <v>Dhaka</v>
      </c>
      <c r="E49" s="616" t="str">
        <f>_xlfn.XLOOKUP(Table16[[#This Row],[SN]], Table9[SN], Table9[District], "", 0, 1)</f>
        <v>Dhaka</v>
      </c>
      <c r="F49" s="616" t="str">
        <f>_xlfn.XLOOKUP(Table16[[#This Row],[SN]], Table9[SN], Table9[Upazila], "", 0, 1)</f>
        <v>Demra</v>
      </c>
      <c r="G49" s="616" t="str">
        <f>_xlfn.XLOOKUP(Table16[[#This Row],[SN]], Table9[SN], Table9[Type], "", 0, 1)</f>
        <v>Private</v>
      </c>
      <c r="H49" s="618">
        <f>_xlfn.XLOOKUP(Table16[[#This Row],[SN]], Table9[SN], Table9[Land Size (Acres)
(15%)], "", 0, 1)</f>
        <v>115.8685</v>
      </c>
      <c r="I49" s="616" t="str">
        <f>_xlfn.XLOOKUP(Table16[[#This Row],[SN]], Table9[SN], Table9[Land Availability (Grade)​
(50%)], "", 0, 1)</f>
        <v>B Grade</v>
      </c>
      <c r="J49" s="616" t="str">
        <f>_xlfn.XLOOKUP(Table16[[#This Row],[SN]], Table9[SN], Table9[Zone Priority
(40%)], "", 0, 1)</f>
        <v>N/A</v>
      </c>
      <c r="K49" s="618">
        <f>_xlfn.XLOOKUP(Table16[[#This Row],[SN]], Table9[SN], Table9[Level 1 Score], "", 0, 1)</f>
        <v>0.56000000000000005</v>
      </c>
      <c r="L49" s="757">
        <f>_xlfn.XLOOKUP(Table16[[#This Row],[SN]], Table9[SN], Table9[Level 1 Score Rank], "", 0, 1)</f>
        <v>54</v>
      </c>
      <c r="M49" s="618">
        <f>_xlfn.XLOOKUP(Table16[[#This Row],[SN]], Table9[SN], Table9[Total Score], "", 0, 1)</f>
        <v>2.1360000000000001</v>
      </c>
      <c r="N49" s="616">
        <f>_xlfn.XLOOKUP(Table16[[#This Row],[SN]], Table9[SN], Table9[Total Score Rank], "", 0, 1)</f>
        <v>42</v>
      </c>
      <c r="O49" s="735"/>
    </row>
    <row r="50" spans="2:15" ht="20.149999999999999" customHeight="1" x14ac:dyDescent="0.35">
      <c r="B50" s="616" cm="1">
        <f t="array" ref="B50">_xlfn.XLOOKUP(Table16[[#This Row],[Name]], Table9[[#All],[Name]], Table9[[#All],[SN]],"Not Found",0,1)</f>
        <v>95</v>
      </c>
      <c r="C50" s="617" t="s">
        <v>51</v>
      </c>
      <c r="D50" s="616" t="str">
        <f>_xlfn.XLOOKUP(Table16[[#This Row],[SN]], Table9[SN], Table9[Division], "", 0, 1)</f>
        <v>Dhaka</v>
      </c>
      <c r="E50" s="616" t="str">
        <f>_xlfn.XLOOKUP(Table16[[#This Row],[SN]], Table9[SN], Table9[District], "", 0, 1)</f>
        <v>Narayanganj</v>
      </c>
      <c r="F50" s="616" t="str">
        <f>_xlfn.XLOOKUP(Table16[[#This Row],[SN]], Table9[SN], Table9[Upazila], "", 0, 1)</f>
        <v>Sonargaon</v>
      </c>
      <c r="G50" s="616" t="str">
        <f>_xlfn.XLOOKUP(Table16[[#This Row],[SN]], Table9[SN], Table9[Type], "", 0, 1)</f>
        <v>Private</v>
      </c>
      <c r="H50" s="618">
        <f>_xlfn.XLOOKUP(Table16[[#This Row],[SN]], Table9[SN], Table9[Land Size (Acres)
(15%)], "", 0, 1)</f>
        <v>300</v>
      </c>
      <c r="I50" s="616" t="str">
        <f>_xlfn.XLOOKUP(Table16[[#This Row],[SN]], Table9[SN], Table9[Land Availability (Grade)​
(50%)], "", 0, 1)</f>
        <v>B Grade</v>
      </c>
      <c r="J50" s="616" t="str">
        <f>_xlfn.XLOOKUP(Table16[[#This Row],[SN]], Table9[SN], Table9[Zone Priority
(40%)], "", 0, 1)</f>
        <v>N/A</v>
      </c>
      <c r="K50" s="618">
        <f>_xlfn.XLOOKUP(Table16[[#This Row],[SN]], Table9[SN], Table9[Level 1 Score], "", 0, 1)</f>
        <v>0.56000000000000005</v>
      </c>
      <c r="L50" s="757">
        <f>_xlfn.XLOOKUP(Table16[[#This Row],[SN]], Table9[SN], Table9[Level 1 Score Rank], "", 0, 1)</f>
        <v>54</v>
      </c>
      <c r="M50" s="618">
        <f>_xlfn.XLOOKUP(Table16[[#This Row],[SN]], Table9[SN], Table9[Total Score], "", 0, 1)</f>
        <v>2.1080000000000005</v>
      </c>
      <c r="N50" s="616">
        <f>_xlfn.XLOOKUP(Table16[[#This Row],[SN]], Table9[SN], Table9[Total Score Rank], "", 0, 1)</f>
        <v>43</v>
      </c>
      <c r="O50" s="735"/>
    </row>
    <row r="51" spans="2:15" ht="20.149999999999999" customHeight="1" x14ac:dyDescent="0.35">
      <c r="B51" s="616" cm="1">
        <f t="array" ref="B51">_xlfn.XLOOKUP(Table16[[#This Row],[Name]], Table9[[#All],[Name]], Table9[[#All],[SN]],"Not Found",0,1)</f>
        <v>56</v>
      </c>
      <c r="C51" s="617" t="s">
        <v>61</v>
      </c>
      <c r="D51" s="616" t="str">
        <f>_xlfn.XLOOKUP(Table16[[#This Row],[SN]], Table9[SN], Table9[Division], "", 0, 1)</f>
        <v>Dhaka</v>
      </c>
      <c r="E51" s="616" t="str">
        <f>_xlfn.XLOOKUP(Table16[[#This Row],[SN]], Table9[SN], Table9[District], "", 0, 1)</f>
        <v>Shariatpur</v>
      </c>
      <c r="F51" s="616" t="str">
        <f>_xlfn.XLOOKUP(Table16[[#This Row],[SN]], Table9[SN], Table9[Upazila], "", 0, 1)</f>
        <v>Jajira</v>
      </c>
      <c r="G51" s="616" t="str">
        <f>_xlfn.XLOOKUP(Table16[[#This Row],[SN]], Table9[SN], Table9[Type], "", 0, 1)</f>
        <v>Government</v>
      </c>
      <c r="H51" s="618">
        <f>_xlfn.XLOOKUP(Table16[[#This Row],[SN]], Table9[SN], Table9[Land Size (Acres)
(15%)], "", 0, 1)</f>
        <v>525.26499999999999</v>
      </c>
      <c r="I51" s="616" t="str">
        <f>_xlfn.XLOOKUP(Table16[[#This Row],[SN]], Table9[SN], Table9[Land Availability (Grade)​
(50%)], "", 0, 1)</f>
        <v>C Grade</v>
      </c>
      <c r="J51" s="616" t="str">
        <f>_xlfn.XLOOKUP(Table16[[#This Row],[SN]], Table9[SN], Table9[Zone Priority
(40%)], "", 0, 1)</f>
        <v>Priority 3</v>
      </c>
      <c r="K51" s="618">
        <f>_xlfn.XLOOKUP(Table16[[#This Row],[SN]], Table9[SN], Table9[Level 1 Score], "", 0, 1)</f>
        <v>0.9</v>
      </c>
      <c r="L51" s="757">
        <f>_xlfn.XLOOKUP(Table16[[#This Row],[SN]], Table9[SN], Table9[Level 1 Score Rank], "", 0, 1)</f>
        <v>27</v>
      </c>
      <c r="M51" s="618">
        <f>_xlfn.XLOOKUP(Table16[[#This Row],[SN]], Table9[SN], Table9[Total Score], "", 0, 1)</f>
        <v>2.1040000000000001</v>
      </c>
      <c r="N51" s="616">
        <f>_xlfn.XLOOKUP(Table16[[#This Row],[SN]], Table9[SN], Table9[Total Score Rank], "", 0, 1)</f>
        <v>44</v>
      </c>
      <c r="O51" s="735"/>
    </row>
    <row r="52" spans="2:15" ht="20.149999999999999" customHeight="1" x14ac:dyDescent="0.35">
      <c r="B52" s="616" cm="1">
        <f t="array" ref="B52">_xlfn.XLOOKUP(Table16[[#This Row],[Name]], Table9[[#All],[Name]], Table9[[#All],[SN]],"Not Found",0,1)</f>
        <v>44</v>
      </c>
      <c r="C52" s="617" t="s">
        <v>59</v>
      </c>
      <c r="D52" s="616" t="str">
        <f>_xlfn.XLOOKUP(Table16[[#This Row],[SN]], Table9[SN], Table9[Division], "", 0, 1)</f>
        <v>Rangpur</v>
      </c>
      <c r="E52" s="616" t="str">
        <f>_xlfn.XLOOKUP(Table16[[#This Row],[SN]], Table9[SN], Table9[District], "", 0, 1)</f>
        <v>Nilphamari</v>
      </c>
      <c r="F52" s="616" t="str">
        <f>_xlfn.XLOOKUP(Table16[[#This Row],[SN]], Table9[SN], Table9[Upazila], "", 0, 1)</f>
        <v>Nilphamari Sadar</v>
      </c>
      <c r="G52" s="616" t="str">
        <f>_xlfn.XLOOKUP(Table16[[#This Row],[SN]], Table9[SN], Table9[Type], "", 0, 1)</f>
        <v>Government</v>
      </c>
      <c r="H52" s="618">
        <f>_xlfn.XLOOKUP(Table16[[#This Row],[SN]], Table9[SN], Table9[Land Size (Acres)
(15%)], "", 0, 1)</f>
        <v>107.73</v>
      </c>
      <c r="I52" s="616" t="str">
        <f>_xlfn.XLOOKUP(Table16[[#This Row],[SN]], Table9[SN], Table9[Land Availability (Grade)​
(50%)], "", 0, 1)</f>
        <v>B Grade</v>
      </c>
      <c r="J52" s="616" t="str">
        <f>_xlfn.XLOOKUP(Table16[[#This Row],[SN]], Table9[SN], Table9[Zone Priority
(40%)], "", 0, 1)</f>
        <v>Priority 2</v>
      </c>
      <c r="K52" s="618">
        <f>_xlfn.XLOOKUP(Table16[[#This Row],[SN]], Table9[SN], Table9[Level 1 Score], "", 0, 1)</f>
        <v>0.86</v>
      </c>
      <c r="L52" s="757">
        <f>_xlfn.XLOOKUP(Table16[[#This Row],[SN]], Table9[SN], Table9[Level 1 Score Rank], "", 0, 1)</f>
        <v>29</v>
      </c>
      <c r="M52" s="618">
        <f>_xlfn.XLOOKUP(Table16[[#This Row],[SN]], Table9[SN], Table9[Total Score], "", 0, 1)</f>
        <v>2.0920000000000001</v>
      </c>
      <c r="N52" s="616">
        <f>_xlfn.XLOOKUP(Table16[[#This Row],[SN]], Table9[SN], Table9[Total Score Rank], "", 0, 1)</f>
        <v>45</v>
      </c>
      <c r="O52" s="735"/>
    </row>
    <row r="53" spans="2:15" ht="20.149999999999999" customHeight="1" x14ac:dyDescent="0.35">
      <c r="B53" s="616" cm="1">
        <f t="array" ref="B53">_xlfn.XLOOKUP(Table16[[#This Row],[Name]], Table9[[#All],[Name]], Table9[[#All],[SN]],"Not Found",0,1)</f>
        <v>71</v>
      </c>
      <c r="C53" s="617" t="s">
        <v>52</v>
      </c>
      <c r="D53" s="616" t="str">
        <f>_xlfn.XLOOKUP(Table16[[#This Row],[SN]], Table9[SN], Table9[Division], "", 0, 1)</f>
        <v>Dhaka</v>
      </c>
      <c r="E53" s="616" t="str">
        <f>_xlfn.XLOOKUP(Table16[[#This Row],[SN]], Table9[SN], Table9[District], "", 0, 1)</f>
        <v>Munshiganj</v>
      </c>
      <c r="F53" s="616" t="str">
        <f>_xlfn.XLOOKUP(Table16[[#This Row],[SN]], Table9[SN], Table9[Upazila], "", 0, 1)</f>
        <v>Gajaria</v>
      </c>
      <c r="G53" s="616" t="str">
        <f>_xlfn.XLOOKUP(Table16[[#This Row],[SN]], Table9[SN], Table9[Type], "", 0, 1)</f>
        <v>Private</v>
      </c>
      <c r="H53" s="618">
        <f>_xlfn.XLOOKUP(Table16[[#This Row],[SN]], Table9[SN], Table9[Land Size (Acres)
(15%)], "", 0, 1)</f>
        <v>197.01</v>
      </c>
      <c r="I53" s="616" t="str">
        <f>_xlfn.XLOOKUP(Table16[[#This Row],[SN]], Table9[SN], Table9[Land Availability (Grade)​
(50%)], "", 0, 1)</f>
        <v>A Grade</v>
      </c>
      <c r="J53" s="616" t="str">
        <f>_xlfn.XLOOKUP(Table16[[#This Row],[SN]], Table9[SN], Table9[Zone Priority
(40%)], "", 0, 1)</f>
        <v>N/A</v>
      </c>
      <c r="K53" s="618">
        <f>_xlfn.XLOOKUP(Table16[[#This Row],[SN]], Table9[SN], Table9[Level 1 Score], "", 0, 1)</f>
        <v>0.61</v>
      </c>
      <c r="L53" s="757">
        <f>_xlfn.XLOOKUP(Table16[[#This Row],[SN]], Table9[SN], Table9[Level 1 Score Rank], "", 0, 1)</f>
        <v>52</v>
      </c>
      <c r="M53" s="618">
        <f>_xlfn.XLOOKUP(Table16[[#This Row],[SN]], Table9[SN], Table9[Total Score], "", 0, 1)</f>
        <v>2.0659999999999998</v>
      </c>
      <c r="N53" s="616">
        <f>_xlfn.XLOOKUP(Table16[[#This Row],[SN]], Table9[SN], Table9[Total Score Rank], "", 0, 1)</f>
        <v>46</v>
      </c>
      <c r="O53" s="735"/>
    </row>
    <row r="54" spans="2:15" ht="20.149999999999999" customHeight="1" x14ac:dyDescent="0.35">
      <c r="B54" s="616" cm="1">
        <f t="array" ref="B54">_xlfn.XLOOKUP(Table16[[#This Row],[Name]], Table9[[#All],[Name]], Table9[[#All],[SN]],"Not Found",0,1)</f>
        <v>6</v>
      </c>
      <c r="C54" s="617" t="s">
        <v>62</v>
      </c>
      <c r="D54" s="616" t="str">
        <f>_xlfn.XLOOKUP(Table16[[#This Row],[SN]], Table9[SN], Table9[Division], "", 0, 1)</f>
        <v>Barishal</v>
      </c>
      <c r="E54" s="616" t="str">
        <f>_xlfn.XLOOKUP(Table16[[#This Row],[SN]], Table9[SN], Table9[District], "", 0, 1)</f>
        <v>Bhola</v>
      </c>
      <c r="F54" s="616" t="str">
        <f>_xlfn.XLOOKUP(Table16[[#This Row],[SN]], Table9[SN], Table9[Upazila], "", 0, 1)</f>
        <v>Bhola Sadar</v>
      </c>
      <c r="G54" s="616" t="str">
        <f>_xlfn.XLOOKUP(Table16[[#This Row],[SN]], Table9[SN], Table9[Type], "", 0, 1)</f>
        <v>Government</v>
      </c>
      <c r="H54" s="618">
        <f>_xlfn.XLOOKUP(Table16[[#This Row],[SN]], Table9[SN], Table9[Land Size (Acres)
(15%)], "", 0, 1)</f>
        <v>304.07</v>
      </c>
      <c r="I54" s="616" t="str">
        <f>_xlfn.XLOOKUP(Table16[[#This Row],[SN]], Table9[SN], Table9[Land Availability (Grade)​
(50%)], "", 0, 1)</f>
        <v>C Grade</v>
      </c>
      <c r="J54" s="616" t="str">
        <f>_xlfn.XLOOKUP(Table16[[#This Row],[SN]], Table9[SN], Table9[Zone Priority
(40%)], "", 0, 1)</f>
        <v>Priority 3</v>
      </c>
      <c r="K54" s="618">
        <f>_xlfn.XLOOKUP(Table16[[#This Row],[SN]], Table9[SN], Table9[Level 1 Score], "", 0, 1)</f>
        <v>0.8</v>
      </c>
      <c r="L54" s="757">
        <f>_xlfn.XLOOKUP(Table16[[#This Row],[SN]], Table9[SN], Table9[Level 1 Score Rank], "", 0, 1)</f>
        <v>33</v>
      </c>
      <c r="M54" s="618">
        <f>_xlfn.XLOOKUP(Table16[[#This Row],[SN]], Table9[SN], Table9[Total Score], "", 0, 1)</f>
        <v>2.0179999999999998</v>
      </c>
      <c r="N54" s="750">
        <f>_xlfn.XLOOKUP(Table16[[#This Row],[SN]], Table9[SN], Table9[Total Score Rank], "", 0, 1)</f>
        <v>47</v>
      </c>
      <c r="O54" s="735"/>
    </row>
    <row r="55" spans="2:15" ht="20.149999999999999" customHeight="1" x14ac:dyDescent="0.35">
      <c r="B55" s="731" cm="1">
        <f t="array" ref="B55">_xlfn.XLOOKUP(Table16[[#This Row],[Name]], Table9[[#All],[Name]], Table9[[#All],[SN]],"Not Found",0,1)</f>
        <v>88</v>
      </c>
      <c r="C55" s="732" t="s">
        <v>54</v>
      </c>
      <c r="D55" s="733" t="str">
        <f>_xlfn.XLOOKUP(Table16[[#This Row],[SN]], Table9[SN], Table9[Division], "", 0, 1)</f>
        <v>Dhaka</v>
      </c>
      <c r="E55" s="733" t="str">
        <f>_xlfn.XLOOKUP(Table16[[#This Row],[SN]], Table9[SN], Table9[District], "", 0, 1)</f>
        <v>Munshiganj</v>
      </c>
      <c r="F55" s="733" t="str">
        <f>_xlfn.XLOOKUP(Table16[[#This Row],[SN]], Table9[SN], Table9[Upazila], "", 0, 1)</f>
        <v>Gajaria</v>
      </c>
      <c r="G55" s="733" t="str">
        <f>_xlfn.XLOOKUP(Table16[[#This Row],[SN]], Table9[SN], Table9[Type], "", 0, 1)</f>
        <v>Private</v>
      </c>
      <c r="H55" s="730">
        <f>_xlfn.XLOOKUP(Table16[[#This Row],[SN]], Table9[SN], Table9[Land Size (Acres)
(15%)], "", 0, 1)</f>
        <v>75.47</v>
      </c>
      <c r="I55" s="733" t="str">
        <f>_xlfn.XLOOKUP(Table16[[#This Row],[SN]], Table9[SN], Table9[Land Availability (Grade)​
(50%)], "", 0, 1)</f>
        <v>A Grade</v>
      </c>
      <c r="J55" s="733" t="str">
        <f>_xlfn.XLOOKUP(Table16[[#This Row],[SN]], Table9[SN], Table9[Zone Priority
(40%)], "", 0, 1)</f>
        <v>N/A</v>
      </c>
      <c r="K55" s="734">
        <f>_xlfn.XLOOKUP(Table16[[#This Row],[SN]], Table9[SN], Table9[Level 1 Score], "", 0, 1)</f>
        <v>0.55000000000000004</v>
      </c>
      <c r="L55" s="758">
        <f>_xlfn.XLOOKUP(Table16[[#This Row],[SN]], Table9[SN], Table9[Level 1 Score Rank], "", 0, 1)</f>
        <v>58</v>
      </c>
      <c r="M55" s="760">
        <f>_xlfn.XLOOKUP(Table16[[#This Row],[SN]], Table9[SN], Table9[Total Score], "", 0, 1)</f>
        <v>2.0060000000000002</v>
      </c>
      <c r="N55" s="754">
        <f>_xlfn.XLOOKUP(Table16[[#This Row],[SN]], Table9[SN], Table9[Total Score Rank], "", 0, 1)</f>
        <v>48</v>
      </c>
      <c r="O55" s="735"/>
    </row>
    <row r="56" spans="2:15" ht="20.149999999999999" customHeight="1" x14ac:dyDescent="0.35">
      <c r="B56" s="731" cm="1">
        <f t="array" ref="B56">_xlfn.XLOOKUP(Table16[[#This Row],[Name]], Table9[[#All],[Name]], Table9[[#All],[SN]],"Not Found",0,1)</f>
        <v>57</v>
      </c>
      <c r="C56" s="732" t="s">
        <v>63</v>
      </c>
      <c r="D56" s="733" t="str">
        <f>_xlfn.XLOOKUP(Table16[[#This Row],[SN]], Table9[SN], Table9[Division], "", 0, 1)</f>
        <v>Mymensingh</v>
      </c>
      <c r="E56" s="733" t="str">
        <f>_xlfn.XLOOKUP(Table16[[#This Row],[SN]], Table9[SN], Table9[District], "", 0, 1)</f>
        <v>Sherpur</v>
      </c>
      <c r="F56" s="733" t="str">
        <f>_xlfn.XLOOKUP(Table16[[#This Row],[SN]], Table9[SN], Table9[Upazila], "", 0, 1)</f>
        <v>Sherpur Sadar</v>
      </c>
      <c r="G56" s="733" t="str">
        <f>_xlfn.XLOOKUP(Table16[[#This Row],[SN]], Table9[SN], Table9[Type], "", 0, 1)</f>
        <v>Government</v>
      </c>
      <c r="H56" s="730">
        <f>_xlfn.XLOOKUP(Table16[[#This Row],[SN]], Table9[SN], Table9[Land Size (Acres)
(15%)], "", 0, 1)</f>
        <v>403.63</v>
      </c>
      <c r="I56" s="733" t="str">
        <f>_xlfn.XLOOKUP(Table16[[#This Row],[SN]], Table9[SN], Table9[Land Availability (Grade)​
(50%)], "", 0, 1)</f>
        <v>B Grade</v>
      </c>
      <c r="J56" s="733" t="str">
        <f>_xlfn.XLOOKUP(Table16[[#This Row],[SN]], Table9[SN], Table9[Zone Priority
(40%)], "", 0, 1)</f>
        <v>Priority 3</v>
      </c>
      <c r="K56" s="734">
        <f>_xlfn.XLOOKUP(Table16[[#This Row],[SN]], Table9[SN], Table9[Level 1 Score], "", 0, 1)</f>
        <v>0.26</v>
      </c>
      <c r="L56" s="758">
        <f>_xlfn.XLOOKUP(Table16[[#This Row],[SN]], Table9[SN], Table9[Level 1 Score Rank], "", 0, 1)</f>
        <v>77</v>
      </c>
      <c r="M56" s="760">
        <f>_xlfn.XLOOKUP(Table16[[#This Row],[SN]], Table9[SN], Table9[Total Score], "", 0, 1)</f>
        <v>1.5880000000000001</v>
      </c>
      <c r="N56" s="754">
        <f>_xlfn.XLOOKUP(Table16[[#This Row],[SN]], Table9[SN], Table9[Total Score Rank], "", 0, 1)</f>
        <v>49</v>
      </c>
      <c r="O56" s="735"/>
    </row>
  </sheetData>
  <mergeCells count="5">
    <mergeCell ref="B6:N6"/>
    <mergeCell ref="B2:C2"/>
    <mergeCell ref="B3:C3"/>
    <mergeCell ref="B4:C4"/>
    <mergeCell ref="B5:C5"/>
  </mergeCells>
  <phoneticPr fontId="18" type="noConversion"/>
  <conditionalFormatting sqref="L8:L56">
    <cfRule type="cellIs" dxfId="2946" priority="1" operator="lessThan">
      <formula>21</formula>
    </cfRule>
  </conditionalFormatting>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B60C6-C13B-44C0-9C7B-8FEDCA745BF6}">
  <sheetPr>
    <tabColor rgb="FF44546A"/>
  </sheetPr>
  <dimension ref="B2:R122"/>
  <sheetViews>
    <sheetView topLeftCell="A62" zoomScale="43" workbookViewId="0">
      <selection activeCell="L72" sqref="L72"/>
    </sheetView>
  </sheetViews>
  <sheetFormatPr defaultColWidth="63.453125" defaultRowHeight="13.5" x14ac:dyDescent="0.35"/>
  <cols>
    <col min="1" max="1" width="4.1796875" style="209" customWidth="1"/>
    <col min="2" max="2" width="42.1796875" style="209" customWidth="1"/>
    <col min="3" max="3" width="12.453125" style="210" customWidth="1"/>
    <col min="4" max="4" width="46" style="210" customWidth="1"/>
    <col min="5" max="5" width="34.453125" style="210" customWidth="1"/>
    <col min="6" max="6" width="20.453125" style="209" customWidth="1"/>
    <col min="7" max="7" width="16.54296875" style="209" customWidth="1"/>
    <col min="8" max="8" width="35.1796875" style="209" customWidth="1"/>
    <col min="9" max="9" width="54.453125" style="209" customWidth="1"/>
    <col min="10" max="10" width="7.81640625" style="209" bestFit="1" customWidth="1"/>
    <col min="11" max="11" width="21.54296875" style="209" customWidth="1"/>
    <col min="12" max="12" width="50.81640625" style="209" customWidth="1"/>
    <col min="13" max="13" width="22.1796875" style="209" customWidth="1"/>
    <col min="14" max="14" width="23.81640625" style="209" customWidth="1"/>
    <col min="15" max="15" width="35.54296875" style="209" customWidth="1"/>
    <col min="16" max="16" width="14.1796875" style="209" customWidth="1"/>
    <col min="17" max="17" width="22.453125" style="209" customWidth="1"/>
    <col min="18" max="18" width="27.1796875" style="209" customWidth="1"/>
    <col min="19" max="19" width="14.1796875" style="209" customWidth="1"/>
    <col min="20" max="16384" width="63.453125" style="209"/>
  </cols>
  <sheetData>
    <row r="2" spans="2:13" ht="17.5" x14ac:dyDescent="0.35">
      <c r="B2" s="215" t="s">
        <v>488</v>
      </c>
    </row>
    <row r="3" spans="2:13" ht="24.5" x14ac:dyDescent="0.35">
      <c r="B3" s="211"/>
    </row>
    <row r="4" spans="2:13" ht="60" x14ac:dyDescent="0.35">
      <c r="B4" s="202" t="s">
        <v>489</v>
      </c>
      <c r="C4" s="212">
        <v>0.2</v>
      </c>
      <c r="D4" s="213" t="s">
        <v>490</v>
      </c>
    </row>
    <row r="5" spans="2:13" ht="14" thickBot="1" x14ac:dyDescent="0.4"/>
    <row r="6" spans="2:13" ht="40" customHeight="1" x14ac:dyDescent="0.35">
      <c r="B6" s="216" t="s">
        <v>491</v>
      </c>
      <c r="C6" s="203">
        <v>0.5</v>
      </c>
      <c r="D6" s="437"/>
      <c r="F6" s="216" t="s">
        <v>492</v>
      </c>
      <c r="G6" s="203">
        <v>0.15</v>
      </c>
      <c r="I6" s="216" t="s">
        <v>493</v>
      </c>
      <c r="J6" s="203">
        <v>0.25</v>
      </c>
      <c r="L6" s="216" t="s">
        <v>494</v>
      </c>
      <c r="M6" s="203">
        <v>0.1</v>
      </c>
    </row>
    <row r="7" spans="2:13" ht="71.5" customHeight="1" thickTop="1" thickBot="1" x14ac:dyDescent="0.4">
      <c r="B7" s="205" t="s">
        <v>11</v>
      </c>
      <c r="C7" s="205" t="s">
        <v>495</v>
      </c>
      <c r="D7" s="450" t="s">
        <v>496</v>
      </c>
      <c r="F7" s="205" t="s">
        <v>497</v>
      </c>
      <c r="G7" s="205" t="s">
        <v>495</v>
      </c>
      <c r="I7" s="205" t="s">
        <v>498</v>
      </c>
      <c r="J7" s="205" t="s">
        <v>495</v>
      </c>
      <c r="L7" s="205" t="s">
        <v>499</v>
      </c>
      <c r="M7" s="205" t="s">
        <v>495</v>
      </c>
    </row>
    <row r="8" spans="2:13" ht="14" thickBot="1" x14ac:dyDescent="0.4">
      <c r="B8" s="206" t="s">
        <v>412</v>
      </c>
      <c r="C8" s="206">
        <v>4</v>
      </c>
      <c r="D8" s="231" t="s">
        <v>500</v>
      </c>
      <c r="F8" s="206" t="s">
        <v>501</v>
      </c>
      <c r="G8" s="206">
        <v>0</v>
      </c>
      <c r="I8" s="206" t="s">
        <v>502</v>
      </c>
      <c r="J8" s="206">
        <v>0</v>
      </c>
      <c r="L8" s="206" t="s">
        <v>503</v>
      </c>
      <c r="M8" s="206">
        <v>0</v>
      </c>
    </row>
    <row r="9" spans="2:13" ht="27.5" thickBot="1" x14ac:dyDescent="0.4">
      <c r="B9" s="207" t="s">
        <v>435</v>
      </c>
      <c r="C9" s="207">
        <v>2</v>
      </c>
      <c r="D9" s="438" t="s">
        <v>504</v>
      </c>
      <c r="F9" s="207" t="s">
        <v>505</v>
      </c>
      <c r="G9" s="207">
        <v>2</v>
      </c>
      <c r="I9" s="207" t="s">
        <v>506</v>
      </c>
      <c r="J9" s="207">
        <v>2</v>
      </c>
      <c r="L9" s="207" t="s">
        <v>506</v>
      </c>
      <c r="M9" s="207">
        <v>2</v>
      </c>
    </row>
    <row r="10" spans="2:13" ht="27" x14ac:dyDescent="0.35">
      <c r="B10" s="206" t="s">
        <v>444</v>
      </c>
      <c r="C10" s="206">
        <v>0</v>
      </c>
      <c r="D10" s="231" t="s">
        <v>507</v>
      </c>
      <c r="F10" s="206" t="s">
        <v>508</v>
      </c>
      <c r="G10" s="206">
        <v>4</v>
      </c>
      <c r="I10" s="206" t="s">
        <v>509</v>
      </c>
      <c r="J10" s="206">
        <v>4</v>
      </c>
      <c r="L10" s="206" t="s">
        <v>510</v>
      </c>
      <c r="M10" s="206">
        <v>4</v>
      </c>
    </row>
    <row r="11" spans="2:13" x14ac:dyDescent="0.35">
      <c r="C11" s="209"/>
      <c r="D11" s="209"/>
    </row>
    <row r="12" spans="2:13" x14ac:dyDescent="0.35">
      <c r="I12" s="209" t="s">
        <v>511</v>
      </c>
      <c r="L12" s="209" t="s">
        <v>511</v>
      </c>
    </row>
    <row r="14" spans="2:13" ht="45" x14ac:dyDescent="0.35">
      <c r="B14" s="202" t="s">
        <v>512</v>
      </c>
      <c r="C14" s="212">
        <v>0.15</v>
      </c>
      <c r="D14" s="213" t="s">
        <v>490</v>
      </c>
    </row>
    <row r="15" spans="2:13" ht="14" thickBot="1" x14ac:dyDescent="0.4"/>
    <row r="16" spans="2:13" ht="14" thickBot="1" x14ac:dyDescent="0.4">
      <c r="B16" s="216" t="s">
        <v>513</v>
      </c>
      <c r="C16" s="710">
        <v>0</v>
      </c>
      <c r="D16" s="439"/>
      <c r="E16" s="216" t="s">
        <v>514</v>
      </c>
      <c r="F16" s="710">
        <v>1</v>
      </c>
    </row>
    <row r="17" spans="2:6" ht="14.5" thickTop="1" thickBot="1" x14ac:dyDescent="0.4">
      <c r="B17" s="205" t="s">
        <v>515</v>
      </c>
      <c r="C17" s="205" t="s">
        <v>495</v>
      </c>
      <c r="D17" s="440"/>
      <c r="E17" s="205" t="s">
        <v>516</v>
      </c>
      <c r="F17" s="205" t="s">
        <v>495</v>
      </c>
    </row>
    <row r="18" spans="2:6" ht="14" thickBot="1" x14ac:dyDescent="0.4">
      <c r="B18" s="206" t="s">
        <v>415</v>
      </c>
      <c r="C18" s="206">
        <v>4</v>
      </c>
      <c r="D18" s="405"/>
      <c r="E18" s="206" t="s">
        <v>416</v>
      </c>
      <c r="F18" s="206">
        <v>4</v>
      </c>
    </row>
    <row r="19" spans="2:6" ht="14" thickBot="1" x14ac:dyDescent="0.4">
      <c r="B19" s="207" t="s">
        <v>443</v>
      </c>
      <c r="C19" s="207">
        <v>2</v>
      </c>
      <c r="D19" s="405"/>
      <c r="E19" s="207" t="s">
        <v>446</v>
      </c>
      <c r="F19" s="207">
        <v>2</v>
      </c>
    </row>
    <row r="20" spans="2:6" ht="14" thickBot="1" x14ac:dyDescent="0.4">
      <c r="B20" s="206" t="s">
        <v>436</v>
      </c>
      <c r="C20" s="206">
        <v>0</v>
      </c>
      <c r="D20" s="405"/>
      <c r="E20" s="206" t="s">
        <v>441</v>
      </c>
      <c r="F20" s="206">
        <v>0</v>
      </c>
    </row>
    <row r="21" spans="2:6" x14ac:dyDescent="0.35">
      <c r="B21" s="231" t="s">
        <v>440</v>
      </c>
      <c r="C21" s="231">
        <v>4</v>
      </c>
      <c r="D21" s="405"/>
      <c r="E21" s="231"/>
      <c r="F21" s="231"/>
    </row>
    <row r="23" spans="2:6" ht="75" x14ac:dyDescent="0.35">
      <c r="B23" s="202" t="s">
        <v>517</v>
      </c>
      <c r="C23" s="212">
        <v>0.15</v>
      </c>
      <c r="D23" s="213" t="s">
        <v>490</v>
      </c>
    </row>
    <row r="24" spans="2:6" ht="14" thickBot="1" x14ac:dyDescent="0.4"/>
    <row r="25" spans="2:6" ht="27.5" thickBot="1" x14ac:dyDescent="0.4">
      <c r="B25" s="216" t="s">
        <v>518</v>
      </c>
      <c r="C25" s="203">
        <v>0.5</v>
      </c>
      <c r="D25" s="439"/>
      <c r="E25" s="216" t="s">
        <v>519</v>
      </c>
      <c r="F25" s="203">
        <v>0.5</v>
      </c>
    </row>
    <row r="26" spans="2:6" ht="14.5" thickTop="1" thickBot="1" x14ac:dyDescent="0.4">
      <c r="B26" s="205" t="s">
        <v>520</v>
      </c>
      <c r="C26" s="205" t="s">
        <v>495</v>
      </c>
      <c r="D26" s="440"/>
      <c r="E26" s="205" t="s">
        <v>520</v>
      </c>
      <c r="F26" s="205" t="s">
        <v>495</v>
      </c>
    </row>
    <row r="27" spans="2:6" ht="14" thickBot="1" x14ac:dyDescent="0.4">
      <c r="B27" s="206" t="s">
        <v>521</v>
      </c>
      <c r="C27" s="206">
        <v>4</v>
      </c>
      <c r="D27" s="405"/>
      <c r="E27" s="206" t="s">
        <v>522</v>
      </c>
      <c r="F27" s="206">
        <v>4</v>
      </c>
    </row>
    <row r="28" spans="2:6" ht="14" thickBot="1" x14ac:dyDescent="0.4">
      <c r="B28" s="208" t="s">
        <v>523</v>
      </c>
      <c r="C28" s="207">
        <v>2</v>
      </c>
      <c r="D28" s="405"/>
      <c r="E28" s="208" t="s">
        <v>524</v>
      </c>
      <c r="F28" s="207">
        <v>2</v>
      </c>
    </row>
    <row r="29" spans="2:6" ht="14" thickBot="1" x14ac:dyDescent="0.4">
      <c r="B29" s="206" t="s">
        <v>525</v>
      </c>
      <c r="C29" s="206">
        <v>0</v>
      </c>
      <c r="D29" s="405"/>
      <c r="E29" s="206" t="s">
        <v>526</v>
      </c>
      <c r="F29" s="206">
        <v>0</v>
      </c>
    </row>
    <row r="31" spans="2:6" ht="17.5" x14ac:dyDescent="0.35">
      <c r="B31" s="214" t="s">
        <v>527</v>
      </c>
    </row>
    <row r="33" spans="2:9" ht="60" x14ac:dyDescent="0.35">
      <c r="B33" s="202" t="s">
        <v>528</v>
      </c>
      <c r="C33" s="212">
        <v>0.1</v>
      </c>
      <c r="D33" s="213" t="s">
        <v>490</v>
      </c>
    </row>
    <row r="34" spans="2:9" ht="14" thickBot="1" x14ac:dyDescent="0.4"/>
    <row r="35" spans="2:9" ht="27.5" thickBot="1" x14ac:dyDescent="0.4">
      <c r="B35" s="216" t="s">
        <v>529</v>
      </c>
      <c r="C35" s="203">
        <v>0.15</v>
      </c>
      <c r="D35" s="439"/>
      <c r="E35" s="216" t="s">
        <v>530</v>
      </c>
      <c r="F35" s="203">
        <v>0.15</v>
      </c>
      <c r="H35" s="216" t="s">
        <v>531</v>
      </c>
      <c r="I35" s="203">
        <v>0.3</v>
      </c>
    </row>
    <row r="36" spans="2:9" ht="14.5" thickTop="1" thickBot="1" x14ac:dyDescent="0.4">
      <c r="B36" s="205" t="s">
        <v>532</v>
      </c>
      <c r="C36" s="205" t="s">
        <v>495</v>
      </c>
      <c r="D36" s="440"/>
      <c r="E36" s="205" t="s">
        <v>533</v>
      </c>
      <c r="F36" s="205" t="s">
        <v>495</v>
      </c>
      <c r="H36" s="205" t="s">
        <v>532</v>
      </c>
      <c r="I36" s="205" t="s">
        <v>495</v>
      </c>
    </row>
    <row r="37" spans="2:9" ht="14" thickBot="1" x14ac:dyDescent="0.4">
      <c r="B37" s="206" t="s">
        <v>534</v>
      </c>
      <c r="C37" s="206">
        <v>4</v>
      </c>
      <c r="D37" s="405"/>
      <c r="E37" s="206" t="s">
        <v>417</v>
      </c>
      <c r="F37" s="206">
        <v>4</v>
      </c>
      <c r="H37" s="206" t="s">
        <v>535</v>
      </c>
      <c r="I37" s="206">
        <v>4</v>
      </c>
    </row>
    <row r="38" spans="2:9" ht="14" thickBot="1" x14ac:dyDescent="0.4">
      <c r="B38" s="207" t="s">
        <v>536</v>
      </c>
      <c r="C38" s="207">
        <v>2</v>
      </c>
      <c r="D38" s="405"/>
      <c r="E38" s="207" t="s">
        <v>418</v>
      </c>
      <c r="F38" s="207">
        <v>0</v>
      </c>
      <c r="H38" s="207" t="s">
        <v>537</v>
      </c>
      <c r="I38" s="207">
        <v>2</v>
      </c>
    </row>
    <row r="39" spans="2:9" x14ac:dyDescent="0.35">
      <c r="B39" s="405" t="s">
        <v>538</v>
      </c>
      <c r="C39" s="405">
        <v>0</v>
      </c>
      <c r="D39" s="405"/>
      <c r="F39" s="210"/>
      <c r="H39" s="405" t="s">
        <v>539</v>
      </c>
      <c r="I39" s="405">
        <v>0</v>
      </c>
    </row>
    <row r="40" spans="2:9" ht="14" thickBot="1" x14ac:dyDescent="0.4">
      <c r="E40" s="209"/>
    </row>
    <row r="41" spans="2:9" ht="27.5" thickBot="1" x14ac:dyDescent="0.4">
      <c r="B41" s="216" t="s">
        <v>540</v>
      </c>
      <c r="C41" s="203">
        <v>0.1</v>
      </c>
      <c r="D41" s="439"/>
      <c r="E41" s="216" t="s">
        <v>541</v>
      </c>
      <c r="F41" s="203">
        <v>0.1</v>
      </c>
      <c r="H41" s="216" t="s">
        <v>542</v>
      </c>
      <c r="I41" s="203">
        <v>0.2</v>
      </c>
    </row>
    <row r="42" spans="2:9" ht="14.5" thickTop="1" thickBot="1" x14ac:dyDescent="0.4">
      <c r="B42" s="205" t="s">
        <v>532</v>
      </c>
      <c r="C42" s="205" t="s">
        <v>495</v>
      </c>
      <c r="D42" s="440"/>
      <c r="E42" s="205" t="s">
        <v>532</v>
      </c>
      <c r="F42" s="205" t="s">
        <v>495</v>
      </c>
      <c r="H42" s="205" t="s">
        <v>532</v>
      </c>
      <c r="I42" s="205" t="s">
        <v>495</v>
      </c>
    </row>
    <row r="43" spans="2:9" ht="14" thickBot="1" x14ac:dyDescent="0.4">
      <c r="B43" s="206" t="s">
        <v>543</v>
      </c>
      <c r="C43" s="206">
        <v>4</v>
      </c>
      <c r="D43" s="405"/>
      <c r="E43" s="206" t="s">
        <v>544</v>
      </c>
      <c r="F43" s="206">
        <v>4</v>
      </c>
      <c r="H43" s="206" t="s">
        <v>544</v>
      </c>
      <c r="I43" s="206">
        <v>4</v>
      </c>
    </row>
    <row r="44" spans="2:9" ht="14" thickBot="1" x14ac:dyDescent="0.4">
      <c r="B44" s="207" t="s">
        <v>545</v>
      </c>
      <c r="C44" s="207">
        <v>2</v>
      </c>
      <c r="D44" s="405"/>
      <c r="E44" s="207" t="s">
        <v>546</v>
      </c>
      <c r="F44" s="207">
        <v>2</v>
      </c>
      <c r="H44" s="207" t="s">
        <v>547</v>
      </c>
      <c r="I44" s="207">
        <v>2</v>
      </c>
    </row>
    <row r="45" spans="2:9" x14ac:dyDescent="0.35">
      <c r="B45" s="405" t="s">
        <v>548</v>
      </c>
      <c r="C45" s="405">
        <v>0</v>
      </c>
      <c r="D45" s="405"/>
      <c r="E45" s="405" t="s">
        <v>549</v>
      </c>
      <c r="F45" s="405">
        <v>0</v>
      </c>
      <c r="H45" s="405" t="s">
        <v>548</v>
      </c>
      <c r="I45" s="405">
        <v>0</v>
      </c>
    </row>
    <row r="47" spans="2:9" x14ac:dyDescent="0.35">
      <c r="B47" s="233" t="s">
        <v>550</v>
      </c>
    </row>
    <row r="48" spans="2:9" x14ac:dyDescent="0.35">
      <c r="B48" s="209" t="s">
        <v>551</v>
      </c>
    </row>
    <row r="49" spans="2:10" x14ac:dyDescent="0.35">
      <c r="B49" s="209" t="s">
        <v>552</v>
      </c>
    </row>
    <row r="51" spans="2:10" ht="45" x14ac:dyDescent="0.35">
      <c r="B51" s="202" t="s">
        <v>553</v>
      </c>
      <c r="C51" s="212">
        <v>0.12</v>
      </c>
      <c r="D51" s="213" t="s">
        <v>490</v>
      </c>
    </row>
    <row r="52" spans="2:10" ht="15.5" thickBot="1" x14ac:dyDescent="0.4">
      <c r="B52" s="202"/>
    </row>
    <row r="53" spans="2:10" ht="27.5" thickBot="1" x14ac:dyDescent="0.4">
      <c r="B53" s="216" t="s">
        <v>554</v>
      </c>
      <c r="C53" s="203">
        <v>0.4</v>
      </c>
      <c r="D53" s="439"/>
      <c r="E53" s="216" t="s">
        <v>555</v>
      </c>
      <c r="F53" s="203">
        <v>0.2</v>
      </c>
      <c r="H53" s="216" t="s">
        <v>556</v>
      </c>
      <c r="I53" s="203">
        <v>0.4</v>
      </c>
    </row>
    <row r="54" spans="2:10" ht="14.5" thickTop="1" thickBot="1" x14ac:dyDescent="0.4">
      <c r="B54" s="205" t="s">
        <v>557</v>
      </c>
      <c r="C54" s="205" t="s">
        <v>495</v>
      </c>
      <c r="D54" s="440"/>
      <c r="E54" s="205" t="s">
        <v>557</v>
      </c>
      <c r="F54" s="205" t="s">
        <v>495</v>
      </c>
      <c r="H54" s="205" t="s">
        <v>557</v>
      </c>
      <c r="I54" s="205" t="s">
        <v>495</v>
      </c>
    </row>
    <row r="55" spans="2:10" ht="14" thickBot="1" x14ac:dyDescent="0.4">
      <c r="B55" s="206" t="s">
        <v>544</v>
      </c>
      <c r="C55" s="206">
        <v>4</v>
      </c>
      <c r="D55" s="405"/>
      <c r="E55" s="206" t="s">
        <v>544</v>
      </c>
      <c r="F55" s="206">
        <v>4</v>
      </c>
      <c r="H55" s="206" t="s">
        <v>558</v>
      </c>
      <c r="I55" s="206">
        <v>4</v>
      </c>
    </row>
    <row r="56" spans="2:10" ht="14" thickBot="1" x14ac:dyDescent="0.4">
      <c r="B56" s="207" t="s">
        <v>559</v>
      </c>
      <c r="C56" s="207">
        <v>2</v>
      </c>
      <c r="D56" s="405"/>
      <c r="E56" s="207" t="s">
        <v>559</v>
      </c>
      <c r="F56" s="207">
        <v>2</v>
      </c>
      <c r="H56" s="207" t="s">
        <v>560</v>
      </c>
      <c r="I56" s="207">
        <v>2</v>
      </c>
    </row>
    <row r="57" spans="2:10" x14ac:dyDescent="0.35">
      <c r="B57" s="210" t="s">
        <v>561</v>
      </c>
      <c r="C57" s="210">
        <v>0</v>
      </c>
      <c r="E57" s="210" t="s">
        <v>561</v>
      </c>
      <c r="F57" s="210">
        <v>0</v>
      </c>
      <c r="H57" s="210" t="s">
        <v>538</v>
      </c>
      <c r="I57" s="210">
        <v>0</v>
      </c>
    </row>
    <row r="58" spans="2:10" s="385" customFormat="1" x14ac:dyDescent="0.35">
      <c r="B58" s="209"/>
      <c r="C58" s="209"/>
      <c r="D58" s="209"/>
      <c r="E58" s="209"/>
      <c r="F58" s="209"/>
      <c r="G58" s="209"/>
      <c r="H58" s="209"/>
      <c r="I58" s="209"/>
      <c r="J58" s="209"/>
    </row>
    <row r="59" spans="2:10" x14ac:dyDescent="0.35">
      <c r="B59" s="209" t="s">
        <v>551</v>
      </c>
      <c r="E59" s="209" t="s">
        <v>551</v>
      </c>
      <c r="H59" s="209" t="s">
        <v>551</v>
      </c>
    </row>
    <row r="60" spans="2:10" x14ac:dyDescent="0.35">
      <c r="B60" s="209" t="s">
        <v>552</v>
      </c>
      <c r="E60" s="209" t="s">
        <v>552</v>
      </c>
      <c r="H60" s="209" t="s">
        <v>552</v>
      </c>
    </row>
    <row r="61" spans="2:10" ht="29" x14ac:dyDescent="0.35">
      <c r="E61" s="234" t="s">
        <v>562</v>
      </c>
    </row>
    <row r="62" spans="2:10" ht="43.5" x14ac:dyDescent="0.35">
      <c r="E62" s="234" t="s">
        <v>563</v>
      </c>
    </row>
    <row r="64" spans="2:10" ht="45" x14ac:dyDescent="0.35">
      <c r="B64" s="202" t="s">
        <v>564</v>
      </c>
      <c r="C64" s="212">
        <v>0.1</v>
      </c>
      <c r="D64" s="213" t="s">
        <v>490</v>
      </c>
    </row>
    <row r="65" spans="2:12" ht="14" thickBot="1" x14ac:dyDescent="0.4"/>
    <row r="66" spans="2:12" ht="41" thickBot="1" x14ac:dyDescent="0.4">
      <c r="B66" s="216" t="s">
        <v>565</v>
      </c>
      <c r="C66" s="203">
        <v>0.2</v>
      </c>
      <c r="D66" s="439"/>
      <c r="E66" s="216" t="s">
        <v>566</v>
      </c>
      <c r="F66" s="203">
        <v>0.2</v>
      </c>
      <c r="H66" s="216" t="s">
        <v>567</v>
      </c>
      <c r="I66" s="203">
        <v>0.2</v>
      </c>
      <c r="K66" s="216" t="s">
        <v>568</v>
      </c>
      <c r="L66" s="203">
        <v>0.4</v>
      </c>
    </row>
    <row r="67" spans="2:12" ht="14.5" thickTop="1" thickBot="1" x14ac:dyDescent="0.4">
      <c r="B67" s="205" t="s">
        <v>569</v>
      </c>
      <c r="C67" s="205" t="s">
        <v>495</v>
      </c>
      <c r="D67" s="440"/>
      <c r="E67" s="205" t="s">
        <v>569</v>
      </c>
      <c r="F67" s="205" t="s">
        <v>495</v>
      </c>
      <c r="H67" s="205" t="s">
        <v>570</v>
      </c>
      <c r="I67" s="205" t="s">
        <v>495</v>
      </c>
      <c r="K67" s="205" t="s">
        <v>569</v>
      </c>
      <c r="L67" s="205" t="s">
        <v>495</v>
      </c>
    </row>
    <row r="68" spans="2:12" ht="14" thickBot="1" x14ac:dyDescent="0.4">
      <c r="B68" s="206" t="s">
        <v>417</v>
      </c>
      <c r="C68" s="206">
        <v>4</v>
      </c>
      <c r="D68" s="405"/>
      <c r="E68" s="206" t="s">
        <v>417</v>
      </c>
      <c r="F68" s="206">
        <v>4</v>
      </c>
      <c r="H68" s="206" t="s">
        <v>571</v>
      </c>
      <c r="I68" s="206">
        <v>0</v>
      </c>
      <c r="K68" s="206" t="s">
        <v>417</v>
      </c>
      <c r="L68" s="206">
        <v>4</v>
      </c>
    </row>
    <row r="69" spans="2:12" ht="14" thickBot="1" x14ac:dyDescent="0.4">
      <c r="B69" s="207" t="s">
        <v>418</v>
      </c>
      <c r="C69" s="207">
        <v>0</v>
      </c>
      <c r="D69" s="405"/>
      <c r="E69" s="207" t="s">
        <v>418</v>
      </c>
      <c r="F69" s="207">
        <v>0</v>
      </c>
      <c r="H69" s="207" t="s">
        <v>572</v>
      </c>
      <c r="I69" s="207">
        <v>2</v>
      </c>
      <c r="K69" s="207" t="s">
        <v>418</v>
      </c>
      <c r="L69" s="207">
        <v>0</v>
      </c>
    </row>
    <row r="70" spans="2:12" ht="14" thickBot="1" x14ac:dyDescent="0.4">
      <c r="H70" s="206" t="s">
        <v>573</v>
      </c>
      <c r="I70" s="206">
        <v>4</v>
      </c>
    </row>
    <row r="72" spans="2:12" ht="29" x14ac:dyDescent="0.35">
      <c r="B72" s="209" t="s">
        <v>574</v>
      </c>
      <c r="C72" s="209"/>
      <c r="D72" s="209"/>
      <c r="E72" s="234" t="s">
        <v>575</v>
      </c>
      <c r="L72" s="234" t="s">
        <v>576</v>
      </c>
    </row>
    <row r="73" spans="2:12" ht="14.5" x14ac:dyDescent="0.35">
      <c r="B73" s="209" t="s">
        <v>577</v>
      </c>
      <c r="C73" s="209"/>
      <c r="D73" s="209"/>
      <c r="E73" s="234" t="s">
        <v>578</v>
      </c>
      <c r="L73" s="209" t="s">
        <v>579</v>
      </c>
    </row>
    <row r="74" spans="2:12" ht="29" x14ac:dyDescent="0.35">
      <c r="C74" s="209"/>
      <c r="D74" s="209"/>
      <c r="E74" s="234" t="s">
        <v>580</v>
      </c>
      <c r="L74" s="209" t="s">
        <v>581</v>
      </c>
    </row>
    <row r="75" spans="2:12" ht="29" x14ac:dyDescent="0.35">
      <c r="C75" s="209"/>
      <c r="D75" s="209"/>
      <c r="E75" s="234" t="s">
        <v>582</v>
      </c>
    </row>
    <row r="76" spans="2:12" ht="43.5" x14ac:dyDescent="0.35">
      <c r="C76" s="209"/>
      <c r="D76" s="209"/>
      <c r="E76" s="234" t="s">
        <v>583</v>
      </c>
    </row>
    <row r="77" spans="2:12" x14ac:dyDescent="0.35">
      <c r="C77" s="209"/>
      <c r="D77" s="209"/>
      <c r="E77" s="209" t="s">
        <v>584</v>
      </c>
    </row>
    <row r="78" spans="2:12" ht="27" x14ac:dyDescent="0.35">
      <c r="C78" s="209"/>
      <c r="D78" s="209"/>
      <c r="E78" s="209" t="s">
        <v>585</v>
      </c>
    </row>
    <row r="79" spans="2:12" x14ac:dyDescent="0.35">
      <c r="C79" s="209"/>
      <c r="D79" s="209"/>
      <c r="E79" s="209"/>
    </row>
    <row r="80" spans="2:12" ht="45" x14ac:dyDescent="0.35">
      <c r="B80" s="202" t="s">
        <v>1426</v>
      </c>
      <c r="C80" s="212">
        <v>0.04</v>
      </c>
      <c r="D80" s="213" t="s">
        <v>490</v>
      </c>
    </row>
    <row r="81" spans="2:15" ht="14" thickBot="1" x14ac:dyDescent="0.4">
      <c r="E81" s="209"/>
    </row>
    <row r="82" spans="2:15" ht="27.5" thickBot="1" x14ac:dyDescent="0.4">
      <c r="B82" s="216" t="s">
        <v>586</v>
      </c>
      <c r="C82" s="203">
        <v>1</v>
      </c>
      <c r="D82" s="439"/>
      <c r="E82" s="209"/>
    </row>
    <row r="83" spans="2:15" ht="14.5" thickTop="1" thickBot="1" x14ac:dyDescent="0.4">
      <c r="B83" s="205" t="s">
        <v>515</v>
      </c>
      <c r="C83" s="205" t="s">
        <v>495</v>
      </c>
      <c r="D83" s="440"/>
      <c r="E83" s="209"/>
    </row>
    <row r="84" spans="2:15" ht="14" thickBot="1" x14ac:dyDescent="0.4">
      <c r="B84" s="206" t="s">
        <v>417</v>
      </c>
      <c r="C84" s="206">
        <v>4</v>
      </c>
      <c r="D84" s="405"/>
      <c r="E84" s="209"/>
    </row>
    <row r="85" spans="2:15" ht="14" thickBot="1" x14ac:dyDescent="0.4">
      <c r="B85" s="207" t="s">
        <v>418</v>
      </c>
      <c r="C85" s="207">
        <v>0</v>
      </c>
      <c r="D85" s="405"/>
      <c r="E85" s="209"/>
    </row>
    <row r="86" spans="2:15" x14ac:dyDescent="0.35">
      <c r="C86" s="209"/>
      <c r="D86" s="209"/>
      <c r="E86" s="209"/>
    </row>
    <row r="87" spans="2:15" ht="29" x14ac:dyDescent="0.35">
      <c r="B87" s="234" t="s">
        <v>587</v>
      </c>
      <c r="C87" s="209"/>
      <c r="D87" s="209"/>
      <c r="E87" s="125"/>
    </row>
    <row r="88" spans="2:15" x14ac:dyDescent="0.35">
      <c r="C88" s="209"/>
      <c r="D88" s="209"/>
      <c r="E88" s="209"/>
    </row>
    <row r="90" spans="2:15" ht="30" x14ac:dyDescent="0.35">
      <c r="B90" s="202" t="s">
        <v>588</v>
      </c>
      <c r="C90" s="212">
        <v>0.08</v>
      </c>
      <c r="D90" s="213" t="s">
        <v>490</v>
      </c>
    </row>
    <row r="91" spans="2:15" ht="14" thickBot="1" x14ac:dyDescent="0.4"/>
    <row r="92" spans="2:15" ht="54.5" thickBot="1" x14ac:dyDescent="0.4">
      <c r="B92" s="216" t="s">
        <v>589</v>
      </c>
      <c r="C92" s="203">
        <v>0.4</v>
      </c>
      <c r="D92" s="439"/>
      <c r="E92" s="216" t="s">
        <v>590</v>
      </c>
      <c r="F92" s="203">
        <v>0.2</v>
      </c>
      <c r="H92" s="216" t="s">
        <v>591</v>
      </c>
      <c r="I92" s="203">
        <v>0.1</v>
      </c>
      <c r="K92" s="216" t="s">
        <v>592</v>
      </c>
      <c r="L92" s="203">
        <v>0.15</v>
      </c>
      <c r="N92" s="216" t="s">
        <v>593</v>
      </c>
      <c r="O92" s="203">
        <v>0.15</v>
      </c>
    </row>
    <row r="93" spans="2:15" ht="14.5" thickTop="1" thickBot="1" x14ac:dyDescent="0.4">
      <c r="B93" s="205" t="s">
        <v>594</v>
      </c>
      <c r="C93" s="205" t="s">
        <v>495</v>
      </c>
      <c r="D93" s="440"/>
      <c r="E93" s="205" t="s">
        <v>595</v>
      </c>
      <c r="F93" s="205" t="s">
        <v>495</v>
      </c>
      <c r="H93" s="205" t="s">
        <v>570</v>
      </c>
      <c r="I93" s="205" t="s">
        <v>495</v>
      </c>
      <c r="K93" s="205" t="s">
        <v>570</v>
      </c>
      <c r="L93" s="205" t="s">
        <v>495</v>
      </c>
      <c r="N93" s="205" t="s">
        <v>594</v>
      </c>
      <c r="O93" s="205" t="s">
        <v>495</v>
      </c>
    </row>
    <row r="94" spans="2:15" ht="14" thickBot="1" x14ac:dyDescent="0.4">
      <c r="B94" s="206" t="s">
        <v>596</v>
      </c>
      <c r="C94" s="206">
        <v>0</v>
      </c>
      <c r="D94" s="405"/>
      <c r="E94" s="206" t="s">
        <v>597</v>
      </c>
      <c r="F94" s="206">
        <v>4</v>
      </c>
      <c r="H94" s="206" t="s">
        <v>525</v>
      </c>
      <c r="I94" s="206">
        <v>0</v>
      </c>
      <c r="K94" s="206" t="s">
        <v>525</v>
      </c>
      <c r="L94" s="206">
        <v>0</v>
      </c>
      <c r="N94" s="206" t="s">
        <v>598</v>
      </c>
      <c r="O94" s="206">
        <v>0</v>
      </c>
    </row>
    <row r="95" spans="2:15" ht="14" thickBot="1" x14ac:dyDescent="0.4">
      <c r="B95" s="207" t="s">
        <v>599</v>
      </c>
      <c r="C95" s="207">
        <v>2</v>
      </c>
      <c r="D95" s="405"/>
      <c r="E95" s="207" t="s">
        <v>600</v>
      </c>
      <c r="F95" s="207">
        <v>2</v>
      </c>
      <c r="H95" s="207" t="s">
        <v>601</v>
      </c>
      <c r="I95" s="207">
        <v>2</v>
      </c>
      <c r="K95" s="208" t="s">
        <v>523</v>
      </c>
      <c r="L95" s="207">
        <v>2</v>
      </c>
      <c r="N95" s="208" t="s">
        <v>602</v>
      </c>
      <c r="O95" s="207">
        <v>2</v>
      </c>
    </row>
    <row r="96" spans="2:15" ht="14" thickBot="1" x14ac:dyDescent="0.4">
      <c r="B96" s="206" t="s">
        <v>603</v>
      </c>
      <c r="C96" s="206">
        <v>4</v>
      </c>
      <c r="D96" s="405"/>
      <c r="E96" s="206" t="s">
        <v>538</v>
      </c>
      <c r="F96" s="206">
        <v>0</v>
      </c>
      <c r="H96" s="206" t="s">
        <v>604</v>
      </c>
      <c r="I96" s="206">
        <v>4</v>
      </c>
      <c r="K96" s="206" t="s">
        <v>521</v>
      </c>
      <c r="L96" s="206">
        <v>4</v>
      </c>
      <c r="N96" s="206" t="s">
        <v>605</v>
      </c>
      <c r="O96" s="206">
        <v>4</v>
      </c>
    </row>
    <row r="97" spans="2:18" x14ac:dyDescent="0.35">
      <c r="C97" s="209"/>
      <c r="D97" s="209"/>
      <c r="E97" s="209"/>
    </row>
    <row r="98" spans="2:18" ht="43.5" x14ac:dyDescent="0.35">
      <c r="B98" s="234" t="s">
        <v>606</v>
      </c>
      <c r="C98" s="209"/>
      <c r="D98" s="209"/>
      <c r="E98" s="209" t="s">
        <v>607</v>
      </c>
      <c r="H98" s="209" t="s">
        <v>608</v>
      </c>
      <c r="K98" s="209" t="s">
        <v>608</v>
      </c>
      <c r="N98" s="209" t="s">
        <v>608</v>
      </c>
    </row>
    <row r="99" spans="2:18" ht="27" x14ac:dyDescent="0.35">
      <c r="B99" s="209" t="s">
        <v>609</v>
      </c>
      <c r="C99" s="209"/>
      <c r="D99" s="209"/>
      <c r="E99" s="209" t="s">
        <v>610</v>
      </c>
      <c r="H99" s="209" t="s">
        <v>611</v>
      </c>
      <c r="K99" s="209" t="s">
        <v>611</v>
      </c>
      <c r="N99" s="209" t="s">
        <v>611</v>
      </c>
    </row>
    <row r="100" spans="2:18" ht="43.5" x14ac:dyDescent="0.35">
      <c r="B100" s="209" t="s">
        <v>612</v>
      </c>
      <c r="C100" s="209"/>
      <c r="D100" s="209"/>
      <c r="E100" s="209"/>
      <c r="H100" s="209" t="s">
        <v>613</v>
      </c>
      <c r="K100" s="234" t="s">
        <v>614</v>
      </c>
      <c r="N100" s="234" t="s">
        <v>615</v>
      </c>
    </row>
    <row r="102" spans="2:18" ht="45" x14ac:dyDescent="0.35">
      <c r="B102" s="202" t="s">
        <v>616</v>
      </c>
      <c r="C102" s="212">
        <v>0.06</v>
      </c>
      <c r="D102" s="213" t="s">
        <v>490</v>
      </c>
    </row>
    <row r="103" spans="2:18" ht="14" thickBot="1" x14ac:dyDescent="0.4"/>
    <row r="104" spans="2:18" ht="41" thickBot="1" x14ac:dyDescent="0.4">
      <c r="B104" s="216" t="s">
        <v>617</v>
      </c>
      <c r="C104" s="203">
        <v>0.3</v>
      </c>
      <c r="D104" s="439"/>
      <c r="E104" s="216" t="s">
        <v>618</v>
      </c>
      <c r="F104" s="203">
        <v>0.3</v>
      </c>
      <c r="H104" s="216" t="s">
        <v>619</v>
      </c>
      <c r="I104" s="203">
        <v>0.1</v>
      </c>
      <c r="K104" s="216" t="s">
        <v>620</v>
      </c>
      <c r="L104" s="203">
        <v>0.1</v>
      </c>
      <c r="N104" s="216" t="s">
        <v>621</v>
      </c>
      <c r="O104" s="203">
        <v>0.1</v>
      </c>
      <c r="Q104" s="216" t="s">
        <v>622</v>
      </c>
      <c r="R104" s="203">
        <v>0.1</v>
      </c>
    </row>
    <row r="105" spans="2:18" ht="14.5" thickTop="1" thickBot="1" x14ac:dyDescent="0.4">
      <c r="B105" s="205" t="s">
        <v>623</v>
      </c>
      <c r="C105" s="205" t="s">
        <v>495</v>
      </c>
      <c r="D105" s="440"/>
      <c r="E105" s="204" t="s">
        <v>624</v>
      </c>
      <c r="F105" s="204" t="s">
        <v>495</v>
      </c>
      <c r="H105" s="204" t="s">
        <v>624</v>
      </c>
      <c r="I105" s="204" t="s">
        <v>495</v>
      </c>
      <c r="K105" s="204" t="s">
        <v>624</v>
      </c>
      <c r="L105" s="204" t="s">
        <v>495</v>
      </c>
      <c r="N105" s="204" t="s">
        <v>624</v>
      </c>
      <c r="O105" s="204" t="s">
        <v>495</v>
      </c>
      <c r="Q105" s="204" t="s">
        <v>624</v>
      </c>
      <c r="R105" s="204" t="s">
        <v>495</v>
      </c>
    </row>
    <row r="106" spans="2:18" ht="14" thickBot="1" x14ac:dyDescent="0.4">
      <c r="B106" s="206" t="s">
        <v>417</v>
      </c>
      <c r="C106" s="206">
        <v>4</v>
      </c>
      <c r="D106" s="405"/>
      <c r="E106" s="206" t="s">
        <v>421</v>
      </c>
      <c r="F106" s="206">
        <v>0</v>
      </c>
      <c r="H106" s="206" t="s">
        <v>421</v>
      </c>
      <c r="I106" s="206">
        <v>0</v>
      </c>
      <c r="K106" s="206" t="s">
        <v>421</v>
      </c>
      <c r="L106" s="206">
        <v>0</v>
      </c>
      <c r="N106" s="206" t="s">
        <v>421</v>
      </c>
      <c r="O106" s="206">
        <v>0</v>
      </c>
      <c r="Q106" s="206" t="s">
        <v>421</v>
      </c>
      <c r="R106" s="206">
        <v>0</v>
      </c>
    </row>
    <row r="107" spans="2:18" ht="14" thickBot="1" x14ac:dyDescent="0.4">
      <c r="B107" s="207" t="s">
        <v>418</v>
      </c>
      <c r="C107" s="207">
        <v>0</v>
      </c>
      <c r="D107" s="405"/>
      <c r="E107" s="207" t="s">
        <v>419</v>
      </c>
      <c r="F107" s="207">
        <v>2</v>
      </c>
      <c r="H107" s="207" t="s">
        <v>419</v>
      </c>
      <c r="I107" s="207">
        <v>2</v>
      </c>
      <c r="K107" s="207" t="s">
        <v>419</v>
      </c>
      <c r="L107" s="207">
        <v>2</v>
      </c>
      <c r="N107" s="207" t="s">
        <v>419</v>
      </c>
      <c r="O107" s="207">
        <v>2</v>
      </c>
      <c r="Q107" s="207" t="s">
        <v>419</v>
      </c>
      <c r="R107" s="207">
        <v>2</v>
      </c>
    </row>
    <row r="108" spans="2:18" ht="14" thickBot="1" x14ac:dyDescent="0.4">
      <c r="E108" s="206" t="s">
        <v>428</v>
      </c>
      <c r="F108" s="206">
        <v>4</v>
      </c>
      <c r="H108" s="206" t="s">
        <v>428</v>
      </c>
      <c r="I108" s="206">
        <v>4</v>
      </c>
      <c r="K108" s="206" t="s">
        <v>428</v>
      </c>
      <c r="L108" s="206">
        <v>4</v>
      </c>
      <c r="N108" s="206" t="s">
        <v>428</v>
      </c>
      <c r="O108" s="206">
        <v>4</v>
      </c>
      <c r="Q108" s="206" t="s">
        <v>428</v>
      </c>
      <c r="R108" s="206">
        <v>4</v>
      </c>
    </row>
    <row r="109" spans="2:18" ht="14.5" x14ac:dyDescent="0.35">
      <c r="B109" s="233" t="s">
        <v>625</v>
      </c>
      <c r="E109" s="234"/>
      <c r="H109" s="234"/>
    </row>
    <row r="110" spans="2:18" ht="87" x14ac:dyDescent="0.35">
      <c r="B110" s="234" t="s">
        <v>626</v>
      </c>
      <c r="E110" s="234" t="s">
        <v>627</v>
      </c>
      <c r="H110" s="234" t="s">
        <v>627</v>
      </c>
      <c r="K110" s="234" t="s">
        <v>627</v>
      </c>
      <c r="N110" s="234" t="s">
        <v>627</v>
      </c>
      <c r="Q110" s="234" t="s">
        <v>627</v>
      </c>
    </row>
    <row r="111" spans="2:18" x14ac:dyDescent="0.35">
      <c r="E111" s="209"/>
    </row>
    <row r="112" spans="2:18" ht="27" x14ac:dyDescent="0.35">
      <c r="E112" s="209" t="s">
        <v>628</v>
      </c>
      <c r="H112" s="209" t="s">
        <v>628</v>
      </c>
      <c r="K112" s="209" t="s">
        <v>628</v>
      </c>
      <c r="N112" s="209" t="s">
        <v>628</v>
      </c>
      <c r="Q112" s="209" t="s">
        <v>628</v>
      </c>
    </row>
    <row r="113" spans="5:17" ht="27" x14ac:dyDescent="0.35">
      <c r="E113" s="209" t="s">
        <v>629</v>
      </c>
      <c r="H113" s="209" t="s">
        <v>629</v>
      </c>
      <c r="K113" s="209" t="s">
        <v>629</v>
      </c>
      <c r="N113" s="209" t="s">
        <v>629</v>
      </c>
      <c r="Q113" s="209" t="s">
        <v>629</v>
      </c>
    </row>
    <row r="114" spans="5:17" x14ac:dyDescent="0.35">
      <c r="E114" s="209"/>
    </row>
    <row r="115" spans="5:17" ht="14.5" x14ac:dyDescent="0.35">
      <c r="E115" s="307" t="s">
        <v>630</v>
      </c>
    </row>
    <row r="116" spans="5:17" x14ac:dyDescent="0.35">
      <c r="E116" s="209"/>
    </row>
    <row r="117" spans="5:17" x14ac:dyDescent="0.35">
      <c r="E117" s="209"/>
    </row>
    <row r="118" spans="5:17" x14ac:dyDescent="0.35">
      <c r="E118" s="209"/>
    </row>
    <row r="119" spans="5:17" x14ac:dyDescent="0.35">
      <c r="E119" s="209"/>
    </row>
    <row r="120" spans="5:17" x14ac:dyDescent="0.35">
      <c r="E120" s="209"/>
    </row>
    <row r="121" spans="5:17" x14ac:dyDescent="0.35">
      <c r="E121" s="209"/>
    </row>
    <row r="122" spans="5:17" x14ac:dyDescent="0.35">
      <c r="E122" s="209"/>
    </row>
  </sheetData>
  <hyperlinks>
    <hyperlink ref="E110" r:id="rId1" xr:uid="{2836D192-4ACE-47CE-AC1A-AE9B606B651C}"/>
    <hyperlink ref="H110" r:id="rId2" xr:uid="{6613C09E-C8AE-4572-9778-CB24AB584B10}"/>
    <hyperlink ref="B98" r:id="rId3" xr:uid="{762D1098-B558-41DC-9656-CF9692C1FA88}"/>
    <hyperlink ref="B110" r:id="rId4" xr:uid="{0608B119-7938-4582-93F6-4C1BFD587A97}"/>
    <hyperlink ref="B87" r:id="rId5" xr:uid="{D423473B-BF15-4BE5-ADA7-6E28DAE58379}"/>
    <hyperlink ref="L72" r:id="rId6" xr:uid="{D1697BB6-A87D-41D2-BF7D-E6D8451B6923}"/>
    <hyperlink ref="E72" r:id="rId7" xr:uid="{3B60EEFC-C584-42DA-B4F6-5375BCB2B44D}"/>
    <hyperlink ref="E73" r:id="rId8" xr:uid="{0C0F4E73-5789-49AD-9E79-AE7B9D34E549}"/>
    <hyperlink ref="E74" r:id="rId9" xr:uid="{2F567632-946A-4BA8-AF68-5E6CFFB1B6BA}"/>
    <hyperlink ref="K100" r:id="rId10" xr:uid="{089C5FA7-C5D3-46B8-A638-26708653F2C0}"/>
    <hyperlink ref="N100" r:id="rId11" xr:uid="{829DC7CA-FE76-49C4-9BA9-64C73FF0F08D}"/>
    <hyperlink ref="E76" r:id="rId12" xr:uid="{E49547EA-C01F-4AF8-B080-2134B5B660A9}"/>
    <hyperlink ref="E75" r:id="rId13" xr:uid="{D6B6DC97-68B9-40BC-A6C9-15AA63DE564D}"/>
    <hyperlink ref="K110" r:id="rId14" xr:uid="{741582BE-40DC-4B12-8EC4-C876050144A0}"/>
    <hyperlink ref="N110" r:id="rId15" xr:uid="{B3AF92D2-1D43-4C6C-88E4-94551F6DC062}"/>
    <hyperlink ref="Q110" r:id="rId16" xr:uid="{EB843DD2-65FA-4E1B-A792-6EE30BE35ABB}"/>
    <hyperlink ref="E61" r:id="rId17" xr:uid="{4D7E3A29-E070-4AC5-9F54-ACF7E030DCE6}"/>
    <hyperlink ref="E62" r:id="rId18" xr:uid="{8895ACCE-91F5-4900-AA42-ECCEA28C91ED}"/>
  </hyperlinks>
  <pageMargins left="0.7" right="0.7" top="0.75" bottom="0.75" header="0.3" footer="0.3"/>
  <pageSetup orientation="portrait" horizontalDpi="4294967293" r:id="rId19"/>
  <legacyDrawing r:id="rId2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7E7A2-9566-452D-9063-6B89C192AF34}">
  <sheetPr>
    <tabColor theme="3"/>
  </sheetPr>
  <dimension ref="B1:Q42"/>
  <sheetViews>
    <sheetView workbookViewId="0"/>
  </sheetViews>
  <sheetFormatPr defaultColWidth="8.81640625" defaultRowHeight="15" x14ac:dyDescent="0.35"/>
  <cols>
    <col min="1" max="1" width="3.1796875" style="303" customWidth="1"/>
    <col min="2" max="2" width="9.1796875" style="304" bestFit="1" customWidth="1"/>
    <col min="3" max="3" width="22.1796875" style="304" bestFit="1" customWidth="1"/>
    <col min="4" max="4" width="35.54296875" style="304" customWidth="1"/>
    <col min="5" max="5" width="17" style="304" customWidth="1"/>
    <col min="6" max="6" width="54.453125" style="304" customWidth="1"/>
    <col min="7" max="7" width="38.1796875" style="303" customWidth="1"/>
    <col min="8" max="8" width="23.54296875" style="304" customWidth="1"/>
    <col min="9" max="9" width="18.1796875" style="310" customWidth="1"/>
    <col min="10" max="10" width="18.81640625" style="304" customWidth="1"/>
    <col min="11" max="11" width="59.54296875" style="304" customWidth="1"/>
    <col min="12" max="12" width="62.81640625" style="303" customWidth="1"/>
    <col min="13" max="13" width="28" style="304" customWidth="1"/>
    <col min="14" max="16" width="9.1796875" style="303"/>
    <col min="17" max="17" width="44.453125" style="306" customWidth="1"/>
    <col min="18" max="16384" width="8.81640625" style="303"/>
  </cols>
  <sheetData>
    <row r="1" spans="2:17" x14ac:dyDescent="0.35">
      <c r="I1" s="304"/>
    </row>
    <row r="2" spans="2:17" ht="60" x14ac:dyDescent="0.35">
      <c r="B2" s="311" t="s">
        <v>631</v>
      </c>
      <c r="C2" s="311" t="s">
        <v>632</v>
      </c>
      <c r="D2" s="311" t="s">
        <v>633</v>
      </c>
      <c r="E2" s="311" t="s">
        <v>634</v>
      </c>
      <c r="F2" s="311" t="s">
        <v>635</v>
      </c>
      <c r="G2" s="311" t="s">
        <v>636</v>
      </c>
      <c r="H2" s="311" t="s">
        <v>637</v>
      </c>
      <c r="I2" s="311" t="s">
        <v>638</v>
      </c>
      <c r="J2" s="311" t="s">
        <v>639</v>
      </c>
      <c r="K2" s="311" t="s">
        <v>640</v>
      </c>
      <c r="L2" s="312" t="s">
        <v>641</v>
      </c>
      <c r="M2" s="312" t="s">
        <v>642</v>
      </c>
      <c r="N2" s="312" t="s">
        <v>643</v>
      </c>
      <c r="O2" s="312" t="s">
        <v>644</v>
      </c>
      <c r="P2" s="312" t="s">
        <v>645</v>
      </c>
      <c r="Q2" s="311" t="s">
        <v>646</v>
      </c>
    </row>
    <row r="3" spans="2:17" ht="45" x14ac:dyDescent="0.35">
      <c r="B3" s="358">
        <v>1</v>
      </c>
      <c r="C3" s="812" t="s">
        <v>647</v>
      </c>
      <c r="D3" s="812" t="s">
        <v>648</v>
      </c>
      <c r="E3" s="816">
        <v>0.2</v>
      </c>
      <c r="F3" s="813" t="s">
        <v>649</v>
      </c>
      <c r="G3" s="359" t="s">
        <v>650</v>
      </c>
      <c r="H3" s="360">
        <v>0.5</v>
      </c>
      <c r="I3" s="361">
        <v>4</v>
      </c>
      <c r="J3" s="362">
        <f>E3*H3</f>
        <v>0.1</v>
      </c>
      <c r="K3" s="363" t="s">
        <v>651</v>
      </c>
      <c r="L3" s="315" t="s">
        <v>652</v>
      </c>
      <c r="M3" s="326" t="s">
        <v>653</v>
      </c>
      <c r="N3" s="326"/>
      <c r="O3" s="315"/>
      <c r="P3" s="315"/>
      <c r="Q3" s="364"/>
    </row>
    <row r="4" spans="2:17" ht="60" x14ac:dyDescent="0.35">
      <c r="B4" s="365">
        <v>2</v>
      </c>
      <c r="C4" s="812"/>
      <c r="D4" s="812"/>
      <c r="E4" s="816"/>
      <c r="F4" s="814"/>
      <c r="G4" s="366" t="s">
        <v>654</v>
      </c>
      <c r="H4" s="367">
        <v>0.15</v>
      </c>
      <c r="I4" s="368">
        <v>4</v>
      </c>
      <c r="J4" s="369">
        <f>E3*H4</f>
        <v>0.03</v>
      </c>
      <c r="K4" s="370" t="s">
        <v>655</v>
      </c>
      <c r="L4" s="320" t="s">
        <v>656</v>
      </c>
      <c r="M4" s="322" t="s">
        <v>653</v>
      </c>
      <c r="N4" s="319" t="s">
        <v>643</v>
      </c>
      <c r="O4" s="320"/>
      <c r="P4" s="320"/>
      <c r="Q4" s="371"/>
    </row>
    <row r="5" spans="2:17" ht="60" x14ac:dyDescent="0.35">
      <c r="B5" s="358">
        <v>3</v>
      </c>
      <c r="C5" s="812"/>
      <c r="D5" s="812"/>
      <c r="E5" s="816"/>
      <c r="F5" s="814"/>
      <c r="G5" s="327" t="s">
        <v>263</v>
      </c>
      <c r="H5" s="360">
        <v>0.25</v>
      </c>
      <c r="I5" s="361">
        <v>4</v>
      </c>
      <c r="J5" s="362">
        <f>E3*H5</f>
        <v>0.05</v>
      </c>
      <c r="K5" s="363" t="s">
        <v>657</v>
      </c>
      <c r="L5" s="315" t="s">
        <v>658</v>
      </c>
      <c r="M5" s="326" t="s">
        <v>653</v>
      </c>
      <c r="N5" s="315"/>
      <c r="O5" s="315"/>
      <c r="P5" s="315"/>
      <c r="Q5" s="328" t="s">
        <v>659</v>
      </c>
    </row>
    <row r="6" spans="2:17" ht="60" x14ac:dyDescent="0.35">
      <c r="B6" s="365">
        <v>4</v>
      </c>
      <c r="C6" s="812"/>
      <c r="D6" s="812"/>
      <c r="E6" s="816"/>
      <c r="F6" s="814"/>
      <c r="G6" s="321" t="s">
        <v>660</v>
      </c>
      <c r="H6" s="367">
        <v>0.1</v>
      </c>
      <c r="I6" s="368">
        <v>4</v>
      </c>
      <c r="J6" s="369">
        <f>E3*H6</f>
        <v>2.0000000000000004E-2</v>
      </c>
      <c r="K6" s="370" t="s">
        <v>661</v>
      </c>
      <c r="L6" s="320" t="s">
        <v>662</v>
      </c>
      <c r="M6" s="322" t="s">
        <v>653</v>
      </c>
      <c r="N6" s="320"/>
      <c r="O6" s="320"/>
      <c r="P6" s="320"/>
      <c r="Q6" s="323" t="s">
        <v>663</v>
      </c>
    </row>
    <row r="7" spans="2:17" ht="30" x14ac:dyDescent="0.35">
      <c r="B7" s="358">
        <v>5</v>
      </c>
      <c r="C7" s="812"/>
      <c r="D7" s="811" t="s">
        <v>664</v>
      </c>
      <c r="E7" s="817">
        <v>0.15</v>
      </c>
      <c r="F7" s="815" t="s">
        <v>665</v>
      </c>
      <c r="G7" s="359" t="s">
        <v>666</v>
      </c>
      <c r="H7" s="360">
        <v>0.4</v>
      </c>
      <c r="I7" s="361">
        <v>4</v>
      </c>
      <c r="J7" s="362">
        <f>E7*H7</f>
        <v>0.06</v>
      </c>
      <c r="K7" s="363" t="s">
        <v>667</v>
      </c>
      <c r="L7" s="315" t="s">
        <v>668</v>
      </c>
      <c r="M7" s="326" t="s">
        <v>653</v>
      </c>
      <c r="N7" s="329" t="s">
        <v>643</v>
      </c>
      <c r="O7" s="315"/>
      <c r="P7" s="315"/>
      <c r="Q7" s="364"/>
    </row>
    <row r="8" spans="2:17" ht="45" x14ac:dyDescent="0.35">
      <c r="B8" s="365">
        <v>6</v>
      </c>
      <c r="C8" s="812"/>
      <c r="D8" s="811"/>
      <c r="E8" s="817"/>
      <c r="F8" s="815"/>
      <c r="G8" s="366" t="s">
        <v>669</v>
      </c>
      <c r="H8" s="367">
        <v>0.6</v>
      </c>
      <c r="I8" s="368">
        <v>4</v>
      </c>
      <c r="J8" s="369">
        <f>E7*H8</f>
        <v>0.09</v>
      </c>
      <c r="K8" s="370" t="s">
        <v>670</v>
      </c>
      <c r="L8" s="320" t="s">
        <v>671</v>
      </c>
      <c r="M8" s="322" t="s">
        <v>653</v>
      </c>
      <c r="N8" s="319" t="s">
        <v>643</v>
      </c>
      <c r="O8" s="320"/>
      <c r="P8" s="320"/>
      <c r="Q8" s="371"/>
    </row>
    <row r="9" spans="2:17" ht="45" x14ac:dyDescent="0.35">
      <c r="B9" s="358">
        <v>7</v>
      </c>
      <c r="C9" s="812"/>
      <c r="D9" s="812" t="s">
        <v>672</v>
      </c>
      <c r="E9" s="816">
        <v>0.15</v>
      </c>
      <c r="F9" s="813" t="s">
        <v>673</v>
      </c>
      <c r="G9" s="359" t="s">
        <v>674</v>
      </c>
      <c r="H9" s="360">
        <v>0.5</v>
      </c>
      <c r="I9" s="361">
        <v>4</v>
      </c>
      <c r="J9" s="362">
        <f>E9*H9</f>
        <v>7.4999999999999997E-2</v>
      </c>
      <c r="K9" s="363" t="s">
        <v>675</v>
      </c>
      <c r="L9" s="315" t="s">
        <v>676</v>
      </c>
      <c r="M9" s="326" t="s">
        <v>677</v>
      </c>
      <c r="N9" s="326"/>
      <c r="O9" s="315"/>
      <c r="P9" s="315"/>
      <c r="Q9" s="328" t="s">
        <v>678</v>
      </c>
    </row>
    <row r="10" spans="2:17" ht="45" x14ac:dyDescent="0.35">
      <c r="B10" s="365">
        <v>8</v>
      </c>
      <c r="C10" s="812"/>
      <c r="D10" s="812"/>
      <c r="E10" s="816"/>
      <c r="F10" s="813"/>
      <c r="G10" s="321" t="s">
        <v>679</v>
      </c>
      <c r="H10" s="367">
        <v>0.5</v>
      </c>
      <c r="I10" s="368">
        <v>4</v>
      </c>
      <c r="J10" s="369">
        <f>E9*H10</f>
        <v>7.4999999999999997E-2</v>
      </c>
      <c r="K10" s="370" t="s">
        <v>680</v>
      </c>
      <c r="L10" s="320" t="s">
        <v>676</v>
      </c>
      <c r="M10" s="322" t="s">
        <v>677</v>
      </c>
      <c r="N10" s="322"/>
      <c r="O10" s="320"/>
      <c r="P10" s="320"/>
      <c r="Q10" s="371"/>
    </row>
    <row r="11" spans="2:17" ht="30" x14ac:dyDescent="0.35">
      <c r="B11" s="358">
        <v>9</v>
      </c>
      <c r="C11" s="811" t="s">
        <v>681</v>
      </c>
      <c r="D11" s="811" t="s">
        <v>682</v>
      </c>
      <c r="E11" s="817">
        <v>0.1</v>
      </c>
      <c r="F11" s="815" t="s">
        <v>683</v>
      </c>
      <c r="G11" s="330" t="s">
        <v>684</v>
      </c>
      <c r="H11" s="316">
        <v>0.15</v>
      </c>
      <c r="I11" s="317">
        <v>4</v>
      </c>
      <c r="J11" s="372">
        <f>E11*H11</f>
        <v>1.4999999999999999E-2</v>
      </c>
      <c r="K11" s="318" t="s">
        <v>685</v>
      </c>
      <c r="L11" s="315" t="s">
        <v>658</v>
      </c>
      <c r="M11" s="326" t="s">
        <v>653</v>
      </c>
      <c r="N11" s="326"/>
      <c r="O11" s="315"/>
      <c r="P11" s="315"/>
      <c r="Q11" s="373"/>
    </row>
    <row r="12" spans="2:17" ht="30" x14ac:dyDescent="0.35">
      <c r="B12" s="365">
        <v>10</v>
      </c>
      <c r="C12" s="811"/>
      <c r="D12" s="811"/>
      <c r="E12" s="817"/>
      <c r="F12" s="815"/>
      <c r="G12" s="321" t="s">
        <v>686</v>
      </c>
      <c r="H12" s="313">
        <v>0.15</v>
      </c>
      <c r="I12" s="314">
        <v>4</v>
      </c>
      <c r="J12" s="374">
        <f>E11*H12</f>
        <v>1.4999999999999999E-2</v>
      </c>
      <c r="K12" s="324" t="s">
        <v>687</v>
      </c>
      <c r="L12" s="320" t="s">
        <v>658</v>
      </c>
      <c r="M12" s="322" t="s">
        <v>653</v>
      </c>
      <c r="N12" s="322"/>
      <c r="O12" s="320"/>
      <c r="P12" s="320"/>
      <c r="Q12" s="375"/>
    </row>
    <row r="13" spans="2:17" ht="30" x14ac:dyDescent="0.35">
      <c r="B13" s="358">
        <v>11</v>
      </c>
      <c r="C13" s="811"/>
      <c r="D13" s="811"/>
      <c r="E13" s="817"/>
      <c r="F13" s="815"/>
      <c r="G13" s="330" t="s">
        <v>688</v>
      </c>
      <c r="H13" s="316">
        <v>0.3</v>
      </c>
      <c r="I13" s="317">
        <v>4</v>
      </c>
      <c r="J13" s="372">
        <f>E11*H13</f>
        <v>0.03</v>
      </c>
      <c r="K13" s="318" t="s">
        <v>689</v>
      </c>
      <c r="L13" s="315" t="s">
        <v>658</v>
      </c>
      <c r="M13" s="326" t="s">
        <v>653</v>
      </c>
      <c r="N13" s="326"/>
      <c r="O13" s="315"/>
      <c r="P13" s="315"/>
      <c r="Q13" s="373"/>
    </row>
    <row r="14" spans="2:17" ht="30" x14ac:dyDescent="0.35">
      <c r="B14" s="365">
        <v>12</v>
      </c>
      <c r="C14" s="811"/>
      <c r="D14" s="811"/>
      <c r="E14" s="817"/>
      <c r="F14" s="815"/>
      <c r="G14" s="321" t="s">
        <v>690</v>
      </c>
      <c r="H14" s="313">
        <v>0.1</v>
      </c>
      <c r="I14" s="314">
        <v>4</v>
      </c>
      <c r="J14" s="374">
        <f>E11*H14</f>
        <v>1.0000000000000002E-2</v>
      </c>
      <c r="K14" s="324" t="s">
        <v>691</v>
      </c>
      <c r="L14" s="320" t="s">
        <v>658</v>
      </c>
      <c r="M14" s="322" t="s">
        <v>653</v>
      </c>
      <c r="N14" s="322"/>
      <c r="O14" s="320"/>
      <c r="P14" s="320"/>
      <c r="Q14" s="375"/>
    </row>
    <row r="15" spans="2:17" ht="30" x14ac:dyDescent="0.35">
      <c r="B15" s="358">
        <v>13</v>
      </c>
      <c r="C15" s="811"/>
      <c r="D15" s="811"/>
      <c r="E15" s="817"/>
      <c r="F15" s="815"/>
      <c r="G15" s="330" t="s">
        <v>692</v>
      </c>
      <c r="H15" s="316">
        <v>0.1</v>
      </c>
      <c r="I15" s="317">
        <v>4</v>
      </c>
      <c r="J15" s="372">
        <f>E11*H15</f>
        <v>1.0000000000000002E-2</v>
      </c>
      <c r="K15" s="318" t="s">
        <v>693</v>
      </c>
      <c r="L15" s="315" t="s">
        <v>658</v>
      </c>
      <c r="M15" s="326" t="s">
        <v>653</v>
      </c>
      <c r="N15" s="326"/>
      <c r="O15" s="315"/>
      <c r="P15" s="315"/>
      <c r="Q15" s="373"/>
    </row>
    <row r="16" spans="2:17" ht="30" x14ac:dyDescent="0.35">
      <c r="B16" s="365">
        <v>14</v>
      </c>
      <c r="C16" s="811"/>
      <c r="D16" s="811"/>
      <c r="E16" s="817"/>
      <c r="F16" s="815"/>
      <c r="G16" s="321" t="s">
        <v>694</v>
      </c>
      <c r="H16" s="313">
        <v>0.2</v>
      </c>
      <c r="I16" s="314">
        <v>4</v>
      </c>
      <c r="J16" s="374">
        <f>E11*H16</f>
        <v>2.0000000000000004E-2</v>
      </c>
      <c r="K16" s="324" t="s">
        <v>695</v>
      </c>
      <c r="L16" s="320" t="s">
        <v>658</v>
      </c>
      <c r="M16" s="322" t="s">
        <v>653</v>
      </c>
      <c r="N16" s="322"/>
      <c r="O16" s="320"/>
      <c r="P16" s="320"/>
      <c r="Q16" s="375"/>
    </row>
    <row r="17" spans="2:17" ht="30" x14ac:dyDescent="0.35">
      <c r="B17" s="358">
        <v>15</v>
      </c>
      <c r="C17" s="811"/>
      <c r="D17" s="812" t="s">
        <v>696</v>
      </c>
      <c r="E17" s="816">
        <v>0.12</v>
      </c>
      <c r="F17" s="813" t="s">
        <v>697</v>
      </c>
      <c r="G17" s="330" t="s">
        <v>698</v>
      </c>
      <c r="H17" s="316">
        <v>0.4</v>
      </c>
      <c r="I17" s="317">
        <v>4</v>
      </c>
      <c r="J17" s="372">
        <f>E17*H17</f>
        <v>4.8000000000000001E-2</v>
      </c>
      <c r="K17" s="318" t="s">
        <v>699</v>
      </c>
      <c r="L17" s="315" t="s">
        <v>658</v>
      </c>
      <c r="M17" s="326" t="s">
        <v>653</v>
      </c>
      <c r="N17" s="326"/>
      <c r="O17" s="315"/>
      <c r="P17" s="315"/>
      <c r="Q17" s="373"/>
    </row>
    <row r="18" spans="2:17" ht="30" x14ac:dyDescent="0.35">
      <c r="B18" s="365">
        <v>16</v>
      </c>
      <c r="C18" s="811"/>
      <c r="D18" s="812"/>
      <c r="E18" s="816"/>
      <c r="F18" s="813"/>
      <c r="G18" s="321" t="s">
        <v>700</v>
      </c>
      <c r="H18" s="313">
        <v>0.2</v>
      </c>
      <c r="I18" s="314">
        <v>4</v>
      </c>
      <c r="J18" s="374">
        <f>E17*H18</f>
        <v>2.4E-2</v>
      </c>
      <c r="K18" s="324" t="s">
        <v>701</v>
      </c>
      <c r="L18" s="320" t="s">
        <v>658</v>
      </c>
      <c r="M18" s="322" t="s">
        <v>653</v>
      </c>
      <c r="N18" s="322"/>
      <c r="O18" s="320"/>
      <c r="P18" s="320"/>
      <c r="Q18" s="375"/>
    </row>
    <row r="19" spans="2:17" ht="30" x14ac:dyDescent="0.35">
      <c r="B19" s="358">
        <v>17</v>
      </c>
      <c r="C19" s="811"/>
      <c r="D19" s="812"/>
      <c r="E19" s="816"/>
      <c r="F19" s="813"/>
      <c r="G19" s="330" t="s">
        <v>702</v>
      </c>
      <c r="H19" s="316">
        <v>0.4</v>
      </c>
      <c r="I19" s="317">
        <v>4</v>
      </c>
      <c r="J19" s="372">
        <f>E17*H19</f>
        <v>4.8000000000000001E-2</v>
      </c>
      <c r="K19" s="318" t="s">
        <v>703</v>
      </c>
      <c r="L19" s="315" t="s">
        <v>658</v>
      </c>
      <c r="M19" s="326" t="s">
        <v>653</v>
      </c>
      <c r="N19" s="326"/>
      <c r="O19" s="315"/>
      <c r="P19" s="315"/>
      <c r="Q19" s="373"/>
    </row>
    <row r="20" spans="2:17" ht="30" x14ac:dyDescent="0.35">
      <c r="B20" s="365">
        <v>18</v>
      </c>
      <c r="C20" s="811"/>
      <c r="D20" s="811" t="s">
        <v>704</v>
      </c>
      <c r="E20" s="817">
        <v>0.1</v>
      </c>
      <c r="F20" s="815" t="s">
        <v>705</v>
      </c>
      <c r="G20" s="321" t="s">
        <v>279</v>
      </c>
      <c r="H20" s="313">
        <v>0.2</v>
      </c>
      <c r="I20" s="314">
        <v>4</v>
      </c>
      <c r="J20" s="374">
        <f>E20*H20</f>
        <v>2.0000000000000004E-2</v>
      </c>
      <c r="K20" s="324" t="s">
        <v>706</v>
      </c>
      <c r="L20" s="320" t="s">
        <v>656</v>
      </c>
      <c r="M20" s="322" t="s">
        <v>653</v>
      </c>
      <c r="N20" s="319" t="s">
        <v>643</v>
      </c>
      <c r="O20" s="320"/>
      <c r="P20" s="320"/>
      <c r="Q20" s="375"/>
    </row>
    <row r="21" spans="2:17" ht="30" x14ac:dyDescent="0.35">
      <c r="B21" s="358">
        <v>19</v>
      </c>
      <c r="C21" s="811"/>
      <c r="D21" s="811"/>
      <c r="E21" s="817"/>
      <c r="F21" s="815"/>
      <c r="G21" s="330" t="s">
        <v>280</v>
      </c>
      <c r="H21" s="316">
        <v>0.2</v>
      </c>
      <c r="I21" s="317">
        <v>4</v>
      </c>
      <c r="J21" s="372">
        <f>E20*H21</f>
        <v>2.0000000000000004E-2</v>
      </c>
      <c r="K21" s="318" t="s">
        <v>707</v>
      </c>
      <c r="L21" s="315" t="s">
        <v>708</v>
      </c>
      <c r="M21" s="326" t="s">
        <v>709</v>
      </c>
      <c r="N21" s="329" t="s">
        <v>643</v>
      </c>
      <c r="O21" s="329" t="s">
        <v>710</v>
      </c>
      <c r="P21" s="329" t="s">
        <v>711</v>
      </c>
      <c r="Q21" s="373"/>
    </row>
    <row r="22" spans="2:17" ht="45" x14ac:dyDescent="0.35">
      <c r="B22" s="365">
        <v>20</v>
      </c>
      <c r="C22" s="811"/>
      <c r="D22" s="811"/>
      <c r="E22" s="817"/>
      <c r="F22" s="815"/>
      <c r="G22" s="321" t="s">
        <v>281</v>
      </c>
      <c r="H22" s="313">
        <v>0.2</v>
      </c>
      <c r="I22" s="314">
        <v>4</v>
      </c>
      <c r="J22" s="374">
        <f>E20*H22</f>
        <v>2.0000000000000004E-2</v>
      </c>
      <c r="K22" s="324" t="s">
        <v>712</v>
      </c>
      <c r="L22" s="320" t="s">
        <v>713</v>
      </c>
      <c r="M22" s="322" t="s">
        <v>714</v>
      </c>
      <c r="N22" s="322"/>
      <c r="O22" s="320"/>
      <c r="P22" s="320"/>
      <c r="Q22" s="375"/>
    </row>
    <row r="23" spans="2:17" x14ac:dyDescent="0.35">
      <c r="B23" s="358">
        <v>21</v>
      </c>
      <c r="C23" s="811"/>
      <c r="D23" s="811"/>
      <c r="E23" s="817"/>
      <c r="F23" s="815"/>
      <c r="G23" s="330" t="s">
        <v>282</v>
      </c>
      <c r="H23" s="316">
        <v>0.4</v>
      </c>
      <c r="I23" s="317">
        <v>4</v>
      </c>
      <c r="J23" s="372">
        <f>E20*H23</f>
        <v>4.0000000000000008E-2</v>
      </c>
      <c r="K23" s="318" t="s">
        <v>715</v>
      </c>
      <c r="L23" s="315" t="s">
        <v>716</v>
      </c>
      <c r="M23" s="326" t="s">
        <v>717</v>
      </c>
      <c r="N23" s="329" t="s">
        <v>643</v>
      </c>
      <c r="O23" s="315"/>
      <c r="P23" s="315"/>
      <c r="Q23" s="373"/>
    </row>
    <row r="24" spans="2:17" ht="30" customHeight="1" x14ac:dyDescent="0.35">
      <c r="B24" s="365">
        <v>22</v>
      </c>
      <c r="C24" s="811"/>
      <c r="D24" s="441" t="s">
        <v>718</v>
      </c>
      <c r="E24" s="436">
        <v>0.04</v>
      </c>
      <c r="F24" s="435" t="s">
        <v>719</v>
      </c>
      <c r="G24" s="321" t="s">
        <v>283</v>
      </c>
      <c r="H24" s="313">
        <v>1</v>
      </c>
      <c r="I24" s="314">
        <v>4</v>
      </c>
      <c r="J24" s="374">
        <f>E24*H24</f>
        <v>0.04</v>
      </c>
      <c r="K24" s="324" t="s">
        <v>720</v>
      </c>
      <c r="L24" s="320" t="s">
        <v>721</v>
      </c>
      <c r="M24" s="322" t="s">
        <v>722</v>
      </c>
      <c r="N24" s="319" t="s">
        <v>643</v>
      </c>
      <c r="O24" s="320"/>
      <c r="P24" s="320"/>
      <c r="Q24" s="375"/>
    </row>
    <row r="25" spans="2:17" ht="30" x14ac:dyDescent="0.35">
      <c r="B25" s="365">
        <v>24</v>
      </c>
      <c r="C25" s="811"/>
      <c r="D25" s="811" t="s">
        <v>723</v>
      </c>
      <c r="E25" s="817">
        <v>0.08</v>
      </c>
      <c r="F25" s="815" t="s">
        <v>724</v>
      </c>
      <c r="G25" s="320" t="s">
        <v>285</v>
      </c>
      <c r="H25" s="313">
        <v>0.4</v>
      </c>
      <c r="I25" s="314">
        <v>4</v>
      </c>
      <c r="J25" s="374">
        <f>E25*H25</f>
        <v>3.2000000000000001E-2</v>
      </c>
      <c r="K25" s="324" t="s">
        <v>725</v>
      </c>
      <c r="L25" s="320" t="s">
        <v>726</v>
      </c>
      <c r="M25" s="322" t="s">
        <v>714</v>
      </c>
      <c r="N25" s="319" t="s">
        <v>643</v>
      </c>
      <c r="O25" s="320"/>
      <c r="P25" s="320"/>
      <c r="Q25" s="375"/>
    </row>
    <row r="26" spans="2:17" ht="30" x14ac:dyDescent="0.35">
      <c r="B26" s="358">
        <v>25</v>
      </c>
      <c r="C26" s="811"/>
      <c r="D26" s="811"/>
      <c r="E26" s="817"/>
      <c r="F26" s="819"/>
      <c r="G26" s="330" t="s">
        <v>727</v>
      </c>
      <c r="H26" s="316">
        <v>0.2</v>
      </c>
      <c r="I26" s="317">
        <v>4</v>
      </c>
      <c r="J26" s="372">
        <f>E25*H26</f>
        <v>1.6E-2</v>
      </c>
      <c r="K26" s="318" t="s">
        <v>728</v>
      </c>
      <c r="L26" s="315" t="s">
        <v>658</v>
      </c>
      <c r="M26" s="326" t="s">
        <v>653</v>
      </c>
      <c r="N26" s="326"/>
      <c r="O26" s="315"/>
      <c r="P26" s="315"/>
      <c r="Q26" s="373"/>
    </row>
    <row r="27" spans="2:17" ht="30" x14ac:dyDescent="0.35">
      <c r="B27" s="365">
        <v>26</v>
      </c>
      <c r="C27" s="811"/>
      <c r="D27" s="811"/>
      <c r="E27" s="817"/>
      <c r="F27" s="819"/>
      <c r="G27" s="321" t="s">
        <v>287</v>
      </c>
      <c r="H27" s="313">
        <v>0.1</v>
      </c>
      <c r="I27" s="314">
        <v>4</v>
      </c>
      <c r="J27" s="374">
        <f>E25*H27</f>
        <v>8.0000000000000002E-3</v>
      </c>
      <c r="K27" s="324" t="s">
        <v>729</v>
      </c>
      <c r="L27" s="320" t="s">
        <v>730</v>
      </c>
      <c r="M27" s="322" t="s">
        <v>730</v>
      </c>
      <c r="N27" s="322"/>
      <c r="O27" s="320"/>
      <c r="P27" s="320"/>
      <c r="Q27" s="375"/>
    </row>
    <row r="28" spans="2:17" ht="30" x14ac:dyDescent="0.35">
      <c r="B28" s="358">
        <v>27</v>
      </c>
      <c r="C28" s="811"/>
      <c r="D28" s="811"/>
      <c r="E28" s="817"/>
      <c r="F28" s="819"/>
      <c r="G28" s="330" t="s">
        <v>731</v>
      </c>
      <c r="H28" s="316">
        <v>0.15</v>
      </c>
      <c r="I28" s="317">
        <v>4</v>
      </c>
      <c r="J28" s="372">
        <f>E25*H28</f>
        <v>1.2E-2</v>
      </c>
      <c r="K28" s="318" t="s">
        <v>732</v>
      </c>
      <c r="L28" s="315" t="s">
        <v>733</v>
      </c>
      <c r="M28" s="326" t="s">
        <v>734</v>
      </c>
      <c r="N28" s="329" t="s">
        <v>643</v>
      </c>
      <c r="O28" s="315"/>
      <c r="P28" s="315"/>
      <c r="Q28" s="373"/>
    </row>
    <row r="29" spans="2:17" ht="60" x14ac:dyDescent="0.35">
      <c r="B29" s="365">
        <v>28</v>
      </c>
      <c r="C29" s="811"/>
      <c r="D29" s="811"/>
      <c r="E29" s="817"/>
      <c r="F29" s="819"/>
      <c r="G29" s="321" t="s">
        <v>289</v>
      </c>
      <c r="H29" s="313">
        <v>0.15</v>
      </c>
      <c r="I29" s="314">
        <v>4</v>
      </c>
      <c r="J29" s="374">
        <f>E25*H29</f>
        <v>1.2E-2</v>
      </c>
      <c r="K29" s="324" t="s">
        <v>735</v>
      </c>
      <c r="L29" s="320" t="s">
        <v>736</v>
      </c>
      <c r="M29" s="322" t="s">
        <v>737</v>
      </c>
      <c r="N29" s="319" t="s">
        <v>643</v>
      </c>
      <c r="O29" s="319" t="s">
        <v>710</v>
      </c>
      <c r="P29" s="320"/>
      <c r="Q29" s="324"/>
    </row>
    <row r="30" spans="2:17" x14ac:dyDescent="0.35">
      <c r="B30" s="358">
        <v>29</v>
      </c>
      <c r="C30" s="811"/>
      <c r="D30" s="812" t="s">
        <v>738</v>
      </c>
      <c r="E30" s="816">
        <v>0.06</v>
      </c>
      <c r="F30" s="813" t="s">
        <v>739</v>
      </c>
      <c r="G30" s="315" t="s">
        <v>740</v>
      </c>
      <c r="H30" s="316">
        <v>0.3</v>
      </c>
      <c r="I30" s="317">
        <v>4</v>
      </c>
      <c r="J30" s="372">
        <f>E30*H30</f>
        <v>1.7999999999999999E-2</v>
      </c>
      <c r="K30" s="318" t="s">
        <v>741</v>
      </c>
      <c r="L30" s="315" t="s">
        <v>742</v>
      </c>
      <c r="M30" s="326" t="s">
        <v>653</v>
      </c>
      <c r="N30" s="329" t="s">
        <v>643</v>
      </c>
      <c r="O30" s="315"/>
      <c r="P30" s="315"/>
      <c r="Q30" s="373"/>
    </row>
    <row r="31" spans="2:17" x14ac:dyDescent="0.3">
      <c r="B31" s="365">
        <v>30</v>
      </c>
      <c r="C31" s="811"/>
      <c r="D31" s="812"/>
      <c r="E31" s="816"/>
      <c r="F31" s="813"/>
      <c r="G31" s="320" t="s">
        <v>291</v>
      </c>
      <c r="H31" s="313">
        <v>0.3</v>
      </c>
      <c r="I31" s="314">
        <v>4</v>
      </c>
      <c r="J31" s="374">
        <f>E30*H31</f>
        <v>1.7999999999999999E-2</v>
      </c>
      <c r="K31" s="324" t="s">
        <v>743</v>
      </c>
      <c r="L31" s="325" t="s">
        <v>744</v>
      </c>
      <c r="M31" s="322" t="s">
        <v>717</v>
      </c>
      <c r="N31" s="319" t="s">
        <v>643</v>
      </c>
      <c r="O31" s="320"/>
      <c r="P31" s="320"/>
      <c r="Q31" s="376" t="s">
        <v>745</v>
      </c>
    </row>
    <row r="32" spans="2:17" x14ac:dyDescent="0.3">
      <c r="B32" s="358">
        <v>31</v>
      </c>
      <c r="C32" s="811"/>
      <c r="D32" s="812"/>
      <c r="E32" s="816"/>
      <c r="F32" s="813"/>
      <c r="G32" s="315" t="s">
        <v>292</v>
      </c>
      <c r="H32" s="316">
        <v>0.1</v>
      </c>
      <c r="I32" s="317">
        <v>4</v>
      </c>
      <c r="J32" s="372">
        <f>E30*H32</f>
        <v>6.0000000000000001E-3</v>
      </c>
      <c r="K32" s="318" t="s">
        <v>746</v>
      </c>
      <c r="L32" s="331" t="s">
        <v>744</v>
      </c>
      <c r="M32" s="326" t="s">
        <v>717</v>
      </c>
      <c r="N32" s="329" t="s">
        <v>643</v>
      </c>
      <c r="O32" s="315"/>
      <c r="P32" s="315"/>
      <c r="Q32" s="373"/>
    </row>
    <row r="33" spans="2:17" x14ac:dyDescent="0.3">
      <c r="B33" s="365">
        <v>32</v>
      </c>
      <c r="C33" s="811"/>
      <c r="D33" s="812"/>
      <c r="E33" s="816"/>
      <c r="F33" s="813"/>
      <c r="G33" s="320" t="s">
        <v>293</v>
      </c>
      <c r="H33" s="313">
        <v>0.1</v>
      </c>
      <c r="I33" s="314">
        <v>4</v>
      </c>
      <c r="J33" s="374">
        <f>E30*H33</f>
        <v>6.0000000000000001E-3</v>
      </c>
      <c r="K33" s="324" t="s">
        <v>747</v>
      </c>
      <c r="L33" s="325" t="s">
        <v>744</v>
      </c>
      <c r="M33" s="322" t="s">
        <v>717</v>
      </c>
      <c r="N33" s="319" t="s">
        <v>643</v>
      </c>
      <c r="O33" s="320"/>
      <c r="P33" s="320"/>
      <c r="Q33" s="376" t="s">
        <v>748</v>
      </c>
    </row>
    <row r="34" spans="2:17" x14ac:dyDescent="0.3">
      <c r="B34" s="358">
        <v>33</v>
      </c>
      <c r="C34" s="811"/>
      <c r="D34" s="812"/>
      <c r="E34" s="816"/>
      <c r="F34" s="813"/>
      <c r="G34" s="315" t="s">
        <v>294</v>
      </c>
      <c r="H34" s="316">
        <v>0.1</v>
      </c>
      <c r="I34" s="317">
        <v>4</v>
      </c>
      <c r="J34" s="372">
        <f>E30*H34</f>
        <v>6.0000000000000001E-3</v>
      </c>
      <c r="K34" s="318" t="s">
        <v>749</v>
      </c>
      <c r="L34" s="331" t="s">
        <v>744</v>
      </c>
      <c r="M34" s="326" t="s">
        <v>717</v>
      </c>
      <c r="N34" s="329" t="s">
        <v>643</v>
      </c>
      <c r="O34" s="315"/>
      <c r="P34" s="315"/>
      <c r="Q34" s="373"/>
    </row>
    <row r="35" spans="2:17" x14ac:dyDescent="0.3">
      <c r="B35" s="365">
        <v>34</v>
      </c>
      <c r="C35" s="811"/>
      <c r="D35" s="812"/>
      <c r="E35" s="816"/>
      <c r="F35" s="813"/>
      <c r="G35" s="320" t="s">
        <v>295</v>
      </c>
      <c r="H35" s="313">
        <v>0.1</v>
      </c>
      <c r="I35" s="314">
        <v>4</v>
      </c>
      <c r="J35" s="374">
        <f>E30*H35</f>
        <v>6.0000000000000001E-3</v>
      </c>
      <c r="K35" s="324" t="s">
        <v>750</v>
      </c>
      <c r="L35" s="325" t="s">
        <v>744</v>
      </c>
      <c r="M35" s="322" t="s">
        <v>717</v>
      </c>
      <c r="N35" s="319" t="s">
        <v>643</v>
      </c>
      <c r="O35" s="320"/>
      <c r="P35" s="320"/>
      <c r="Q35" s="324"/>
    </row>
    <row r="37" spans="2:17" ht="57.75" customHeight="1" x14ac:dyDescent="0.35">
      <c r="B37" s="818" t="s">
        <v>751</v>
      </c>
      <c r="C37" s="818"/>
      <c r="D37" s="818"/>
      <c r="E37" s="818"/>
      <c r="F37" s="818"/>
      <c r="G37" s="818"/>
      <c r="H37" s="818"/>
      <c r="I37" s="818"/>
      <c r="J37" s="818"/>
      <c r="K37" s="818"/>
      <c r="L37" s="332"/>
      <c r="M37" s="333"/>
      <c r="N37" s="332"/>
      <c r="O37" s="332"/>
      <c r="P37" s="332"/>
      <c r="Q37" s="332"/>
    </row>
    <row r="38" spans="2:17" x14ac:dyDescent="0.35">
      <c r="G38" s="304"/>
    </row>
    <row r="39" spans="2:17" x14ac:dyDescent="0.35">
      <c r="G39" s="304"/>
    </row>
    <row r="40" spans="2:17" x14ac:dyDescent="0.35">
      <c r="G40" s="304"/>
    </row>
    <row r="41" spans="2:17" x14ac:dyDescent="0.35">
      <c r="G41" s="304"/>
    </row>
    <row r="42" spans="2:17" x14ac:dyDescent="0.35">
      <c r="G42" s="304"/>
    </row>
  </sheetData>
  <mergeCells count="27">
    <mergeCell ref="B37:K37"/>
    <mergeCell ref="E30:E35"/>
    <mergeCell ref="F11:F16"/>
    <mergeCell ref="F17:F19"/>
    <mergeCell ref="F20:F23"/>
    <mergeCell ref="F25:F29"/>
    <mergeCell ref="F30:F35"/>
    <mergeCell ref="E20:E23"/>
    <mergeCell ref="C11:C35"/>
    <mergeCell ref="D30:D35"/>
    <mergeCell ref="E11:E16"/>
    <mergeCell ref="E17:E19"/>
    <mergeCell ref="D25:D29"/>
    <mergeCell ref="E25:E29"/>
    <mergeCell ref="D11:D16"/>
    <mergeCell ref="D17:D19"/>
    <mergeCell ref="D20:D23"/>
    <mergeCell ref="C3:C10"/>
    <mergeCell ref="F3:F6"/>
    <mergeCell ref="D3:D6"/>
    <mergeCell ref="F7:F8"/>
    <mergeCell ref="D7:D8"/>
    <mergeCell ref="E9:E10"/>
    <mergeCell ref="E7:E8"/>
    <mergeCell ref="E3:E6"/>
    <mergeCell ref="F9:F10"/>
    <mergeCell ref="D9:D10"/>
  </mergeCells>
  <conditionalFormatting sqref="J3:J35">
    <cfRule type="colorScale" priority="6">
      <colorScale>
        <cfvo type="min"/>
        <cfvo type="max"/>
        <color rgb="FFFFEF9C"/>
        <color rgb="FF63BE7B"/>
      </colorScale>
    </cfRule>
  </conditionalFormatting>
  <hyperlinks>
    <hyperlink ref="N7" r:id="rId1" xr:uid="{A8B283FD-3353-4990-87DD-1B5A57E4380B}"/>
    <hyperlink ref="N4" r:id="rId2" xr:uid="{BF447068-7E55-41B0-9740-C51B77A258B7}"/>
    <hyperlink ref="N8" r:id="rId3" xr:uid="{AD60FBB9-905D-4202-AC8C-4C892D99188C}"/>
    <hyperlink ref="N20" r:id="rId4" xr:uid="{4C8D905C-F108-4ABF-A7F4-B507CBB738EB}"/>
    <hyperlink ref="N23" r:id="rId5" xr:uid="{90F0D7BC-8C09-4C5F-B25E-0D697AD5FB74}"/>
    <hyperlink ref="N24" r:id="rId6" xr:uid="{00F5B3CB-483F-4E76-90A6-835061911AC4}"/>
    <hyperlink ref="N25" r:id="rId7" xr:uid="{678E21C0-9924-45F6-AF10-B0213EC9E4FB}"/>
    <hyperlink ref="N28" r:id="rId8" xr:uid="{4EFAC193-8954-42D7-B747-EE09A6A65B17}"/>
    <hyperlink ref="N29" r:id="rId9" xr:uid="{5E7E4CD5-9570-44B0-AEA8-E538E59079CA}"/>
    <hyperlink ref="O29" r:id="rId10" xr:uid="{B0D5B465-5D14-41B9-9537-D9705D0D4A20}"/>
    <hyperlink ref="N30" r:id="rId11" xr:uid="{6DA1D3C5-9030-41E8-9404-BE31FFA9715F}"/>
    <hyperlink ref="N31" r:id="rId12" xr:uid="{F2FD063E-E940-44B8-AD26-B4625009995E}"/>
    <hyperlink ref="P21" r:id="rId13" display="Link" xr:uid="{118236BB-2B2B-45FF-A6C8-8C0F75E38219}"/>
    <hyperlink ref="N21" r:id="rId14" display="https://www.bepza.gov.bd/" xr:uid="{B362BC56-12D9-4207-A11B-EBC1FE77E3AC}"/>
    <hyperlink ref="O21" r:id="rId15" xr:uid="{D8851594-A3D2-4A87-9EDA-073E72147062}"/>
    <hyperlink ref="N32" r:id="rId16" xr:uid="{6A565482-4127-49E1-B0F0-71F35A51512E}"/>
    <hyperlink ref="N33" r:id="rId17" xr:uid="{D29A89C9-1C3B-4543-80A5-934C896961E2}"/>
    <hyperlink ref="N34" r:id="rId18" xr:uid="{9E759D6E-DC4F-4EBB-8916-74A79D5FD674}"/>
    <hyperlink ref="N35" r:id="rId19" xr:uid="{2D6DE4CF-8BDF-45EC-A257-53A8A41019A1}"/>
  </hyperlinks>
  <pageMargins left="0.7" right="0.7" top="0.75" bottom="0.75" header="0.3" footer="0.3"/>
  <pageSetup paperSize="9" orientation="portrait" verticalDpi="0" r:id="rId20"/>
  <ignoredErrors>
    <ignoredError sqref="J8 J10"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172B3-C767-4447-9F28-AAAF735A22FD}">
  <dimension ref="B1:I33"/>
  <sheetViews>
    <sheetView workbookViewId="0"/>
  </sheetViews>
  <sheetFormatPr defaultRowHeight="25.5" customHeight="1" outlineLevelRow="1" x14ac:dyDescent="0.35"/>
  <cols>
    <col min="1" max="1" width="3.54296875" customWidth="1"/>
    <col min="2" max="2" width="56" customWidth="1"/>
    <col min="3" max="3" width="25.81640625" style="63" customWidth="1"/>
    <col min="4" max="9" width="25.81640625" customWidth="1"/>
  </cols>
  <sheetData>
    <row r="1" spans="2:7" ht="18" customHeight="1" thickBot="1" x14ac:dyDescent="0.4"/>
    <row r="2" spans="2:7" ht="49.5" customHeight="1" thickBot="1" x14ac:dyDescent="0.4">
      <c r="B2" s="377" t="s">
        <v>5</v>
      </c>
      <c r="C2" s="337" t="s">
        <v>42</v>
      </c>
      <c r="D2" s="337" t="s">
        <v>24</v>
      </c>
      <c r="E2" s="337" t="s">
        <v>21</v>
      </c>
      <c r="F2" s="337" t="s">
        <v>17</v>
      </c>
      <c r="G2" s="337" t="s">
        <v>20</v>
      </c>
    </row>
    <row r="3" spans="2:7" ht="25.5" customHeight="1" x14ac:dyDescent="0.35">
      <c r="B3" s="338" t="s">
        <v>4</v>
      </c>
      <c r="C3" s="339">
        <f>_xlfn.XLOOKUP(C$2,Table9[Name],Table9[SN],"Not Found", 0,1)</f>
        <v>3</v>
      </c>
      <c r="D3" s="339">
        <f>_xlfn.XLOOKUP(D$2,Table9[Name],Table9[SN],"Not Found", 0,1)</f>
        <v>18</v>
      </c>
      <c r="E3" s="339">
        <f>_xlfn.XLOOKUP(E$2,Table9[Name],Table9[SN],"Not Found", 0,1)</f>
        <v>66</v>
      </c>
      <c r="F3" s="339">
        <f>_xlfn.XLOOKUP(F$2,Table9[Name],Table9[SN],"Not Found", 0,1)</f>
        <v>27</v>
      </c>
      <c r="G3" s="340">
        <f>_xlfn.XLOOKUP(G$2,Table9[Name],Table9[SN],"Not Found", 0,1)</f>
        <v>52</v>
      </c>
    </row>
    <row r="4" spans="2:7" ht="25.5" customHeight="1" x14ac:dyDescent="0.35">
      <c r="B4" s="341" t="s">
        <v>6</v>
      </c>
      <c r="C4" s="342" t="str">
        <f>_xlfn.XLOOKUP(C$2,Table9[Name],Table9[Division],"Not Found", 0,1)</f>
        <v>Chattogram</v>
      </c>
      <c r="D4" s="342" t="str">
        <f>_xlfn.XLOOKUP(D$2,Table9[Name],Table9[Division],"Not Found", 0,1)</f>
        <v>Dhaka</v>
      </c>
      <c r="E4" s="342" t="str">
        <f>_xlfn.XLOOKUP(E$2,Table9[Name],Table9[Division],"Not Found", 0,1)</f>
        <v>Dhaka</v>
      </c>
      <c r="F4" s="342" t="str">
        <f>_xlfn.XLOOKUP(F$2,Table9[Name],Table9[Division],"Not Found", 0,1)</f>
        <v>Chattogram</v>
      </c>
      <c r="G4" s="343" t="str">
        <f>_xlfn.XLOOKUP(G$2,Table9[Name],Table9[Division],"Not Found", 0,1)</f>
        <v>Chattogram</v>
      </c>
    </row>
    <row r="5" spans="2:7" ht="25.5" customHeight="1" x14ac:dyDescent="0.35">
      <c r="B5" s="344" t="s">
        <v>7</v>
      </c>
      <c r="C5" s="345" t="str">
        <f>_xlfn.XLOOKUP(C$2,Table9[Name],Table9[District],"Not Found", 0,1)</f>
        <v>Chattogram</v>
      </c>
      <c r="D5" s="345" t="str">
        <f>_xlfn.XLOOKUP(D$2,Table9[Name],Table9[District],"Not Found", 0,1)</f>
        <v>Gopalganj</v>
      </c>
      <c r="E5" s="345" t="str">
        <f>_xlfn.XLOOKUP(E$2,Table9[Name],Table9[District],"Not Found", 0,1)</f>
        <v>Narayanganj</v>
      </c>
      <c r="F5" s="345" t="str">
        <f>_xlfn.XLOOKUP(F$2,Table9[Name],Table9[District],"Not Found", 0,1)</f>
        <v>Chattogram</v>
      </c>
      <c r="G5" s="346" t="str">
        <f>_xlfn.XLOOKUP(G$2,Table9[Name],Table9[District],"Not Found", 0,1)</f>
        <v>Cox’s Bazar</v>
      </c>
    </row>
    <row r="6" spans="2:7" ht="25.5" customHeight="1" x14ac:dyDescent="0.35">
      <c r="B6" s="341" t="s">
        <v>8</v>
      </c>
      <c r="C6" s="342" t="str">
        <f>_xlfn.XLOOKUP(C$2,Table9[Name],Table9[Upazila],"Not Found", 0,1)</f>
        <v>Anowara</v>
      </c>
      <c r="D6" s="342" t="str">
        <f>_xlfn.XLOOKUP(D$2,Table9[Name],Table9[Upazila],"Not Found", 0,1)</f>
        <v>Kotalipara</v>
      </c>
      <c r="E6" s="342" t="str">
        <f>_xlfn.XLOOKUP(E$2,Table9[Name],Table9[Upazila],"Not Found", 0,1)</f>
        <v>Araihazar</v>
      </c>
      <c r="F6" s="342" t="str">
        <f>_xlfn.XLOOKUP(F$2,Table9[Name],Table9[Upazila],"Not Found", 0,1)</f>
        <v>Mirsarai</v>
      </c>
      <c r="G6" s="343" t="str">
        <f>_xlfn.XLOOKUP(G$2,Table9[Name],Table9[Upazila],"Not Found", 0,1)</f>
        <v>Teknaf</v>
      </c>
    </row>
    <row r="7" spans="2:7" ht="25.5" customHeight="1" x14ac:dyDescent="0.35">
      <c r="B7" s="344" t="s">
        <v>9</v>
      </c>
      <c r="C7" s="345" t="str">
        <f>_xlfn.XLOOKUP(C$2,Table9[Name],Table9[Type],"Not Found", 0,1)</f>
        <v>Government</v>
      </c>
      <c r="D7" s="345" t="str">
        <f>_xlfn.XLOOKUP(D$2,Table9[Name],Table9[Type],"Not Found", 0,1)</f>
        <v>Government</v>
      </c>
      <c r="E7" s="345" t="str">
        <f>_xlfn.XLOOKUP(E$2,Table9[Name],Table9[Type],"Not Found", 0,1)</f>
        <v>G2G</v>
      </c>
      <c r="F7" s="345" t="str">
        <f>_xlfn.XLOOKUP(F$2,Table9[Name],Table9[Type],"Not Found", 0,1)</f>
        <v>Government</v>
      </c>
      <c r="G7" s="346" t="str">
        <f>_xlfn.XLOOKUP(G$2,Table9[Name],Table9[Type],"Not Found", 0,1)</f>
        <v>Government</v>
      </c>
    </row>
    <row r="8" spans="2:7" ht="25.5" customHeight="1" x14ac:dyDescent="0.35">
      <c r="B8" s="347" t="s">
        <v>253</v>
      </c>
      <c r="C8" s="348">
        <f>_xlfn.XLOOKUP(C$2,Table9[Name],Table9[1.1. Land Details (20% weightage)],"Not Found", 0,1)</f>
        <v>0.12</v>
      </c>
      <c r="D8" s="348">
        <f>_xlfn.XLOOKUP(D$2,Table9[Name],Table9[1.1. Land Details (20% weightage)],"Not Found", 0,1)</f>
        <v>0.1</v>
      </c>
      <c r="E8" s="348">
        <f>_xlfn.XLOOKUP(E$2,Table9[Name],Table9[1.1. Land Details (20% weightage)],"Not Found", 0,1)</f>
        <v>0.8</v>
      </c>
      <c r="F8" s="348">
        <f>_xlfn.XLOOKUP(F$2,Table9[Name],Table9[1.1. Land Details (20% weightage)],"Not Found", 0,1)</f>
        <v>0.76000000000000012</v>
      </c>
      <c r="G8" s="349">
        <f>_xlfn.XLOOKUP(G$2,Table9[Name],Table9[1.1. Land Details (20% weightage)],"Not Found", 0,1)</f>
        <v>0.66000000000000014</v>
      </c>
    </row>
    <row r="9" spans="2:7" ht="25.5" customHeight="1" x14ac:dyDescent="0.35">
      <c r="B9" s="350" t="s">
        <v>254</v>
      </c>
      <c r="C9" s="351">
        <f>_xlfn.XLOOKUP(C$2,Table9[Name],Table9[1.2. BEZA Existing plans (15% weightage)],"Not Found", 0,1)</f>
        <v>0.6</v>
      </c>
      <c r="D9" s="351">
        <f>_xlfn.XLOOKUP(D$2,Table9[Name],Table9[1.2. BEZA Existing plans (15% weightage)],"Not Found", 0,1)</f>
        <v>0.6</v>
      </c>
      <c r="E9" s="351">
        <f>_xlfn.XLOOKUP(E$2,Table9[Name],Table9[1.2. BEZA Existing plans (15% weightage)],"Not Found", 0,1)</f>
        <v>0.6</v>
      </c>
      <c r="F9" s="351">
        <f>_xlfn.XLOOKUP(F$2,Table9[Name],Table9[1.2. BEZA Existing plans (15% weightage)],"Not Found", 0,1)</f>
        <v>0.6</v>
      </c>
      <c r="G9" s="352">
        <f>_xlfn.XLOOKUP(G$2,Table9[Name],Table9[1.2. BEZA Existing plans (15% weightage)],"Not Found", 0,1)</f>
        <v>0.6</v>
      </c>
    </row>
    <row r="10" spans="2:7" ht="25.5" customHeight="1" x14ac:dyDescent="0.35">
      <c r="B10" s="347" t="s">
        <v>255</v>
      </c>
      <c r="C10" s="348">
        <f>_xlfn.XLOOKUP(C$2,Table9[Name],Table9[1.3. Sector Demand (15% weightage):],"Not Found", 0,1)</f>
        <v>0.3</v>
      </c>
      <c r="D10" s="348">
        <f>_xlfn.XLOOKUP(D$2,Table9[Name],Table9[1.3. Sector Demand (15% weightage):],"Not Found", 0,1)</f>
        <v>0.15</v>
      </c>
      <c r="E10" s="348">
        <f>_xlfn.XLOOKUP(E$2,Table9[Name],Table9[1.3. Sector Demand (15% weightage):],"Not Found", 0,1)</f>
        <v>0.3</v>
      </c>
      <c r="F10" s="348">
        <f>_xlfn.XLOOKUP(F$2,Table9[Name],Table9[1.3. Sector Demand (15% weightage):],"Not Found", 0,1)</f>
        <v>0.3</v>
      </c>
      <c r="G10" s="349">
        <f>_xlfn.XLOOKUP(G$2,Table9[Name],Table9[1.3. Sector Demand (15% weightage):],"Not Found", 0,1)</f>
        <v>0.15</v>
      </c>
    </row>
    <row r="11" spans="2:7" ht="25.5" customHeight="1" x14ac:dyDescent="0.35">
      <c r="B11" s="350" t="s">
        <v>256</v>
      </c>
      <c r="C11" s="351">
        <f>_xlfn.XLOOKUP(C$2,Table9[Name],Table9[2.1. Connectivity/ Logistics (10% weightage)],"Not Found", 0,1)</f>
        <v>0.4</v>
      </c>
      <c r="D11" s="351">
        <f>_xlfn.XLOOKUP(D$2,Table9[Name],Table9[2.1. Connectivity/ Logistics (10% weightage)],"Not Found", 0,1)</f>
        <v>0.36</v>
      </c>
      <c r="E11" s="351">
        <f>_xlfn.XLOOKUP(E$2,Table9[Name],Table9[2.1. Connectivity/ Logistics (10% weightage)],"Not Found", 0,1)</f>
        <v>0.26999999999999996</v>
      </c>
      <c r="F11" s="351">
        <f>_xlfn.XLOOKUP(F$2,Table9[Name],Table9[2.1. Connectivity/ Logistics (10% weightage)],"Not Found", 0,1)</f>
        <v>0.4</v>
      </c>
      <c r="G11" s="352">
        <f>_xlfn.XLOOKUP(G$2,Table9[Name],Table9[2.1. Connectivity/ Logistics (10% weightage)],"Not Found", 0,1)</f>
        <v>0.4</v>
      </c>
    </row>
    <row r="12" spans="2:7" ht="25.5" customHeight="1" x14ac:dyDescent="0.35">
      <c r="B12" s="347" t="s">
        <v>257</v>
      </c>
      <c r="C12" s="348">
        <f>_xlfn.XLOOKUP(C$2,Table9[Name],Table9[2.2. Utility (12% weightage)],"Not Found", 0,1)</f>
        <v>0.48</v>
      </c>
      <c r="D12" s="348">
        <f>_xlfn.XLOOKUP(D$2,Table9[Name],Table9[2.2. Utility (12% weightage)],"Not Found", 0,1)</f>
        <v>0.38400000000000001</v>
      </c>
      <c r="E12" s="348">
        <f>_xlfn.XLOOKUP(E$2,Table9[Name],Table9[2.2. Utility (12% weightage)],"Not Found", 0,1)</f>
        <v>0.48</v>
      </c>
      <c r="F12" s="348">
        <f>_xlfn.XLOOKUP(F$2,Table9[Name],Table9[2.2. Utility (12% weightage)],"Not Found", 0,1)</f>
        <v>0.48</v>
      </c>
      <c r="G12" s="349">
        <f>_xlfn.XLOOKUP(G$2,Table9[Name],Table9[2.2. Utility (12% weightage)],"Not Found", 0,1)</f>
        <v>0.48</v>
      </c>
    </row>
    <row r="13" spans="2:7" ht="25.5" customHeight="1" x14ac:dyDescent="0.35">
      <c r="B13" s="350" t="s">
        <v>278</v>
      </c>
      <c r="C13" s="351">
        <f>_xlfn.XLOOKUP(C$2,Table9[Name],Table9[2.3. Agglomeration effects (10% weightage)],"Not Found", 0,1)</f>
        <v>0.4</v>
      </c>
      <c r="D13" s="351">
        <f>_xlfn.XLOOKUP(D$2,Table9[Name],Table9[2.3. Agglomeration effects (10% weightage)],"Not Found", 0,1)</f>
        <v>0.32000000000000006</v>
      </c>
      <c r="E13" s="351">
        <f>_xlfn.XLOOKUP(E$2,Table9[Name],Table9[2.3. Agglomeration effects (10% weightage)],"Not Found", 0,1)</f>
        <v>0.4</v>
      </c>
      <c r="F13" s="351">
        <f>_xlfn.XLOOKUP(F$2,Table9[Name],Table9[2.3. Agglomeration effects (10% weightage)],"Not Found", 0,1)</f>
        <v>0.4</v>
      </c>
      <c r="G13" s="352">
        <f>_xlfn.XLOOKUP(G$2,Table9[Name],Table9[2.3. Agglomeration effects (10% weightage)],"Not Found", 0,1)</f>
        <v>0.32000000000000006</v>
      </c>
    </row>
    <row r="14" spans="2:7" ht="25.5" customHeight="1" x14ac:dyDescent="0.35">
      <c r="B14" s="347" t="s">
        <v>260</v>
      </c>
      <c r="C14" s="348">
        <f>_xlfn.XLOOKUP(C$2,Table9[Name],Table9[2.4. Regional Policy (4% weightage)],"Not Found", 0,1)</f>
        <v>0</v>
      </c>
      <c r="D14" s="348">
        <f>_xlfn.XLOOKUP(D$2,Table9[Name],Table9[2.4. Regional Policy (4% weightage)],"Not Found", 0,1)</f>
        <v>0.16</v>
      </c>
      <c r="E14" s="348">
        <f>_xlfn.XLOOKUP(E$2,Table9[Name],Table9[2.4. Regional Policy (4% weightage)],"Not Found", 0,1)</f>
        <v>0</v>
      </c>
      <c r="F14" s="348">
        <f>_xlfn.XLOOKUP(F$2,Table9[Name],Table9[2.4. Regional Policy (4% weightage)],"Not Found", 0,1)</f>
        <v>0</v>
      </c>
      <c r="G14" s="349">
        <f>_xlfn.XLOOKUP(G$2,Table9[Name],Table9[2.4. Regional Policy (4% weightage)],"Not Found", 0,1)</f>
        <v>0.16</v>
      </c>
    </row>
    <row r="15" spans="2:7" ht="25.5" customHeight="1" x14ac:dyDescent="0.35">
      <c r="B15" s="350" t="s">
        <v>262</v>
      </c>
      <c r="C15" s="351">
        <f>_xlfn.XLOOKUP(C$2,Table9[Name],Table9[2.5. Social (8% weightage)],"Not Found", 0,1)</f>
        <v>0.32</v>
      </c>
      <c r="D15" s="351">
        <f>_xlfn.XLOOKUP(D$2,Table9[Name],Table9[2.5. Social (8% weightage)],"Not Found", 0,1)</f>
        <v>0.22400000000000003</v>
      </c>
      <c r="E15" s="351">
        <f>_xlfn.XLOOKUP(E$2,Table9[Name],Table9[2.5. Social (8% weightage)],"Not Found", 0,1)</f>
        <v>0.28800000000000003</v>
      </c>
      <c r="F15" s="351">
        <f>_xlfn.XLOOKUP(F$2,Table9[Name],Table9[2.5. Social (8% weightage)],"Not Found", 0,1)</f>
        <v>0.32</v>
      </c>
      <c r="G15" s="352">
        <f>_xlfn.XLOOKUP(G$2,Table9[Name],Table9[2.5. Social (8% weightage)],"Not Found", 0,1)</f>
        <v>0.32</v>
      </c>
    </row>
    <row r="16" spans="2:7" ht="25.5" customHeight="1" x14ac:dyDescent="0.35">
      <c r="B16" s="347" t="s">
        <v>264</v>
      </c>
      <c r="C16" s="348">
        <f>_xlfn.XLOOKUP(C$2,Table9[Name],Table9[2.6. Environment (6% weightage)],"Not Found", 0,1)</f>
        <v>0.06</v>
      </c>
      <c r="D16" s="348">
        <f>_xlfn.XLOOKUP(D$2,Table9[Name],Table9[2.6. Environment (6% weightage)],"Not Found", 0,1)</f>
        <v>7.1999999999999995E-2</v>
      </c>
      <c r="E16" s="348">
        <f>_xlfn.XLOOKUP(E$2,Table9[Name],Table9[2.6. Environment (6% weightage)],"Not Found", 0,1)</f>
        <v>0.12</v>
      </c>
      <c r="F16" s="348">
        <f>_xlfn.XLOOKUP(F$2,Table9[Name],Table9[2.6. Environment (6% weightage)],"Not Found", 0,1)</f>
        <v>0.13199999999999998</v>
      </c>
      <c r="G16" s="349">
        <f>_xlfn.XLOOKUP(G$2,Table9[Name],Table9[2.6. Environment (6% weightage)],"Not Found", 0,1)</f>
        <v>0.14399999999999999</v>
      </c>
    </row>
    <row r="17" spans="2:9" ht="25.5" customHeight="1" x14ac:dyDescent="0.35">
      <c r="B17" s="377" t="s">
        <v>296</v>
      </c>
      <c r="C17" s="355">
        <f>_xlfn.XLOOKUP(C$2,Table9[Name],Table9[Level 1 Score],"Not Found", 0,1)</f>
        <v>1.02</v>
      </c>
      <c r="D17" s="355">
        <f>_xlfn.XLOOKUP(D$2,Table9[Name],Table9[Level 1 Score],"Not Found", 0,1)</f>
        <v>0.85</v>
      </c>
      <c r="E17" s="355">
        <f>_xlfn.XLOOKUP(E$2,Table9[Name],Table9[Level 1 Score],"Not Found", 0,1)</f>
        <v>1.7</v>
      </c>
      <c r="F17" s="355">
        <f>_xlfn.XLOOKUP(F$2,Table9[Name],Table9[Level 1 Score],"Not Found", 0,1)</f>
        <v>1.6600000000000001</v>
      </c>
      <c r="G17" s="355">
        <f>_xlfn.XLOOKUP(G$2,Table9[Name],Table9[Level 1 Score],"Not Found", 0,1)</f>
        <v>1.4100000000000001</v>
      </c>
    </row>
    <row r="18" spans="2:9" ht="25.5" customHeight="1" x14ac:dyDescent="0.35">
      <c r="B18" s="377" t="s">
        <v>14</v>
      </c>
      <c r="C18" s="356">
        <f>_xlfn.XLOOKUP(C$2,Table9[Name],Table9[Level 1 Score Rank],"Not Found", 0,1)</f>
        <v>23</v>
      </c>
      <c r="D18" s="356">
        <f>_xlfn.XLOOKUP(D$2,Table9[Name],Table9[Level 1 Score Rank],"Not Found", 0,1)</f>
        <v>30</v>
      </c>
      <c r="E18" s="356">
        <f>_xlfn.XLOOKUP(E$2,Table9[Name],Table9[Level 1 Score Rank],"Not Found", 0,1)</f>
        <v>1</v>
      </c>
      <c r="F18" s="356">
        <f>_xlfn.XLOOKUP(F$2,Table9[Name],Table9[Level 1 Score Rank],"Not Found", 0,1)</f>
        <v>2</v>
      </c>
      <c r="G18" s="356">
        <f>_xlfn.XLOOKUP(G$2,Table9[Name],Table9[Level 1 Score Rank],"Not Found", 0,1)</f>
        <v>8</v>
      </c>
    </row>
    <row r="19" spans="2:9" ht="25.5" customHeight="1" x14ac:dyDescent="0.35">
      <c r="B19" s="377" t="s">
        <v>297</v>
      </c>
      <c r="C19" s="355">
        <f>_xlfn.XLOOKUP(C$2,Table9[Name],Table9[Level 2 Score],"Not Found", 0,1)</f>
        <v>1.6600000000000001</v>
      </c>
      <c r="D19" s="355">
        <f>_xlfn.XLOOKUP(D$2,Table9[Name],Table9[Level 2 Score],"Not Found", 0,1)</f>
        <v>1.52</v>
      </c>
      <c r="E19" s="355">
        <f>_xlfn.XLOOKUP(E$2,Table9[Name],Table9[Level 2 Score],"Not Found", 0,1)</f>
        <v>1.5579999999999998</v>
      </c>
      <c r="F19" s="355">
        <f>_xlfn.XLOOKUP(F$2,Table9[Name],Table9[Level 2 Score],"Not Found", 0,1)</f>
        <v>1.732</v>
      </c>
      <c r="G19" s="355">
        <f>_xlfn.XLOOKUP(G$2,Table9[Name],Table9[Level 2 Score],"Not Found", 0,1)</f>
        <v>1.8240000000000001</v>
      </c>
    </row>
    <row r="20" spans="2:9" ht="25.5" customHeight="1" x14ac:dyDescent="0.35">
      <c r="B20" s="377" t="s">
        <v>298</v>
      </c>
      <c r="C20" s="356">
        <f>_xlfn.XLOOKUP(C$2,Table9[Name],Table9[Level 2 Score Rank],"Not Found", 0,1)</f>
        <v>8</v>
      </c>
      <c r="D20" s="356">
        <f>_xlfn.XLOOKUP(D$2,Table9[Name],Table9[Level 2 Score Rank],"Not Found", 0,1)</f>
        <v>29</v>
      </c>
      <c r="E20" s="356">
        <f>_xlfn.XLOOKUP(E$2,Table9[Name],Table9[Level 2 Score Rank],"Not Found", 0,1)</f>
        <v>23</v>
      </c>
      <c r="F20" s="356">
        <f>_xlfn.XLOOKUP(F$2,Table9[Name],Table9[Level 2 Score Rank],"Not Found", 0,1)</f>
        <v>3</v>
      </c>
      <c r="G20" s="356">
        <f>_xlfn.XLOOKUP(G$2,Table9[Name],Table9[Level 2 Score Rank],"Not Found", 0,1)</f>
        <v>1</v>
      </c>
    </row>
    <row r="21" spans="2:9" ht="25.5" customHeight="1" x14ac:dyDescent="0.35">
      <c r="B21" s="377" t="s">
        <v>299</v>
      </c>
      <c r="C21" s="355">
        <f>_xlfn.XLOOKUP(C$2,Table9[Name],Table9[Total Score],"Not Found", 0,1)</f>
        <v>2.68</v>
      </c>
      <c r="D21" s="355">
        <f>_xlfn.XLOOKUP(D$2,Table9[Name],Table9[Total Score],"Not Found", 0,1)</f>
        <v>2.37</v>
      </c>
      <c r="E21" s="355">
        <f>_xlfn.XLOOKUP(E$2,Table9[Name],Table9[Total Score],"Not Found", 0,1)</f>
        <v>3.258</v>
      </c>
      <c r="F21" s="355">
        <f>_xlfn.XLOOKUP(F$2,Table9[Name],Table9[Total Score],"Not Found", 0,1)</f>
        <v>3.3920000000000003</v>
      </c>
      <c r="G21" s="355">
        <f>_xlfn.XLOOKUP(G$2,Table9[Name],Table9[Total Score],"Not Found", 0,1)</f>
        <v>3.234</v>
      </c>
    </row>
    <row r="22" spans="2:9" ht="25.5" customHeight="1" x14ac:dyDescent="0.35">
      <c r="B22" s="377" t="s">
        <v>16</v>
      </c>
      <c r="C22" s="356">
        <f>_xlfn.XLOOKUP(C$2,Table9[Name],Table9[Total Score Rank],"Not Found", 0,1)</f>
        <v>18</v>
      </c>
      <c r="D22" s="356">
        <f>_xlfn.XLOOKUP(D$2,Table9[Name],Table9[Total Score Rank],"Not Found", 0,1)</f>
        <v>26</v>
      </c>
      <c r="E22" s="356">
        <f>_xlfn.XLOOKUP(E$2,Table9[Name],Table9[Total Score Rank],"Not Found", 0,1)</f>
        <v>4</v>
      </c>
      <c r="F22" s="356">
        <f>_xlfn.XLOOKUP(F$2,Table9[Name],Table9[Total Score Rank],"Not Found", 0,1)</f>
        <v>1</v>
      </c>
      <c r="G22" s="356">
        <f>_xlfn.XLOOKUP(G$2,Table9[Name],Table9[Total Score Rank],"Not Found", 0,1)</f>
        <v>5</v>
      </c>
    </row>
    <row r="23" spans="2:9" ht="25.5" customHeight="1" x14ac:dyDescent="0.35">
      <c r="C23"/>
    </row>
    <row r="24" spans="2:9" ht="40.5" customHeight="1" outlineLevel="1" x14ac:dyDescent="0.35">
      <c r="B24" s="377" t="s">
        <v>250</v>
      </c>
      <c r="C24" s="378" t="s">
        <v>251</v>
      </c>
      <c r="D24" s="378" t="s">
        <v>252</v>
      </c>
      <c r="E24" s="378" t="str">
        <f t="shared" ref="E24:H24" si="0">C2</f>
        <v>Anowara Economic Zone</v>
      </c>
      <c r="F24" s="378" t="str">
        <f>D2</f>
        <v>Gopalganj Economic Zone</v>
      </c>
      <c r="G24" s="378" t="str">
        <f t="shared" si="0"/>
        <v>Araihazar Economic Zone</v>
      </c>
      <c r="H24" s="378" t="str">
        <f t="shared" si="0"/>
        <v>Mirsarai Economic Zone</v>
      </c>
      <c r="I24" s="378" t="str">
        <f>G2</f>
        <v>Sabrang Tourism Park</v>
      </c>
    </row>
    <row r="25" spans="2:9" ht="25.5" customHeight="1" outlineLevel="1" x14ac:dyDescent="0.35">
      <c r="B25" s="347" t="s">
        <v>253</v>
      </c>
      <c r="C25" s="353">
        <v>0.2</v>
      </c>
      <c r="D25" s="349">
        <f t="shared" ref="D25:D33" si="1">C25*4</f>
        <v>0.8</v>
      </c>
      <c r="E25" s="348">
        <f t="shared" ref="E25:E33" si="2">C8/$D25</f>
        <v>0.15</v>
      </c>
      <c r="F25" s="348">
        <f t="shared" ref="F25:F33" si="3">D8/$D25</f>
        <v>0.125</v>
      </c>
      <c r="G25" s="348">
        <f t="shared" ref="G25:G33" si="4">E8/$D25</f>
        <v>1</v>
      </c>
      <c r="H25" s="348">
        <f t="shared" ref="H25:H33" si="5">F8/$D25</f>
        <v>0.95000000000000007</v>
      </c>
      <c r="I25" s="349">
        <f t="shared" ref="I25:I33" si="6">G8/$D25</f>
        <v>0.82500000000000018</v>
      </c>
    </row>
    <row r="26" spans="2:9" ht="25.5" customHeight="1" outlineLevel="1" x14ac:dyDescent="0.35">
      <c r="B26" s="350" t="s">
        <v>254</v>
      </c>
      <c r="C26" s="354">
        <v>0.15</v>
      </c>
      <c r="D26" s="352">
        <f t="shared" si="1"/>
        <v>0.6</v>
      </c>
      <c r="E26" s="351">
        <f t="shared" si="2"/>
        <v>1</v>
      </c>
      <c r="F26" s="351">
        <f t="shared" si="3"/>
        <v>1</v>
      </c>
      <c r="G26" s="351">
        <f t="shared" si="4"/>
        <v>1</v>
      </c>
      <c r="H26" s="351">
        <f t="shared" si="5"/>
        <v>1</v>
      </c>
      <c r="I26" s="352">
        <f t="shared" si="6"/>
        <v>1</v>
      </c>
    </row>
    <row r="27" spans="2:9" ht="25.5" customHeight="1" outlineLevel="1" x14ac:dyDescent="0.35">
      <c r="B27" s="347" t="s">
        <v>255</v>
      </c>
      <c r="C27" s="353">
        <v>0.15</v>
      </c>
      <c r="D27" s="349">
        <f t="shared" si="1"/>
        <v>0.6</v>
      </c>
      <c r="E27" s="348">
        <f t="shared" si="2"/>
        <v>0.5</v>
      </c>
      <c r="F27" s="348">
        <f t="shared" si="3"/>
        <v>0.25</v>
      </c>
      <c r="G27" s="348">
        <f t="shared" si="4"/>
        <v>0.5</v>
      </c>
      <c r="H27" s="348">
        <f t="shared" si="5"/>
        <v>0.5</v>
      </c>
      <c r="I27" s="349">
        <f t="shared" si="6"/>
        <v>0.25</v>
      </c>
    </row>
    <row r="28" spans="2:9" ht="25.5" customHeight="1" outlineLevel="1" x14ac:dyDescent="0.35">
      <c r="B28" s="350" t="s">
        <v>256</v>
      </c>
      <c r="C28" s="354">
        <v>0.1</v>
      </c>
      <c r="D28" s="352">
        <f t="shared" si="1"/>
        <v>0.4</v>
      </c>
      <c r="E28" s="351">
        <f t="shared" si="2"/>
        <v>1</v>
      </c>
      <c r="F28" s="351">
        <f t="shared" si="3"/>
        <v>0.89999999999999991</v>
      </c>
      <c r="G28" s="351">
        <f t="shared" si="4"/>
        <v>0.67499999999999982</v>
      </c>
      <c r="H28" s="351">
        <f t="shared" si="5"/>
        <v>1</v>
      </c>
      <c r="I28" s="352">
        <f t="shared" si="6"/>
        <v>1</v>
      </c>
    </row>
    <row r="29" spans="2:9" ht="25.5" customHeight="1" outlineLevel="1" x14ac:dyDescent="0.35">
      <c r="B29" s="347" t="s">
        <v>257</v>
      </c>
      <c r="C29" s="353">
        <v>0.1</v>
      </c>
      <c r="D29" s="349">
        <f t="shared" si="1"/>
        <v>0.4</v>
      </c>
      <c r="E29" s="348">
        <f t="shared" si="2"/>
        <v>1.2</v>
      </c>
      <c r="F29" s="348">
        <f t="shared" si="3"/>
        <v>0.96</v>
      </c>
      <c r="G29" s="348">
        <f t="shared" si="4"/>
        <v>1.2</v>
      </c>
      <c r="H29" s="348">
        <f t="shared" si="5"/>
        <v>1.2</v>
      </c>
      <c r="I29" s="349">
        <f t="shared" si="6"/>
        <v>1.2</v>
      </c>
    </row>
    <row r="30" spans="2:9" ht="25.5" customHeight="1" outlineLevel="1" x14ac:dyDescent="0.35">
      <c r="B30" s="350" t="s">
        <v>258</v>
      </c>
      <c r="C30" s="354">
        <v>0.1</v>
      </c>
      <c r="D30" s="352">
        <f t="shared" si="1"/>
        <v>0.4</v>
      </c>
      <c r="E30" s="351">
        <f t="shared" si="2"/>
        <v>1</v>
      </c>
      <c r="F30" s="351">
        <f t="shared" si="3"/>
        <v>0.80000000000000016</v>
      </c>
      <c r="G30" s="351">
        <f t="shared" si="4"/>
        <v>1</v>
      </c>
      <c r="H30" s="351">
        <f t="shared" si="5"/>
        <v>1</v>
      </c>
      <c r="I30" s="352">
        <f t="shared" si="6"/>
        <v>0.80000000000000016</v>
      </c>
    </row>
    <row r="31" spans="2:9" ht="25.5" customHeight="1" outlineLevel="1" x14ac:dyDescent="0.35">
      <c r="B31" s="347" t="s">
        <v>260</v>
      </c>
      <c r="C31" s="353">
        <v>0.06</v>
      </c>
      <c r="D31" s="349">
        <f t="shared" si="1"/>
        <v>0.24</v>
      </c>
      <c r="E31" s="348">
        <f t="shared" si="2"/>
        <v>0</v>
      </c>
      <c r="F31" s="348">
        <f t="shared" si="3"/>
        <v>0.66666666666666674</v>
      </c>
      <c r="G31" s="348">
        <f t="shared" si="4"/>
        <v>0</v>
      </c>
      <c r="H31" s="348">
        <f t="shared" si="5"/>
        <v>0</v>
      </c>
      <c r="I31" s="349">
        <f t="shared" si="6"/>
        <v>0.66666666666666674</v>
      </c>
    </row>
    <row r="32" spans="2:9" ht="25.5" customHeight="1" outlineLevel="1" x14ac:dyDescent="0.35">
      <c r="B32" s="350" t="s">
        <v>262</v>
      </c>
      <c r="C32" s="354">
        <v>0.08</v>
      </c>
      <c r="D32" s="352">
        <f t="shared" si="1"/>
        <v>0.32</v>
      </c>
      <c r="E32" s="351">
        <f t="shared" si="2"/>
        <v>1</v>
      </c>
      <c r="F32" s="351">
        <f t="shared" si="3"/>
        <v>0.70000000000000007</v>
      </c>
      <c r="G32" s="351">
        <f t="shared" si="4"/>
        <v>0.90000000000000013</v>
      </c>
      <c r="H32" s="351">
        <f t="shared" si="5"/>
        <v>1</v>
      </c>
      <c r="I32" s="352">
        <f t="shared" si="6"/>
        <v>1</v>
      </c>
    </row>
    <row r="33" spans="2:9" ht="25.5" customHeight="1" outlineLevel="1" x14ac:dyDescent="0.35">
      <c r="B33" s="347" t="s">
        <v>264</v>
      </c>
      <c r="C33" s="353">
        <v>0.06</v>
      </c>
      <c r="D33" s="349">
        <f t="shared" si="1"/>
        <v>0.24</v>
      </c>
      <c r="E33" s="348">
        <f t="shared" si="2"/>
        <v>0.25</v>
      </c>
      <c r="F33" s="348">
        <f t="shared" si="3"/>
        <v>0.3</v>
      </c>
      <c r="G33" s="348">
        <f t="shared" si="4"/>
        <v>0.5</v>
      </c>
      <c r="H33" s="348">
        <f t="shared" si="5"/>
        <v>0.54999999999999993</v>
      </c>
      <c r="I33" s="349">
        <f t="shared" si="6"/>
        <v>0.6</v>
      </c>
    </row>
  </sheetData>
  <pageMargins left="0.7" right="0.7" top="0.75" bottom="0.75" header="0.3" footer="0.3"/>
  <pageSetup orientation="portrait" r:id="rId1"/>
  <ignoredErrors>
    <ignoredError sqref="G30:G33 I30:I33" evalError="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05A6A43-7A05-4998-BCB5-0047E0517FB0}">
          <x14:formula1>
            <xm:f>'EZ Names V2'!$C$3:$C$103</xm:f>
          </x14:formula1>
          <xm:sqref>C2:G2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0B315-83EA-4784-8D35-0B907509675A}">
  <dimension ref="B1:CB104"/>
  <sheetViews>
    <sheetView workbookViewId="0"/>
  </sheetViews>
  <sheetFormatPr defaultRowHeight="40" customHeight="1" x14ac:dyDescent="0.35"/>
  <cols>
    <col min="1" max="1" width="3.1796875" customWidth="1"/>
    <col min="2" max="2" width="5.1796875" customWidth="1"/>
    <col min="3" max="3" width="35.1796875" customWidth="1"/>
    <col min="4" max="4" width="12.81640625" style="65" bestFit="1" customWidth="1"/>
    <col min="5" max="5" width="22.54296875" bestFit="1" customWidth="1"/>
    <col min="6" max="6" width="18.81640625" customWidth="1"/>
    <col min="7" max="7" width="14.54296875" style="65" customWidth="1"/>
    <col min="8" max="8" width="21.1796875" customWidth="1"/>
    <col min="9" max="9" width="15" style="65" customWidth="1"/>
    <col min="10" max="10" width="10.81640625" style="65" customWidth="1"/>
    <col min="11" max="11" width="11.1796875" customWidth="1"/>
    <col min="12" max="12" width="11.81640625" style="96" customWidth="1"/>
    <col min="13" max="13" width="13.54296875" customWidth="1"/>
    <col min="14" max="14" width="13.1796875" customWidth="1"/>
    <col min="15" max="15" width="16" customWidth="1"/>
    <col min="16" max="16" width="14.54296875" customWidth="1"/>
    <col min="17" max="17" width="14.1796875" customWidth="1"/>
    <col min="18" max="18" width="14.1796875" style="97" customWidth="1"/>
    <col min="19" max="21" width="14.1796875" customWidth="1"/>
    <col min="22" max="22" width="14.1796875" style="97" customWidth="1"/>
    <col min="23" max="23" width="14.453125" customWidth="1"/>
    <col min="24" max="24" width="17.1796875" customWidth="1"/>
    <col min="25" max="25" width="16.54296875" customWidth="1"/>
    <col min="26" max="26" width="11.54296875" customWidth="1"/>
    <col min="27" max="27" width="17.1796875" customWidth="1"/>
    <col min="28" max="28" width="22.54296875" customWidth="1"/>
    <col min="29" max="29" width="26.54296875" style="65" customWidth="1"/>
    <col min="30" max="30" width="14.1796875" customWidth="1"/>
    <col min="31" max="31" width="12.81640625" style="65" customWidth="1"/>
    <col min="32" max="32" width="14.1796875" style="65" customWidth="1"/>
    <col min="33" max="33" width="15.1796875" customWidth="1"/>
    <col min="34" max="34" width="13.1796875" customWidth="1"/>
    <col min="35" max="35" width="15.81640625" customWidth="1"/>
    <col min="36" max="37" width="16.81640625" customWidth="1"/>
    <col min="38" max="38" width="19.81640625" customWidth="1"/>
    <col min="39" max="39" width="16.81640625" customWidth="1"/>
    <col min="40" max="40" width="23.54296875" customWidth="1"/>
    <col min="41" max="41" width="32.1796875" customWidth="1"/>
    <col min="42" max="43" width="23.54296875" customWidth="1"/>
    <col min="44" max="44" width="32.1796875" customWidth="1"/>
    <col min="45" max="45" width="21.1796875" customWidth="1"/>
    <col min="46" max="46" width="15.1796875" customWidth="1"/>
    <col min="47" max="47" width="14.1796875" customWidth="1"/>
    <col min="48" max="48" width="15.54296875" customWidth="1"/>
    <col min="49" max="49" width="14.453125" customWidth="1"/>
    <col min="50" max="51" width="14.54296875" customWidth="1"/>
    <col min="52" max="52" width="10.453125" customWidth="1"/>
    <col min="53" max="53" width="15" style="85" customWidth="1"/>
    <col min="54" max="54" width="18" customWidth="1"/>
    <col min="55" max="55" width="28.1796875" customWidth="1"/>
    <col min="56" max="56" width="22.81640625" bestFit="1" customWidth="1"/>
    <col min="57" max="57" width="24.453125" bestFit="1" customWidth="1"/>
    <col min="58" max="58" width="24.81640625" bestFit="1" customWidth="1"/>
    <col min="59" max="59" width="24.453125" bestFit="1" customWidth="1"/>
    <col min="60" max="60" width="24.54296875" bestFit="1" customWidth="1"/>
    <col min="61" max="61" width="24.81640625" bestFit="1" customWidth="1"/>
    <col min="62" max="62" width="24.1796875" bestFit="1" customWidth="1"/>
    <col min="63" max="64" width="24.54296875" bestFit="1" customWidth="1"/>
    <col min="65" max="65" width="9.1796875" customWidth="1"/>
    <col min="66" max="67" width="9.81640625" customWidth="1"/>
    <col min="68" max="68" width="10.81640625" customWidth="1"/>
    <col min="69" max="69" width="12.54296875" customWidth="1"/>
    <col min="70" max="70" width="13.1796875" customWidth="1"/>
    <col min="71" max="71" width="14.1796875" customWidth="1"/>
    <col min="72" max="72" width="11.81640625" customWidth="1"/>
    <col min="73" max="73" width="14.81640625" bestFit="1" customWidth="1"/>
    <col min="74" max="74" width="13.1796875" customWidth="1"/>
    <col min="75" max="76" width="15.1796875" customWidth="1"/>
    <col min="77" max="77" width="18.1796875" customWidth="1"/>
    <col min="78" max="78" width="13.81640625" customWidth="1"/>
    <col min="79" max="79" width="29" customWidth="1"/>
    <col min="80" max="80" width="26.81640625" customWidth="1"/>
  </cols>
  <sheetData>
    <row r="1" spans="2:80" ht="14.25" customHeight="1" x14ac:dyDescent="0.35"/>
    <row r="2" spans="2:80" s="97" customFormat="1" ht="13.5" x14ac:dyDescent="0.3">
      <c r="B2" s="136"/>
      <c r="C2" s="246" t="s">
        <v>752</v>
      </c>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246" t="s">
        <v>752</v>
      </c>
      <c r="AE2" s="136"/>
      <c r="AF2" s="136"/>
      <c r="AG2" s="136"/>
      <c r="AH2" s="136"/>
      <c r="AI2" s="136"/>
      <c r="AJ2" s="136"/>
      <c r="AK2" s="136"/>
      <c r="AL2" s="136"/>
      <c r="AM2" s="136"/>
      <c r="AN2" s="136"/>
      <c r="AO2" s="147"/>
      <c r="AP2" s="147"/>
      <c r="AQ2" s="147"/>
      <c r="AR2" s="147"/>
      <c r="AS2" s="147"/>
      <c r="AT2" s="820" t="s">
        <v>753</v>
      </c>
      <c r="AU2" s="821"/>
      <c r="AV2" s="821"/>
      <c r="AW2" s="821"/>
      <c r="AX2" s="821"/>
      <c r="AY2" s="821"/>
      <c r="AZ2" s="821"/>
      <c r="BA2" s="822"/>
      <c r="BB2" s="820" t="s">
        <v>754</v>
      </c>
      <c r="BC2" s="821"/>
      <c r="BD2" s="821"/>
      <c r="BE2" s="821"/>
      <c r="BF2" s="821"/>
      <c r="BG2" s="821"/>
      <c r="BH2" s="821"/>
      <c r="BI2" s="821"/>
      <c r="BJ2" s="821"/>
      <c r="BK2" s="821"/>
      <c r="BL2" s="822"/>
      <c r="BM2" s="823" t="s">
        <v>755</v>
      </c>
      <c r="BN2" s="824"/>
      <c r="BO2" s="824"/>
      <c r="BP2" s="824"/>
      <c r="BQ2" s="820" t="s">
        <v>756</v>
      </c>
      <c r="BR2" s="821"/>
      <c r="BS2" s="821"/>
      <c r="BT2" s="821"/>
      <c r="BU2" s="822"/>
      <c r="BV2" s="136"/>
      <c r="BW2" s="136"/>
      <c r="BX2" s="136"/>
      <c r="BY2" s="136"/>
      <c r="BZ2" s="136"/>
      <c r="CA2" s="136"/>
      <c r="CB2" s="136"/>
    </row>
    <row r="3" spans="2:80" s="63" customFormat="1" ht="67.5" x14ac:dyDescent="0.35">
      <c r="B3" s="66" t="s">
        <v>4</v>
      </c>
      <c r="C3" s="66" t="s">
        <v>5</v>
      </c>
      <c r="D3" s="66" t="s">
        <v>6</v>
      </c>
      <c r="E3" s="66" t="s">
        <v>7</v>
      </c>
      <c r="F3" s="66" t="s">
        <v>8</v>
      </c>
      <c r="G3" s="66" t="s">
        <v>9</v>
      </c>
      <c r="H3" s="66" t="s">
        <v>301</v>
      </c>
      <c r="I3" s="67" t="s">
        <v>757</v>
      </c>
      <c r="J3" s="247" t="s">
        <v>12</v>
      </c>
      <c r="K3" s="66" t="s">
        <v>758</v>
      </c>
      <c r="L3" s="66" t="s">
        <v>759</v>
      </c>
      <c r="M3" s="66" t="s">
        <v>760</v>
      </c>
      <c r="N3" s="66" t="s">
        <v>761</v>
      </c>
      <c r="O3" s="247" t="s">
        <v>762</v>
      </c>
      <c r="P3" s="247" t="s">
        <v>763</v>
      </c>
      <c r="Q3" s="66" t="s">
        <v>764</v>
      </c>
      <c r="R3" s="66" t="s">
        <v>765</v>
      </c>
      <c r="S3" s="66" t="s">
        <v>766</v>
      </c>
      <c r="T3" s="66" t="s">
        <v>767</v>
      </c>
      <c r="U3" s="66" t="s">
        <v>480</v>
      </c>
      <c r="V3" s="66" t="s">
        <v>768</v>
      </c>
      <c r="W3" s="66" t="s">
        <v>769</v>
      </c>
      <c r="X3" s="66" t="s">
        <v>770</v>
      </c>
      <c r="Y3" s="247" t="s">
        <v>771</v>
      </c>
      <c r="Z3" s="66" t="s">
        <v>772</v>
      </c>
      <c r="AA3" s="66" t="s">
        <v>773</v>
      </c>
      <c r="AB3" s="247" t="s">
        <v>774</v>
      </c>
      <c r="AC3" s="66" t="s">
        <v>775</v>
      </c>
      <c r="AD3" s="66" t="s">
        <v>776</v>
      </c>
      <c r="AE3" s="66" t="s">
        <v>777</v>
      </c>
      <c r="AF3" s="247" t="s">
        <v>778</v>
      </c>
      <c r="AG3" s="66" t="s">
        <v>779</v>
      </c>
      <c r="AH3" s="66" t="s">
        <v>780</v>
      </c>
      <c r="AI3" s="132" t="s">
        <v>781</v>
      </c>
      <c r="AJ3" s="69" t="s">
        <v>782</v>
      </c>
      <c r="AK3" s="69" t="s">
        <v>783</v>
      </c>
      <c r="AL3" s="248" t="s">
        <v>784</v>
      </c>
      <c r="AM3" s="248" t="s">
        <v>785</v>
      </c>
      <c r="AN3" s="69" t="s">
        <v>786</v>
      </c>
      <c r="AO3" s="248" t="s">
        <v>787</v>
      </c>
      <c r="AP3" s="69" t="s">
        <v>788</v>
      </c>
      <c r="AQ3" s="248" t="s">
        <v>10</v>
      </c>
      <c r="AR3" s="249" t="s">
        <v>302</v>
      </c>
      <c r="AS3" s="249" t="s">
        <v>11</v>
      </c>
      <c r="AT3" s="66" t="s">
        <v>789</v>
      </c>
      <c r="AU3" s="67" t="s">
        <v>790</v>
      </c>
      <c r="AV3" s="67" t="s">
        <v>791</v>
      </c>
      <c r="AW3" s="67" t="s">
        <v>792</v>
      </c>
      <c r="AX3" s="67" t="s">
        <v>793</v>
      </c>
      <c r="AY3" s="67" t="s">
        <v>794</v>
      </c>
      <c r="AZ3" s="67" t="s">
        <v>795</v>
      </c>
      <c r="BA3" s="67" t="s">
        <v>796</v>
      </c>
      <c r="BB3" s="67" t="s">
        <v>797</v>
      </c>
      <c r="BC3" s="67" t="s">
        <v>798</v>
      </c>
      <c r="BD3" s="67" t="s">
        <v>799</v>
      </c>
      <c r="BE3" s="67" t="s">
        <v>800</v>
      </c>
      <c r="BF3" s="67" t="s">
        <v>801</v>
      </c>
      <c r="BG3" s="67" t="s">
        <v>802</v>
      </c>
      <c r="BH3" s="67" t="s">
        <v>803</v>
      </c>
      <c r="BI3" s="67" t="s">
        <v>804</v>
      </c>
      <c r="BJ3" s="67" t="s">
        <v>805</v>
      </c>
      <c r="BK3" s="67" t="s">
        <v>806</v>
      </c>
      <c r="BL3" s="67" t="s">
        <v>807</v>
      </c>
      <c r="BM3" s="67" t="s">
        <v>808</v>
      </c>
      <c r="BN3" s="67" t="s">
        <v>809</v>
      </c>
      <c r="BO3" s="67" t="s">
        <v>810</v>
      </c>
      <c r="BP3" s="67" t="s">
        <v>811</v>
      </c>
      <c r="BQ3" s="67" t="s">
        <v>812</v>
      </c>
      <c r="BR3" s="67" t="s">
        <v>813</v>
      </c>
      <c r="BS3" s="67" t="s">
        <v>814</v>
      </c>
      <c r="BT3" s="67" t="s">
        <v>815</v>
      </c>
      <c r="BU3" s="67" t="s">
        <v>816</v>
      </c>
      <c r="BV3" s="67" t="s">
        <v>817</v>
      </c>
      <c r="BW3" s="67" t="s">
        <v>818</v>
      </c>
      <c r="BX3" s="68" t="s">
        <v>819</v>
      </c>
      <c r="BY3" s="69" t="s">
        <v>820</v>
      </c>
      <c r="BZ3" s="69" t="s">
        <v>821</v>
      </c>
      <c r="CA3" s="69" t="s">
        <v>822</v>
      </c>
      <c r="CB3" s="69" t="s">
        <v>823</v>
      </c>
    </row>
    <row r="4" spans="2:80" ht="40" customHeight="1" x14ac:dyDescent="0.35">
      <c r="B4" s="70">
        <v>1</v>
      </c>
      <c r="C4" s="71" t="s">
        <v>53</v>
      </c>
      <c r="D4" s="70" t="s">
        <v>119</v>
      </c>
      <c r="E4" s="70" t="s">
        <v>119</v>
      </c>
      <c r="F4" s="70" t="s">
        <v>120</v>
      </c>
      <c r="G4" s="70" t="s">
        <v>70</v>
      </c>
      <c r="H4" s="70" t="s">
        <v>422</v>
      </c>
      <c r="I4" s="70" t="s">
        <v>440</v>
      </c>
      <c r="J4" s="70" t="s">
        <v>436</v>
      </c>
      <c r="K4" s="70" t="s">
        <v>417</v>
      </c>
      <c r="L4" s="70"/>
      <c r="M4" s="70"/>
      <c r="N4" s="63"/>
      <c r="O4" s="63"/>
      <c r="P4" s="63"/>
      <c r="Q4" s="70"/>
      <c r="R4" s="96"/>
      <c r="S4" s="79"/>
      <c r="T4" s="63"/>
      <c r="U4" s="140" t="s">
        <v>417</v>
      </c>
      <c r="V4" s="96">
        <v>2021</v>
      </c>
      <c r="W4" s="79"/>
      <c r="X4" s="63"/>
      <c r="Y4" s="63" t="str">
        <f>IF(AND(Table14[[#This Row],[Pre-Feasibility]]=0,Table14[[#This Row],[Pre-Feasibility 2]]=0, Table14[[#This Row],[Feasibility]]=0, Table14[[#This Row],[Feasibility 2]]=0), "No", "Yes")</f>
        <v>Yes</v>
      </c>
      <c r="Z4" s="63" t="s">
        <v>440</v>
      </c>
      <c r="AA4" s="63" t="s">
        <v>440</v>
      </c>
      <c r="AB4" s="79"/>
      <c r="AC4" s="70" t="s">
        <v>824</v>
      </c>
      <c r="AD4" s="70">
        <v>300</v>
      </c>
      <c r="AE4" s="70" t="s">
        <v>180</v>
      </c>
      <c r="AF4" s="70"/>
      <c r="AG4" s="70" t="s">
        <v>180</v>
      </c>
      <c r="AH4" s="70">
        <v>329.43</v>
      </c>
      <c r="AI4" s="70" t="s">
        <v>440</v>
      </c>
      <c r="AJ4" s="70" t="s">
        <v>440</v>
      </c>
      <c r="AK4" s="70" t="s">
        <v>440</v>
      </c>
      <c r="AL4" s="250" cm="1">
        <f t="array" ref="AL4">IFERROR(_xlfn.STDEV.P(IF(Table14[[#This Row],[Website Area (Acres)]:[PEZ Other Source (Acre)]]&lt;&gt;0, Table14[[#This Row],[Website Area (Acres)]:[PEZ Other Source (Acre)]], ""))/AVERAGE(IF(Table14[[#This Row],[Website Area (Acres)]:[PEZ Other Source (Acre)]]&lt;&gt;0, Table14[[#This Row],[Website Area (Acres)]:[PEZ Other Source (Acre)]], "")), "")</f>
        <v>4.6756589295076506E-2</v>
      </c>
      <c r="AM4" s="70" t="s">
        <v>417</v>
      </c>
      <c r="AN4" s="70"/>
      <c r="AO4" s="70" t="s">
        <v>825</v>
      </c>
      <c r="AP4" s="148">
        <v>329.4</v>
      </c>
      <c r="AQ4" s="148">
        <v>300</v>
      </c>
      <c r="AR4" s="70" t="s">
        <v>451</v>
      </c>
      <c r="AS4" s="70" t="s">
        <v>444</v>
      </c>
      <c r="AT4" s="71"/>
      <c r="AU4" s="87">
        <f>AV4/165</f>
        <v>1.3973939393939394</v>
      </c>
      <c r="AV4" s="71">
        <v>230.57</v>
      </c>
      <c r="AW4" s="71"/>
      <c r="AX4" s="71">
        <v>38.03</v>
      </c>
      <c r="AY4" s="71">
        <v>16.79</v>
      </c>
      <c r="AZ4" s="71">
        <v>11.1</v>
      </c>
      <c r="BA4" s="71">
        <v>32.94</v>
      </c>
      <c r="BB4" s="70"/>
      <c r="BC4" s="74">
        <f>SUM(AV4:BB4)</f>
        <v>329.43000000000006</v>
      </c>
      <c r="BD4" s="70" t="s">
        <v>826</v>
      </c>
      <c r="BE4" s="70" t="s">
        <v>827</v>
      </c>
      <c r="BF4" s="70" t="s">
        <v>828</v>
      </c>
      <c r="BG4" s="70" t="s">
        <v>829</v>
      </c>
      <c r="BH4" s="70" t="s">
        <v>830</v>
      </c>
      <c r="BI4" s="70" t="s">
        <v>831</v>
      </c>
      <c r="BJ4" s="70"/>
      <c r="BK4" s="70"/>
      <c r="BL4" s="70"/>
      <c r="BM4" s="71"/>
      <c r="BN4" s="71"/>
      <c r="BO4" s="71" t="s">
        <v>832</v>
      </c>
      <c r="BP4" s="71" t="s">
        <v>833</v>
      </c>
      <c r="BQ4" s="71" t="s">
        <v>834</v>
      </c>
      <c r="BR4" s="71" t="s">
        <v>835</v>
      </c>
      <c r="BS4" s="88">
        <v>40.1</v>
      </c>
      <c r="BT4" s="88">
        <v>13000</v>
      </c>
      <c r="BU4" s="88">
        <v>15800</v>
      </c>
      <c r="BV4" s="88">
        <v>4939.82</v>
      </c>
      <c r="BW4" s="71"/>
      <c r="BX4" s="71"/>
      <c r="BY4" s="71"/>
      <c r="BZ4" s="71" t="s">
        <v>836</v>
      </c>
      <c r="CA4" s="71"/>
      <c r="CB4" s="71"/>
    </row>
    <row r="5" spans="2:80" ht="40" customHeight="1" x14ac:dyDescent="0.35">
      <c r="B5" s="70">
        <v>2</v>
      </c>
      <c r="C5" s="71" t="s">
        <v>220</v>
      </c>
      <c r="D5" s="70" t="s">
        <v>68</v>
      </c>
      <c r="E5" s="70" t="s">
        <v>221</v>
      </c>
      <c r="F5" s="70" t="s">
        <v>222</v>
      </c>
      <c r="G5" s="70" t="s">
        <v>70</v>
      </c>
      <c r="H5" s="70" t="s">
        <v>430</v>
      </c>
      <c r="I5" s="70" t="s">
        <v>440</v>
      </c>
      <c r="J5" s="70" t="s">
        <v>436</v>
      </c>
      <c r="K5" s="70" t="s">
        <v>417</v>
      </c>
      <c r="L5" s="70"/>
      <c r="M5" s="70"/>
      <c r="N5" s="63"/>
      <c r="O5" s="63"/>
      <c r="P5" s="63"/>
      <c r="Q5" s="70"/>
      <c r="R5" s="96"/>
      <c r="S5" s="70"/>
      <c r="T5" s="63"/>
      <c r="U5" s="70"/>
      <c r="V5" s="96"/>
      <c r="W5" s="70"/>
      <c r="X5" s="63"/>
      <c r="Y5" s="63" t="str">
        <f>IF(AND(Table14[[#This Row],[Pre-Feasibility]]=0,Table14[[#This Row],[Pre-Feasibility 2]]=0, Table14[[#This Row],[Feasibility]]=0, Table14[[#This Row],[Feasibility 2]]=0), "No", "Yes")</f>
        <v>No</v>
      </c>
      <c r="Z5" s="63" t="s">
        <v>440</v>
      </c>
      <c r="AA5" s="63" t="s">
        <v>440</v>
      </c>
      <c r="AB5" s="70"/>
      <c r="AC5" s="70"/>
      <c r="AD5" s="70"/>
      <c r="AE5" s="70" t="s">
        <v>180</v>
      </c>
      <c r="AF5" s="70"/>
      <c r="AG5" s="70" t="s">
        <v>180</v>
      </c>
      <c r="AH5" s="70" t="s">
        <v>180</v>
      </c>
      <c r="AI5" s="70" t="s">
        <v>440</v>
      </c>
      <c r="AJ5" s="70" t="s">
        <v>440</v>
      </c>
      <c r="AK5" s="70" t="s">
        <v>440</v>
      </c>
      <c r="AL5" s="250" t="str" cm="1">
        <f t="array" ref="AL5">IFERROR(_xlfn.STDEV.P(IF(Table14[[#This Row],[Website Area (Acres)]:[PEZ Other Source (Acre)]]&lt;&gt;0, Table14[[#This Row],[Website Area (Acres)]:[PEZ Other Source (Acre)]], ""))/AVERAGE(IF(Table14[[#This Row],[Website Area (Acres)]:[PEZ Other Source (Acre)]]&lt;&gt;0, Table14[[#This Row],[Website Area (Acres)]:[PEZ Other Source (Acre)]], "")), "")</f>
        <v/>
      </c>
      <c r="AM5" s="70" t="s">
        <v>837</v>
      </c>
      <c r="AN5" s="70" t="s">
        <v>837</v>
      </c>
      <c r="AO5" s="70" t="s">
        <v>838</v>
      </c>
      <c r="AP5" s="148" t="s">
        <v>180</v>
      </c>
      <c r="AQ5" s="148">
        <v>640</v>
      </c>
      <c r="AR5" s="70" t="s">
        <v>473</v>
      </c>
      <c r="AS5" s="70" t="s">
        <v>444</v>
      </c>
      <c r="AT5" s="71"/>
      <c r="AU5" s="71"/>
      <c r="AV5" s="71"/>
      <c r="AW5" s="71"/>
      <c r="AX5" s="71"/>
      <c r="AY5" s="71"/>
      <c r="AZ5" s="71"/>
      <c r="BA5" s="71"/>
      <c r="BB5" s="70"/>
      <c r="BC5" s="75"/>
      <c r="BD5" s="70"/>
      <c r="BE5" s="70"/>
      <c r="BF5" s="70"/>
      <c r="BG5" s="70"/>
      <c r="BH5" s="70"/>
      <c r="BI5" s="70"/>
      <c r="BJ5" s="70"/>
      <c r="BK5" s="70"/>
      <c r="BL5" s="70"/>
      <c r="BM5" s="71"/>
      <c r="BN5" s="71"/>
      <c r="BO5" s="71"/>
      <c r="BP5" s="71"/>
      <c r="BQ5" s="71"/>
      <c r="BR5" s="71"/>
      <c r="BS5" s="71"/>
      <c r="BT5" s="71"/>
      <c r="BU5" s="71"/>
      <c r="BV5" s="71"/>
      <c r="BW5" s="71"/>
      <c r="BX5" s="71"/>
      <c r="BY5" s="71"/>
      <c r="BZ5" s="71"/>
      <c r="CA5" s="71"/>
      <c r="CB5" s="71"/>
    </row>
    <row r="6" spans="2:80" ht="40" customHeight="1" x14ac:dyDescent="0.35">
      <c r="B6" s="70">
        <v>3</v>
      </c>
      <c r="C6" s="71" t="s">
        <v>42</v>
      </c>
      <c r="D6" s="70" t="s">
        <v>68</v>
      </c>
      <c r="E6" s="70" t="s">
        <v>68</v>
      </c>
      <c r="F6" s="70" t="s">
        <v>81</v>
      </c>
      <c r="G6" s="70" t="s">
        <v>70</v>
      </c>
      <c r="H6" s="70" t="s">
        <v>422</v>
      </c>
      <c r="I6" s="70" t="s">
        <v>440</v>
      </c>
      <c r="J6" s="70" t="s">
        <v>436</v>
      </c>
      <c r="K6" s="70" t="s">
        <v>417</v>
      </c>
      <c r="L6" s="79" t="s">
        <v>643</v>
      </c>
      <c r="M6" s="70"/>
      <c r="N6" s="63"/>
      <c r="O6" s="135" t="s">
        <v>417</v>
      </c>
      <c r="P6" s="63">
        <v>2015</v>
      </c>
      <c r="Q6" s="79" t="s">
        <v>417</v>
      </c>
      <c r="R6" s="96">
        <v>2016</v>
      </c>
      <c r="S6" s="70"/>
      <c r="T6" s="63"/>
      <c r="U6" s="70"/>
      <c r="V6" s="96"/>
      <c r="W6" s="70"/>
      <c r="X6" s="63"/>
      <c r="Y6" s="63" t="str">
        <f>IF(AND(Table14[[#This Row],[Pre-Feasibility]]=0,Table14[[#This Row],[Pre-Feasibility 2]]=0, Table14[[#This Row],[Feasibility]]=0, Table14[[#This Row],[Feasibility 2]]=0), "No", "Yes")</f>
        <v>Yes</v>
      </c>
      <c r="Z6" s="63" t="s">
        <v>440</v>
      </c>
      <c r="AA6" s="63" t="s">
        <v>440</v>
      </c>
      <c r="AB6" s="70"/>
      <c r="AC6" s="70" t="s">
        <v>824</v>
      </c>
      <c r="AD6" s="70">
        <v>774.48</v>
      </c>
      <c r="AE6" s="70" t="s">
        <v>180</v>
      </c>
      <c r="AF6" s="70">
        <v>774.42499999999995</v>
      </c>
      <c r="AG6" s="70">
        <v>774.43</v>
      </c>
      <c r="AH6" s="70" t="s">
        <v>180</v>
      </c>
      <c r="AI6" s="70" t="s">
        <v>440</v>
      </c>
      <c r="AJ6" s="70" t="s">
        <v>440</v>
      </c>
      <c r="AK6" s="70" t="s">
        <v>440</v>
      </c>
      <c r="AL6" s="250" cm="1">
        <f t="array" ref="AL6">IFERROR(_xlfn.STDEV.P(IF(Table14[[#This Row],[Website Area (Acres)]:[PEZ Other Source (Acre)]]&lt;&gt;0, Table14[[#This Row],[Website Area (Acres)]:[PEZ Other Source (Acre)]], ""))/AVERAGE(IF(Table14[[#This Row],[Website Area (Acres)]:[PEZ Other Source (Acre)]]&lt;&gt;0, Table14[[#This Row],[Website Area (Acres)]:[PEZ Other Source (Acre)]], "")), "")</f>
        <v>3.2065251945521919E-5</v>
      </c>
      <c r="AM6" s="70" t="s">
        <v>418</v>
      </c>
      <c r="AN6" s="70"/>
      <c r="AO6" s="70"/>
      <c r="AP6" s="148">
        <v>634.9</v>
      </c>
      <c r="AQ6" s="148">
        <v>634.9</v>
      </c>
      <c r="AR6" s="70" t="s">
        <v>423</v>
      </c>
      <c r="AS6" s="70" t="s">
        <v>412</v>
      </c>
      <c r="AT6" s="71"/>
      <c r="AU6" s="71"/>
      <c r="AV6" s="71">
        <v>420.57</v>
      </c>
      <c r="AW6" s="71"/>
      <c r="AX6" s="71"/>
      <c r="AY6" s="71"/>
      <c r="AZ6" s="71"/>
      <c r="BA6" s="71"/>
      <c r="BB6" s="70"/>
      <c r="BC6" s="75">
        <v>774.43</v>
      </c>
      <c r="BD6" s="70" t="s">
        <v>826</v>
      </c>
      <c r="BE6" s="70" t="s">
        <v>839</v>
      </c>
      <c r="BF6" s="70" t="s">
        <v>840</v>
      </c>
      <c r="BG6" s="70" t="s">
        <v>831</v>
      </c>
      <c r="BH6" s="70" t="s">
        <v>841</v>
      </c>
      <c r="BI6" s="70"/>
      <c r="BJ6" s="70"/>
      <c r="BK6" s="70"/>
      <c r="BL6" s="70"/>
      <c r="BM6" s="71"/>
      <c r="BN6" s="71"/>
      <c r="BO6" s="71" t="s">
        <v>842</v>
      </c>
      <c r="BP6" s="71" t="s">
        <v>843</v>
      </c>
      <c r="BQ6" s="71" t="s">
        <v>844</v>
      </c>
      <c r="BR6" s="71"/>
      <c r="BS6" s="71">
        <v>100</v>
      </c>
      <c r="BT6" s="91">
        <v>90000</v>
      </c>
      <c r="BU6" s="71"/>
      <c r="BV6" s="71"/>
      <c r="BW6" s="71"/>
      <c r="BX6" s="71"/>
      <c r="BY6" s="71"/>
      <c r="BZ6" s="71"/>
      <c r="CA6" s="71"/>
      <c r="CB6" s="71"/>
    </row>
    <row r="7" spans="2:80" ht="40" customHeight="1" x14ac:dyDescent="0.35">
      <c r="B7" s="70">
        <v>4</v>
      </c>
      <c r="C7" s="71" t="s">
        <v>845</v>
      </c>
      <c r="D7" s="70" t="s">
        <v>76</v>
      </c>
      <c r="E7" s="70" t="s">
        <v>77</v>
      </c>
      <c r="F7" s="70" t="s">
        <v>78</v>
      </c>
      <c r="G7" s="70" t="s">
        <v>70</v>
      </c>
      <c r="H7" s="70" t="s">
        <v>430</v>
      </c>
      <c r="I7" s="70" t="s">
        <v>440</v>
      </c>
      <c r="J7" s="70" t="s">
        <v>436</v>
      </c>
      <c r="K7" s="70" t="s">
        <v>417</v>
      </c>
      <c r="L7" s="70"/>
      <c r="M7" s="70"/>
      <c r="N7" s="63"/>
      <c r="O7" s="63"/>
      <c r="P7" s="63"/>
      <c r="Q7" s="70"/>
      <c r="R7" s="96"/>
      <c r="S7" s="70"/>
      <c r="T7" s="63"/>
      <c r="U7" s="70"/>
      <c r="V7" s="96"/>
      <c r="W7" s="70"/>
      <c r="X7" s="63"/>
      <c r="Y7" s="63" t="str">
        <f>IF(AND(Table14[[#This Row],[Pre-Feasibility]]=0,Table14[[#This Row],[Pre-Feasibility 2]]=0, Table14[[#This Row],[Feasibility]]=0, Table14[[#This Row],[Feasibility 2]]=0), "No", "Yes")</f>
        <v>No</v>
      </c>
      <c r="Z7" s="63" t="s">
        <v>440</v>
      </c>
      <c r="AA7" s="63" t="s">
        <v>440</v>
      </c>
      <c r="AB7" s="70"/>
      <c r="AC7" s="70"/>
      <c r="AD7" s="70">
        <v>1010.9</v>
      </c>
      <c r="AE7" s="70" t="s">
        <v>180</v>
      </c>
      <c r="AF7" s="70"/>
      <c r="AG7" s="70" t="s">
        <v>180</v>
      </c>
      <c r="AH7" s="70" t="s">
        <v>180</v>
      </c>
      <c r="AI7" s="70" t="s">
        <v>440</v>
      </c>
      <c r="AJ7" s="70" t="s">
        <v>440</v>
      </c>
      <c r="AK7" s="70" t="s">
        <v>440</v>
      </c>
      <c r="AL7" s="250" cm="1">
        <f t="array" ref="AL7">IFERROR(_xlfn.STDEV.P(IF(Table14[[#This Row],[Website Area (Acres)]:[PEZ Other Source (Acre)]]&lt;&gt;0, Table14[[#This Row],[Website Area (Acres)]:[PEZ Other Source (Acre)]], ""))/AVERAGE(IF(Table14[[#This Row],[Website Area (Acres)]:[PEZ Other Source (Acre)]]&lt;&gt;0, Table14[[#This Row],[Website Area (Acres)]:[PEZ Other Source (Acre)]], "")), "")</f>
        <v>0</v>
      </c>
      <c r="AM7" s="70" t="s">
        <v>418</v>
      </c>
      <c r="AN7" s="70"/>
      <c r="AO7" s="70"/>
      <c r="AP7" s="148">
        <v>413</v>
      </c>
      <c r="AQ7" s="148">
        <v>413</v>
      </c>
      <c r="AR7" s="70" t="s">
        <v>426</v>
      </c>
      <c r="AS7" s="70" t="s">
        <v>412</v>
      </c>
      <c r="AT7" s="71"/>
      <c r="AU7" s="71"/>
      <c r="AV7" s="71"/>
      <c r="AW7" s="71"/>
      <c r="AX7" s="71"/>
      <c r="AY7" s="71"/>
      <c r="AZ7" s="71"/>
      <c r="BA7" s="71"/>
      <c r="BB7" s="70"/>
      <c r="BC7" s="75"/>
      <c r="BD7" s="70"/>
      <c r="BE7" s="70"/>
      <c r="BF7" s="70"/>
      <c r="BG7" s="70"/>
      <c r="BH7" s="70"/>
      <c r="BI7" s="70"/>
      <c r="BJ7" s="70"/>
      <c r="BK7" s="70"/>
      <c r="BL7" s="70"/>
      <c r="BM7" s="71"/>
      <c r="BN7" s="71"/>
      <c r="BO7" s="71"/>
      <c r="BP7" s="71"/>
      <c r="BQ7" s="71"/>
      <c r="BR7" s="71"/>
      <c r="BS7" s="71"/>
      <c r="BT7" s="71"/>
      <c r="BU7" s="71"/>
      <c r="BV7" s="71"/>
      <c r="BW7" s="71"/>
      <c r="BX7" s="71"/>
      <c r="BY7" s="71"/>
      <c r="BZ7" s="71"/>
      <c r="CA7" s="71"/>
      <c r="CB7" s="71"/>
    </row>
    <row r="8" spans="2:80" ht="40" customHeight="1" x14ac:dyDescent="0.35">
      <c r="B8" s="70">
        <v>5</v>
      </c>
      <c r="C8" s="71" t="s">
        <v>242</v>
      </c>
      <c r="D8" s="70" t="s">
        <v>68</v>
      </c>
      <c r="E8" s="70" t="s">
        <v>243</v>
      </c>
      <c r="F8" s="70" t="s">
        <v>244</v>
      </c>
      <c r="G8" s="70" t="s">
        <v>70</v>
      </c>
      <c r="H8" s="70" t="s">
        <v>430</v>
      </c>
      <c r="I8" s="70" t="s">
        <v>440</v>
      </c>
      <c r="J8" s="70" t="s">
        <v>436</v>
      </c>
      <c r="K8" s="70" t="s">
        <v>417</v>
      </c>
      <c r="L8" s="70"/>
      <c r="M8" s="70"/>
      <c r="N8" s="63"/>
      <c r="O8" s="63"/>
      <c r="P8" s="63"/>
      <c r="Q8" s="70"/>
      <c r="R8" s="96"/>
      <c r="S8" s="70"/>
      <c r="T8" s="63"/>
      <c r="U8" s="70"/>
      <c r="V8" s="96"/>
      <c r="W8" s="70"/>
      <c r="X8" s="63"/>
      <c r="Y8" s="63" t="str">
        <f>IF(AND(Table14[[#This Row],[Pre-Feasibility]]=0,Table14[[#This Row],[Pre-Feasibility 2]]=0, Table14[[#This Row],[Feasibility]]=0, Table14[[#This Row],[Feasibility 2]]=0), "No", "Yes")</f>
        <v>No</v>
      </c>
      <c r="Z8" s="63" t="s">
        <v>440</v>
      </c>
      <c r="AA8" s="63" t="s">
        <v>440</v>
      </c>
      <c r="AB8" s="70"/>
      <c r="AC8" s="70"/>
      <c r="AD8" s="70">
        <v>328.61</v>
      </c>
      <c r="AE8" s="70" t="s">
        <v>180</v>
      </c>
      <c r="AF8" s="70"/>
      <c r="AG8" s="70" t="s">
        <v>180</v>
      </c>
      <c r="AH8" s="70" t="s">
        <v>180</v>
      </c>
      <c r="AI8" s="70" t="s">
        <v>440</v>
      </c>
      <c r="AJ8" s="70" t="s">
        <v>440</v>
      </c>
      <c r="AK8" s="70" t="s">
        <v>440</v>
      </c>
      <c r="AL8" s="250" cm="1">
        <f t="array" ref="AL8">IFERROR(_xlfn.STDEV.P(IF(Table14[[#This Row],[Website Area (Acres)]:[PEZ Other Source (Acre)]]&lt;&gt;0, Table14[[#This Row],[Website Area (Acres)]:[PEZ Other Source (Acre)]], ""))/AVERAGE(IF(Table14[[#This Row],[Website Area (Acres)]:[PEZ Other Source (Acre)]]&lt;&gt;0, Table14[[#This Row],[Website Area (Acres)]:[PEZ Other Source (Acre)]], "")), "")</f>
        <v>0</v>
      </c>
      <c r="AM8" s="70" t="s">
        <v>418</v>
      </c>
      <c r="AN8" s="70"/>
      <c r="AO8" s="70"/>
      <c r="AP8" s="148">
        <v>328.6</v>
      </c>
      <c r="AQ8" s="148">
        <v>328.61</v>
      </c>
      <c r="AR8" s="70" t="s">
        <v>477</v>
      </c>
      <c r="AS8" s="70" t="s">
        <v>444</v>
      </c>
      <c r="AT8" s="71"/>
      <c r="AU8" s="71"/>
      <c r="AV8" s="71"/>
      <c r="AW8" s="71"/>
      <c r="AX8" s="71"/>
      <c r="AY8" s="71"/>
      <c r="AZ8" s="71"/>
      <c r="BA8" s="71"/>
      <c r="BB8" s="70"/>
      <c r="BC8" s="75"/>
      <c r="BD8" s="70"/>
      <c r="BE8" s="70"/>
      <c r="BF8" s="70"/>
      <c r="BG8" s="70"/>
      <c r="BH8" s="70"/>
      <c r="BI8" s="70"/>
      <c r="BJ8" s="70"/>
      <c r="BK8" s="70"/>
      <c r="BL8" s="70"/>
      <c r="BM8" s="71"/>
      <c r="BN8" s="71"/>
      <c r="BO8" s="71"/>
      <c r="BP8" s="71"/>
      <c r="BQ8" s="71"/>
      <c r="BR8" s="71"/>
      <c r="BS8" s="71"/>
      <c r="BT8" s="71"/>
      <c r="BU8" s="71"/>
      <c r="BV8" s="71"/>
      <c r="BW8" s="71"/>
      <c r="BX8" s="71"/>
      <c r="BY8" s="71"/>
      <c r="BZ8" s="71"/>
      <c r="CA8" s="71"/>
      <c r="CB8" s="71"/>
    </row>
    <row r="9" spans="2:80" ht="59.15" customHeight="1" x14ac:dyDescent="0.35">
      <c r="B9" s="70">
        <v>6</v>
      </c>
      <c r="C9" s="71" t="s">
        <v>62</v>
      </c>
      <c r="D9" s="70" t="s">
        <v>119</v>
      </c>
      <c r="E9" s="70" t="s">
        <v>134</v>
      </c>
      <c r="F9" s="70" t="s">
        <v>135</v>
      </c>
      <c r="G9" s="70" t="s">
        <v>70</v>
      </c>
      <c r="H9" s="70" t="s">
        <v>422</v>
      </c>
      <c r="I9" s="70" t="s">
        <v>440</v>
      </c>
      <c r="J9" s="70" t="s">
        <v>436</v>
      </c>
      <c r="K9" s="70" t="s">
        <v>417</v>
      </c>
      <c r="L9" s="70"/>
      <c r="M9" s="70"/>
      <c r="N9" s="63"/>
      <c r="O9" s="135" t="s">
        <v>417</v>
      </c>
      <c r="P9" s="63">
        <v>2015</v>
      </c>
      <c r="Q9" s="79" t="s">
        <v>417</v>
      </c>
      <c r="R9" s="96">
        <v>2021</v>
      </c>
      <c r="S9" s="70"/>
      <c r="T9" s="63"/>
      <c r="U9" s="70"/>
      <c r="V9" s="96"/>
      <c r="W9" s="70"/>
      <c r="X9" s="63"/>
      <c r="Y9" s="63" t="str">
        <f>IF(AND(Table14[[#This Row],[Pre-Feasibility]]=0,Table14[[#This Row],[Pre-Feasibility 2]]=0, Table14[[#This Row],[Feasibility]]=0, Table14[[#This Row],[Feasibility 2]]=0), "No", "Yes")</f>
        <v>Yes</v>
      </c>
      <c r="Z9" s="63" t="s">
        <v>440</v>
      </c>
      <c r="AA9" s="63" t="s">
        <v>440</v>
      </c>
      <c r="AB9" s="70"/>
      <c r="AC9" s="70" t="s">
        <v>846</v>
      </c>
      <c r="AD9" s="70">
        <v>304.07</v>
      </c>
      <c r="AE9" s="70" t="s">
        <v>180</v>
      </c>
      <c r="AF9" s="70">
        <v>304.07</v>
      </c>
      <c r="AG9" s="70">
        <v>304.07</v>
      </c>
      <c r="AH9" s="70" t="s">
        <v>180</v>
      </c>
      <c r="AI9" s="70" t="s">
        <v>440</v>
      </c>
      <c r="AJ9" s="70" t="s">
        <v>440</v>
      </c>
      <c r="AK9" s="70" t="s">
        <v>440</v>
      </c>
      <c r="AL9" s="250" cm="1">
        <f t="array" ref="AL9">IFERROR(_xlfn.STDEV.P(IF(Table14[[#This Row],[Website Area (Acres)]:[PEZ Other Source (Acre)]]&lt;&gt;0, Table14[[#This Row],[Website Area (Acres)]:[PEZ Other Source (Acre)]], ""))/AVERAGE(IF(Table14[[#This Row],[Website Area (Acres)]:[PEZ Other Source (Acre)]]&lt;&gt;0, Table14[[#This Row],[Website Area (Acres)]:[PEZ Other Source (Acre)]], "")), "")</f>
        <v>0</v>
      </c>
      <c r="AM9" s="70" t="s">
        <v>418</v>
      </c>
      <c r="AN9" s="70"/>
      <c r="AO9" s="70"/>
      <c r="AP9" s="148">
        <v>304.10000000000002</v>
      </c>
      <c r="AQ9" s="148">
        <v>304.07</v>
      </c>
      <c r="AR9" s="70" t="s">
        <v>459</v>
      </c>
      <c r="AS9" s="70" t="s">
        <v>444</v>
      </c>
      <c r="AT9" s="71"/>
      <c r="AU9" s="71">
        <v>1</v>
      </c>
      <c r="AV9" s="71">
        <v>212.27</v>
      </c>
      <c r="AW9" s="71"/>
      <c r="AX9" s="71">
        <f>38.8+1.19</f>
        <v>39.989999999999995</v>
      </c>
      <c r="AY9" s="71">
        <v>14.83</v>
      </c>
      <c r="AZ9" s="71">
        <v>4.9400000000000004</v>
      </c>
      <c r="BA9" s="71">
        <v>31.97</v>
      </c>
      <c r="BB9" s="70"/>
      <c r="BC9" s="74">
        <f>SUM(AV9:BB9)</f>
        <v>304</v>
      </c>
      <c r="BD9" s="70" t="s">
        <v>847</v>
      </c>
      <c r="BE9" s="70" t="s">
        <v>829</v>
      </c>
      <c r="BF9" s="70" t="s">
        <v>848</v>
      </c>
      <c r="BG9" s="70" t="s">
        <v>849</v>
      </c>
      <c r="BH9" s="70"/>
      <c r="BI9" s="70"/>
      <c r="BJ9" s="70"/>
      <c r="BK9" s="70"/>
      <c r="BL9" s="70"/>
      <c r="BM9" s="71"/>
      <c r="BN9" s="71"/>
      <c r="BO9" s="71" t="s">
        <v>850</v>
      </c>
      <c r="BP9" s="71"/>
      <c r="BQ9" s="71" t="s">
        <v>851</v>
      </c>
      <c r="BR9" s="71"/>
      <c r="BS9" s="88">
        <v>36</v>
      </c>
      <c r="BT9" s="88">
        <v>7000</v>
      </c>
      <c r="BU9" s="88">
        <v>14550</v>
      </c>
      <c r="BV9" s="88"/>
      <c r="BW9" s="71"/>
      <c r="BX9" s="71"/>
      <c r="BY9" s="71"/>
      <c r="BZ9" s="71"/>
      <c r="CA9" s="71"/>
      <c r="CB9" s="71"/>
    </row>
    <row r="10" spans="2:80" ht="40" customHeight="1" x14ac:dyDescent="0.35">
      <c r="B10" s="70">
        <v>7</v>
      </c>
      <c r="C10" s="71" t="s">
        <v>49</v>
      </c>
      <c r="D10" s="70" t="s">
        <v>113</v>
      </c>
      <c r="E10" s="70" t="s">
        <v>114</v>
      </c>
      <c r="F10" s="70" t="s">
        <v>115</v>
      </c>
      <c r="G10" s="70" t="s">
        <v>70</v>
      </c>
      <c r="H10" s="70" t="s">
        <v>422</v>
      </c>
      <c r="I10" s="70" t="s">
        <v>440</v>
      </c>
      <c r="J10" s="70" t="s">
        <v>415</v>
      </c>
      <c r="K10" s="70" t="s">
        <v>417</v>
      </c>
      <c r="L10" s="70"/>
      <c r="M10" s="70"/>
      <c r="N10" s="63"/>
      <c r="O10" s="63"/>
      <c r="P10" s="63"/>
      <c r="Q10" s="79" t="s">
        <v>417</v>
      </c>
      <c r="R10" s="96">
        <v>2018</v>
      </c>
      <c r="S10" s="79"/>
      <c r="T10" s="63"/>
      <c r="U10" s="79" t="s">
        <v>417</v>
      </c>
      <c r="V10" s="96">
        <v>2022</v>
      </c>
      <c r="W10" s="79"/>
      <c r="X10" s="63"/>
      <c r="Y10" s="63" t="str">
        <f>IF(AND(Table14[[#This Row],[Pre-Feasibility]]=0,Table14[[#This Row],[Pre-Feasibility 2]]=0, Table14[[#This Row],[Feasibility]]=0, Table14[[#This Row],[Feasibility 2]]=0), "No", "Yes")</f>
        <v>Yes</v>
      </c>
      <c r="Z10" s="63" t="s">
        <v>440</v>
      </c>
      <c r="AA10" s="63" t="s">
        <v>440</v>
      </c>
      <c r="AB10" s="79"/>
      <c r="AC10" s="70" t="s">
        <v>824</v>
      </c>
      <c r="AD10" s="70">
        <v>251.43</v>
      </c>
      <c r="AE10" s="70" t="s">
        <v>180</v>
      </c>
      <c r="AF10" s="70"/>
      <c r="AG10" s="70">
        <v>251.43</v>
      </c>
      <c r="AH10" s="70">
        <v>251.43</v>
      </c>
      <c r="AI10" s="70" t="s">
        <v>440</v>
      </c>
      <c r="AJ10" s="70" t="s">
        <v>440</v>
      </c>
      <c r="AK10" s="70" t="s">
        <v>440</v>
      </c>
      <c r="AL10" s="250" cm="1">
        <f t="array" ref="AL10">IFERROR(_xlfn.STDEV.P(IF(Table14[[#This Row],[Website Area (Acres)]:[PEZ Other Source (Acre)]]&lt;&gt;0, Table14[[#This Row],[Website Area (Acres)]:[PEZ Other Source (Acre)]], ""))/AVERAGE(IF(Table14[[#This Row],[Website Area (Acres)]:[PEZ Other Source (Acre)]]&lt;&gt;0, Table14[[#This Row],[Website Area (Acres)]:[PEZ Other Source (Acre)]], "")), "")</f>
        <v>1.130402475058824E-16</v>
      </c>
      <c r="AM10" s="70" t="s">
        <v>418</v>
      </c>
      <c r="AN10" s="70"/>
      <c r="AO10" s="70"/>
      <c r="AP10" s="148">
        <v>251.4</v>
      </c>
      <c r="AQ10" s="148">
        <v>251.43</v>
      </c>
      <c r="AR10" s="70" t="s">
        <v>448</v>
      </c>
      <c r="AS10" s="70" t="s">
        <v>435</v>
      </c>
      <c r="AT10" s="71"/>
      <c r="AU10" s="71">
        <v>1</v>
      </c>
      <c r="AV10" s="71">
        <v>158.53</v>
      </c>
      <c r="AW10" s="71"/>
      <c r="AX10" s="71">
        <v>36.56</v>
      </c>
      <c r="AY10" s="71">
        <v>9.34</v>
      </c>
      <c r="AZ10" s="71"/>
      <c r="BA10" s="71">
        <v>18.12</v>
      </c>
      <c r="BB10" s="70">
        <f>BC10-SUM(AV10:BA10)</f>
        <v>28.879999999999995</v>
      </c>
      <c r="BC10" s="74">
        <v>251.43</v>
      </c>
      <c r="BD10" s="70" t="s">
        <v>852</v>
      </c>
      <c r="BE10" s="70" t="s">
        <v>853</v>
      </c>
      <c r="BF10" s="70" t="s">
        <v>839</v>
      </c>
      <c r="BG10" s="70" t="s">
        <v>829</v>
      </c>
      <c r="BH10" s="70" t="s">
        <v>854</v>
      </c>
      <c r="BI10" s="70" t="s">
        <v>827</v>
      </c>
      <c r="BJ10" s="70"/>
      <c r="BK10" s="70"/>
      <c r="BL10" s="70"/>
      <c r="BM10" s="71"/>
      <c r="BN10" s="71"/>
      <c r="BO10" s="71" t="s">
        <v>855</v>
      </c>
      <c r="BP10" s="71"/>
      <c r="BQ10" s="71"/>
      <c r="BR10" s="71"/>
      <c r="BS10" s="88">
        <v>25.2</v>
      </c>
      <c r="BT10" s="88">
        <v>28218</v>
      </c>
      <c r="BU10" s="88">
        <v>8199</v>
      </c>
      <c r="BV10" s="88"/>
      <c r="BW10" s="71"/>
      <c r="BX10" s="71"/>
      <c r="BY10" s="71"/>
      <c r="BZ10" s="71"/>
      <c r="CA10" s="71"/>
      <c r="CB10" s="71"/>
    </row>
    <row r="11" spans="2:80" ht="40" customHeight="1" x14ac:dyDescent="0.35">
      <c r="B11" s="70">
        <v>8</v>
      </c>
      <c r="C11" s="71" t="s">
        <v>31</v>
      </c>
      <c r="D11" s="70" t="s">
        <v>68</v>
      </c>
      <c r="E11" s="70" t="s">
        <v>90</v>
      </c>
      <c r="F11" s="70" t="s">
        <v>91</v>
      </c>
      <c r="G11" s="70" t="s">
        <v>70</v>
      </c>
      <c r="H11" s="70" t="s">
        <v>422</v>
      </c>
      <c r="I11" s="70" t="s">
        <v>440</v>
      </c>
      <c r="J11" s="70" t="s">
        <v>436</v>
      </c>
      <c r="K11" s="70" t="s">
        <v>417</v>
      </c>
      <c r="L11" s="70"/>
      <c r="M11" s="70"/>
      <c r="N11" s="63"/>
      <c r="O11" s="63"/>
      <c r="P11" s="63"/>
      <c r="Q11" s="79" t="s">
        <v>417</v>
      </c>
      <c r="R11" s="96">
        <v>2021</v>
      </c>
      <c r="S11" s="70"/>
      <c r="T11" s="63"/>
      <c r="U11" s="70"/>
      <c r="V11" s="96"/>
      <c r="W11" s="70"/>
      <c r="X11" s="63"/>
      <c r="Y11" s="63" t="str">
        <f>IF(AND(Table14[[#This Row],[Pre-Feasibility]]=0,Table14[[#This Row],[Pre-Feasibility 2]]=0, Table14[[#This Row],[Feasibility]]=0, Table14[[#This Row],[Feasibility 2]]=0), "No", "Yes")</f>
        <v>Yes</v>
      </c>
      <c r="Z11" s="63" t="s">
        <v>440</v>
      </c>
      <c r="AA11" s="63" t="s">
        <v>440</v>
      </c>
      <c r="AB11" s="70"/>
      <c r="AC11" s="70" t="s">
        <v>824</v>
      </c>
      <c r="AD11" s="70"/>
      <c r="AE11" s="70" t="s">
        <v>180</v>
      </c>
      <c r="AF11" s="70"/>
      <c r="AG11" s="70">
        <v>3037.85</v>
      </c>
      <c r="AH11" s="70" t="s">
        <v>180</v>
      </c>
      <c r="AI11" s="70" t="s">
        <v>440</v>
      </c>
      <c r="AJ11" s="70" t="s">
        <v>440</v>
      </c>
      <c r="AK11" s="70" t="s">
        <v>440</v>
      </c>
      <c r="AL11" s="250" cm="1">
        <f t="array" ref="AL11">IFERROR(_xlfn.STDEV.P(IF(Table14[[#This Row],[Website Area (Acres)]:[PEZ Other Source (Acre)]]&lt;&gt;0, Table14[[#This Row],[Website Area (Acres)]:[PEZ Other Source (Acre)]], ""))/AVERAGE(IF(Table14[[#This Row],[Website Area (Acres)]:[PEZ Other Source (Acre)]]&lt;&gt;0, Table14[[#This Row],[Website Area (Acres)]:[PEZ Other Source (Acre)]], "")), "")</f>
        <v>0</v>
      </c>
      <c r="AM11" s="70" t="s">
        <v>418</v>
      </c>
      <c r="AN11" s="70"/>
      <c r="AO11" s="70"/>
      <c r="AP11" s="148">
        <v>3037.8</v>
      </c>
      <c r="AQ11" s="148">
        <v>3037.85</v>
      </c>
      <c r="AR11" s="70" t="s">
        <v>439</v>
      </c>
      <c r="AS11" s="70" t="s">
        <v>435</v>
      </c>
      <c r="AT11" s="71"/>
      <c r="AU11" s="71">
        <v>1</v>
      </c>
      <c r="AV11" s="71">
        <v>2109.88</v>
      </c>
      <c r="AW11" s="71"/>
      <c r="AX11" s="71">
        <f>387.65+32.29</f>
        <v>419.94</v>
      </c>
      <c r="AY11" s="71">
        <v>170.93</v>
      </c>
      <c r="AZ11" s="71">
        <v>32.29</v>
      </c>
      <c r="BA11" s="71">
        <v>334.14</v>
      </c>
      <c r="BB11" s="70"/>
      <c r="BC11" s="74">
        <f>SUM(AV11:BB11)</f>
        <v>3067.18</v>
      </c>
      <c r="BD11" s="70" t="s">
        <v>847</v>
      </c>
      <c r="BE11" s="70" t="s">
        <v>829</v>
      </c>
      <c r="BF11" s="70" t="s">
        <v>840</v>
      </c>
      <c r="BG11" s="70" t="s">
        <v>856</v>
      </c>
      <c r="BH11" s="70" t="s">
        <v>830</v>
      </c>
      <c r="BI11" s="70" t="s">
        <v>848</v>
      </c>
      <c r="BJ11" s="70" t="s">
        <v>849</v>
      </c>
      <c r="BK11" s="70" t="s">
        <v>857</v>
      </c>
      <c r="BL11" s="70" t="s">
        <v>858</v>
      </c>
      <c r="BM11" s="71" t="s">
        <v>859</v>
      </c>
      <c r="BN11" s="71"/>
      <c r="BO11" s="71" t="s">
        <v>860</v>
      </c>
      <c r="BP11" s="71" t="s">
        <v>861</v>
      </c>
      <c r="BQ11" s="71" t="s">
        <v>862</v>
      </c>
      <c r="BR11" s="71" t="s">
        <v>863</v>
      </c>
      <c r="BS11" s="88">
        <v>360</v>
      </c>
      <c r="BT11" s="88">
        <v>93000</v>
      </c>
      <c r="BU11" s="88">
        <v>144632</v>
      </c>
      <c r="BV11" s="88">
        <v>36175.410000000003</v>
      </c>
      <c r="BW11" s="71"/>
      <c r="BX11" s="71"/>
      <c r="BY11" s="71"/>
      <c r="BZ11" s="71"/>
      <c r="CA11" s="71"/>
      <c r="CB11" s="71"/>
    </row>
    <row r="12" spans="2:80" ht="40" customHeight="1" x14ac:dyDescent="0.35">
      <c r="B12" s="70">
        <v>9</v>
      </c>
      <c r="C12" s="71" t="s">
        <v>140</v>
      </c>
      <c r="D12" s="70" t="s">
        <v>68</v>
      </c>
      <c r="E12" s="70" t="s">
        <v>90</v>
      </c>
      <c r="F12" s="70" t="s">
        <v>141</v>
      </c>
      <c r="G12" s="70" t="s">
        <v>70</v>
      </c>
      <c r="H12" s="70" t="s">
        <v>431</v>
      </c>
      <c r="I12" s="70" t="s">
        <v>440</v>
      </c>
      <c r="J12" s="70" t="s">
        <v>436</v>
      </c>
      <c r="K12" s="70" t="s">
        <v>417</v>
      </c>
      <c r="L12" s="70"/>
      <c r="M12" s="79" t="s">
        <v>417</v>
      </c>
      <c r="N12" s="63">
        <v>2017</v>
      </c>
      <c r="O12" s="63"/>
      <c r="P12" s="63"/>
      <c r="Q12" s="70"/>
      <c r="R12" s="96"/>
      <c r="S12" s="70"/>
      <c r="T12" s="63"/>
      <c r="U12" s="70"/>
      <c r="V12" s="96"/>
      <c r="W12" s="70"/>
      <c r="X12" s="63"/>
      <c r="Y12" s="63" t="str">
        <f>IF(AND(Table14[[#This Row],[Pre-Feasibility]]=0,Table14[[#This Row],[Pre-Feasibility 2]]=0, Table14[[#This Row],[Feasibility]]=0, Table14[[#This Row],[Feasibility 2]]=0), "No", "Yes")</f>
        <v>No</v>
      </c>
      <c r="Z12" s="63" t="s">
        <v>440</v>
      </c>
      <c r="AA12" s="63" t="s">
        <v>440</v>
      </c>
      <c r="AB12" s="70"/>
      <c r="AC12" s="70" t="s">
        <v>864</v>
      </c>
      <c r="AD12" s="70"/>
      <c r="AE12" s="70">
        <v>4755</v>
      </c>
      <c r="AF12" s="70"/>
      <c r="AG12" s="70" t="s">
        <v>180</v>
      </c>
      <c r="AH12" s="70" t="s">
        <v>180</v>
      </c>
      <c r="AI12" s="70" t="s">
        <v>440</v>
      </c>
      <c r="AJ12" s="70" t="s">
        <v>440</v>
      </c>
      <c r="AK12" s="70" t="s">
        <v>440</v>
      </c>
      <c r="AL12" s="250" cm="1">
        <f t="array" ref="AL12">IFERROR(_xlfn.STDEV.P(IF(Table14[[#This Row],[Website Area (Acres)]:[PEZ Other Source (Acre)]]&lt;&gt;0, Table14[[#This Row],[Website Area (Acres)]:[PEZ Other Source (Acre)]], ""))/AVERAGE(IF(Table14[[#This Row],[Website Area (Acres)]:[PEZ Other Source (Acre)]]&lt;&gt;0, Table14[[#This Row],[Website Area (Acres)]:[PEZ Other Source (Acre)]], "")), "")</f>
        <v>0</v>
      </c>
      <c r="AM12" s="70" t="s">
        <v>418</v>
      </c>
      <c r="AN12" s="70"/>
      <c r="AO12" s="70"/>
      <c r="AP12" s="148">
        <v>4755</v>
      </c>
      <c r="AQ12" s="148">
        <v>8005.01</v>
      </c>
      <c r="AR12" s="70" t="s">
        <v>439</v>
      </c>
      <c r="AS12" s="70" t="s">
        <v>435</v>
      </c>
      <c r="AT12" s="71"/>
      <c r="AU12" s="71"/>
      <c r="AV12" s="71"/>
      <c r="AW12" s="71"/>
      <c r="AX12" s="71"/>
      <c r="AY12" s="71"/>
      <c r="AZ12" s="71"/>
      <c r="BA12" s="71"/>
      <c r="BB12" s="70"/>
      <c r="BC12" s="75"/>
      <c r="BD12" s="70"/>
      <c r="BE12" s="70"/>
      <c r="BF12" s="70"/>
      <c r="BG12" s="70"/>
      <c r="BH12" s="70"/>
      <c r="BI12" s="70"/>
      <c r="BJ12" s="70"/>
      <c r="BK12" s="70"/>
      <c r="BL12" s="70"/>
      <c r="BM12" s="71"/>
      <c r="BN12" s="71"/>
      <c r="BO12" s="71"/>
      <c r="BP12" s="71"/>
      <c r="BQ12" s="71"/>
      <c r="BR12" s="71"/>
      <c r="BS12" s="71"/>
      <c r="BT12" s="71"/>
      <c r="BU12" s="71"/>
      <c r="BV12" s="71"/>
      <c r="BW12" s="71"/>
      <c r="BX12" s="71"/>
      <c r="BY12" s="71"/>
      <c r="BZ12" s="71"/>
      <c r="CA12" s="71"/>
      <c r="CB12" s="71"/>
    </row>
    <row r="13" spans="2:80" ht="40" customHeight="1" x14ac:dyDescent="0.35">
      <c r="B13" s="70">
        <v>10</v>
      </c>
      <c r="C13" s="71" t="s">
        <v>162</v>
      </c>
      <c r="D13" s="70" t="s">
        <v>119</v>
      </c>
      <c r="E13" s="70" t="s">
        <v>119</v>
      </c>
      <c r="F13" s="70" t="s">
        <v>163</v>
      </c>
      <c r="G13" s="70" t="s">
        <v>70</v>
      </c>
      <c r="H13" s="70" t="s">
        <v>431</v>
      </c>
      <c r="I13" s="70" t="s">
        <v>440</v>
      </c>
      <c r="J13" s="70" t="s">
        <v>436</v>
      </c>
      <c r="K13" s="70" t="s">
        <v>417</v>
      </c>
      <c r="L13" s="70"/>
      <c r="M13" s="139" t="s">
        <v>417</v>
      </c>
      <c r="N13" s="63">
        <v>2018</v>
      </c>
      <c r="O13" s="63"/>
      <c r="P13" s="63"/>
      <c r="Q13" s="70"/>
      <c r="R13" s="96"/>
      <c r="S13" s="70"/>
      <c r="T13" s="63"/>
      <c r="U13" s="70"/>
      <c r="V13" s="96"/>
      <c r="W13" s="70"/>
      <c r="X13" s="63"/>
      <c r="Y13" s="63" t="str">
        <f>IF(AND(Table14[[#This Row],[Pre-Feasibility]]=0,Table14[[#This Row],[Pre-Feasibility 2]]=0, Table14[[#This Row],[Feasibility]]=0, Table14[[#This Row],[Feasibility 2]]=0), "No", "Yes")</f>
        <v>No</v>
      </c>
      <c r="Z13" s="63" t="s">
        <v>440</v>
      </c>
      <c r="AA13" s="63" t="s">
        <v>440</v>
      </c>
      <c r="AB13" s="70"/>
      <c r="AC13" s="70" t="s">
        <v>864</v>
      </c>
      <c r="AD13" s="70"/>
      <c r="AE13" s="70">
        <v>2255.96</v>
      </c>
      <c r="AF13" s="70"/>
      <c r="AG13" s="70" t="s">
        <v>180</v>
      </c>
      <c r="AH13" s="70" t="s">
        <v>180</v>
      </c>
      <c r="AI13" s="70" t="s">
        <v>440</v>
      </c>
      <c r="AJ13" s="70" t="s">
        <v>440</v>
      </c>
      <c r="AK13" s="70" t="s">
        <v>440</v>
      </c>
      <c r="AL13" s="250" cm="1">
        <f t="array" ref="AL13">IFERROR(_xlfn.STDEV.P(IF(Table14[[#This Row],[Website Area (Acres)]:[PEZ Other Source (Acre)]]&lt;&gt;0, Table14[[#This Row],[Website Area (Acres)]:[PEZ Other Source (Acre)]], ""))/AVERAGE(IF(Table14[[#This Row],[Website Area (Acres)]:[PEZ Other Source (Acre)]]&lt;&gt;0, Table14[[#This Row],[Website Area (Acres)]:[PEZ Other Source (Acre)]], "")), "")</f>
        <v>0</v>
      </c>
      <c r="AM13" s="70" t="s">
        <v>418</v>
      </c>
      <c r="AN13" s="70"/>
      <c r="AO13" s="70"/>
      <c r="AP13" s="148">
        <v>2255.9</v>
      </c>
      <c r="AQ13" s="148">
        <v>2255.96</v>
      </c>
      <c r="AR13" s="70" t="s">
        <v>466</v>
      </c>
      <c r="AS13" s="70" t="s">
        <v>444</v>
      </c>
      <c r="AT13" s="71"/>
      <c r="AU13" s="71"/>
      <c r="AV13" s="71"/>
      <c r="AW13" s="71"/>
      <c r="AX13" s="71"/>
      <c r="AY13" s="71"/>
      <c r="AZ13" s="71"/>
      <c r="BA13" s="71"/>
      <c r="BB13" s="70"/>
      <c r="BC13" s="75"/>
      <c r="BD13" s="70"/>
      <c r="BE13" s="70"/>
      <c r="BF13" s="70"/>
      <c r="BG13" s="70"/>
      <c r="BH13" s="70"/>
      <c r="BI13" s="70"/>
      <c r="BJ13" s="70"/>
      <c r="BK13" s="70"/>
      <c r="BL13" s="70"/>
      <c r="BM13" s="71"/>
      <c r="BN13" s="71"/>
      <c r="BO13" s="71"/>
      <c r="BP13" s="71"/>
      <c r="BQ13" s="71"/>
      <c r="BR13" s="71"/>
      <c r="BS13" s="71"/>
      <c r="BT13" s="71"/>
      <c r="BU13" s="71"/>
      <c r="BV13" s="71"/>
      <c r="BW13" s="71"/>
      <c r="BX13" s="71"/>
      <c r="BY13" s="71"/>
      <c r="BZ13" s="71"/>
      <c r="CA13" s="71"/>
      <c r="CB13" s="71"/>
    </row>
    <row r="14" spans="2:80" ht="40" customHeight="1" x14ac:dyDescent="0.35">
      <c r="B14" s="70">
        <v>11</v>
      </c>
      <c r="C14" s="71" t="s">
        <v>157</v>
      </c>
      <c r="D14" s="70" t="s">
        <v>68</v>
      </c>
      <c r="E14" s="70" t="s">
        <v>74</v>
      </c>
      <c r="F14" s="70" t="s">
        <v>88</v>
      </c>
      <c r="G14" s="70" t="s">
        <v>70</v>
      </c>
      <c r="H14" s="70" t="s">
        <v>430</v>
      </c>
      <c r="I14" s="70" t="s">
        <v>440</v>
      </c>
      <c r="J14" s="70" t="s">
        <v>436</v>
      </c>
      <c r="K14" s="70" t="s">
        <v>417</v>
      </c>
      <c r="L14" s="70"/>
      <c r="M14" s="70"/>
      <c r="N14" s="63"/>
      <c r="O14" s="63"/>
      <c r="P14" s="63"/>
      <c r="Q14" s="70"/>
      <c r="R14" s="96"/>
      <c r="S14" s="70"/>
      <c r="T14" s="63"/>
      <c r="U14" s="70"/>
      <c r="V14" s="96"/>
      <c r="W14" s="70"/>
      <c r="X14" s="63"/>
      <c r="Y14" s="63" t="str">
        <f>IF(AND(Table14[[#This Row],[Pre-Feasibility]]=0,Table14[[#This Row],[Pre-Feasibility 2]]=0, Table14[[#This Row],[Feasibility]]=0, Table14[[#This Row],[Feasibility 2]]=0), "No", "Yes")</f>
        <v>No</v>
      </c>
      <c r="Z14" s="63" t="s">
        <v>440</v>
      </c>
      <c r="AA14" s="63" t="s">
        <v>440</v>
      </c>
      <c r="AB14" s="70"/>
      <c r="AC14" s="70"/>
      <c r="AD14" s="70">
        <v>8784.77</v>
      </c>
      <c r="AE14" s="70" t="s">
        <v>180</v>
      </c>
      <c r="AF14" s="70"/>
      <c r="AG14" s="70" t="s">
        <v>180</v>
      </c>
      <c r="AH14" s="70" t="s">
        <v>180</v>
      </c>
      <c r="AI14" s="70" t="s">
        <v>440</v>
      </c>
      <c r="AJ14" s="70" t="s">
        <v>440</v>
      </c>
      <c r="AK14" s="70" t="s">
        <v>440</v>
      </c>
      <c r="AL14" s="250" cm="1">
        <f t="array" ref="AL14">IFERROR(_xlfn.STDEV.P(IF(Table14[[#This Row],[Website Area (Acres)]:[PEZ Other Source (Acre)]]&lt;&gt;0, Table14[[#This Row],[Website Area (Acres)]:[PEZ Other Source (Acre)]], ""))/AVERAGE(IF(Table14[[#This Row],[Website Area (Acres)]:[PEZ Other Source (Acre)]]&lt;&gt;0, Table14[[#This Row],[Website Area (Acres)]:[PEZ Other Source (Acre)]], "")), "")</f>
        <v>0</v>
      </c>
      <c r="AM14" s="70" t="s">
        <v>418</v>
      </c>
      <c r="AN14" s="70"/>
      <c r="AO14" s="70"/>
      <c r="AP14" s="148">
        <v>8784</v>
      </c>
      <c r="AQ14" s="148">
        <v>8784.77</v>
      </c>
      <c r="AR14" s="70" t="s">
        <v>465</v>
      </c>
      <c r="AS14" s="70" t="s">
        <v>444</v>
      </c>
      <c r="AT14" s="71"/>
      <c r="AU14" s="71"/>
      <c r="AV14" s="71"/>
      <c r="AW14" s="71"/>
      <c r="AX14" s="71"/>
      <c r="AY14" s="71"/>
      <c r="AZ14" s="71"/>
      <c r="BA14" s="71"/>
      <c r="BB14" s="70"/>
      <c r="BC14" s="75"/>
      <c r="BD14" s="70"/>
      <c r="BE14" s="70"/>
      <c r="BF14" s="70"/>
      <c r="BG14" s="70"/>
      <c r="BH14" s="70"/>
      <c r="BI14" s="70"/>
      <c r="BJ14" s="70"/>
      <c r="BK14" s="70"/>
      <c r="BL14" s="70"/>
      <c r="BM14" s="71"/>
      <c r="BN14" s="71"/>
      <c r="BO14" s="71"/>
      <c r="BP14" s="71"/>
      <c r="BQ14" s="71"/>
      <c r="BR14" s="71"/>
      <c r="BS14" s="71"/>
      <c r="BT14" s="71"/>
      <c r="BU14" s="71"/>
      <c r="BV14" s="71"/>
      <c r="BW14" s="71"/>
      <c r="BX14" s="71"/>
      <c r="BY14" s="71"/>
      <c r="BZ14" s="71"/>
      <c r="CA14" s="71"/>
      <c r="CB14" s="71"/>
    </row>
    <row r="15" spans="2:80" ht="40" customHeight="1" x14ac:dyDescent="0.35">
      <c r="B15" s="70">
        <v>12</v>
      </c>
      <c r="C15" s="71" t="s">
        <v>45</v>
      </c>
      <c r="D15" s="70" t="s">
        <v>76</v>
      </c>
      <c r="E15" s="70" t="s">
        <v>76</v>
      </c>
      <c r="F15" s="70" t="s">
        <v>109</v>
      </c>
      <c r="G15" s="70" t="s">
        <v>70</v>
      </c>
      <c r="H15" s="70" t="s">
        <v>431</v>
      </c>
      <c r="I15" s="70" t="s">
        <v>440</v>
      </c>
      <c r="J15" s="70" t="s">
        <v>436</v>
      </c>
      <c r="K15" s="70" t="s">
        <v>417</v>
      </c>
      <c r="L15" s="70"/>
      <c r="M15" s="139" t="s">
        <v>417</v>
      </c>
      <c r="N15" s="63">
        <v>2015</v>
      </c>
      <c r="O15" s="135" t="s">
        <v>417</v>
      </c>
      <c r="P15" s="63">
        <v>2015</v>
      </c>
      <c r="Q15" s="70"/>
      <c r="R15" s="96"/>
      <c r="S15" s="70"/>
      <c r="T15" s="63"/>
      <c r="U15" s="70"/>
      <c r="V15" s="96"/>
      <c r="W15" s="70"/>
      <c r="X15" s="63"/>
      <c r="Y15" s="63" t="str">
        <f>IF(AND(Table14[[#This Row],[Pre-Feasibility]]=0,Table14[[#This Row],[Pre-Feasibility 2]]=0, Table14[[#This Row],[Feasibility]]=0, Table14[[#This Row],[Feasibility 2]]=0), "No", "Yes")</f>
        <v>No</v>
      </c>
      <c r="Z15" s="63" t="s">
        <v>440</v>
      </c>
      <c r="AA15" s="63" t="s">
        <v>440</v>
      </c>
      <c r="AB15" s="70"/>
      <c r="AC15" s="70" t="s">
        <v>864</v>
      </c>
      <c r="AD15" s="70">
        <v>316.35000000000002</v>
      </c>
      <c r="AE15" s="70">
        <v>316.35000000000002</v>
      </c>
      <c r="AF15" s="70">
        <v>316.35000000000002</v>
      </c>
      <c r="AG15" s="70" t="s">
        <v>180</v>
      </c>
      <c r="AH15" s="70" t="s">
        <v>180</v>
      </c>
      <c r="AI15" s="70" t="s">
        <v>440</v>
      </c>
      <c r="AJ15" s="70" t="s">
        <v>440</v>
      </c>
      <c r="AK15" s="70" t="s">
        <v>440</v>
      </c>
      <c r="AL15" s="250" cm="1">
        <f t="array" ref="AL15">IFERROR(_xlfn.STDEV.P(IF(Table14[[#This Row],[Website Area (Acres)]:[PEZ Other Source (Acre)]]&lt;&gt;0, Table14[[#This Row],[Website Area (Acres)]:[PEZ Other Source (Acre)]], ""))/AVERAGE(IF(Table14[[#This Row],[Website Area (Acres)]:[PEZ Other Source (Acre)]]&lt;&gt;0, Table14[[#This Row],[Website Area (Acres)]:[PEZ Other Source (Acre)]], "")), "")</f>
        <v>0</v>
      </c>
      <c r="AM15" s="70" t="s">
        <v>418</v>
      </c>
      <c r="AN15" s="70"/>
      <c r="AO15" s="70"/>
      <c r="AP15" s="148">
        <v>316.3</v>
      </c>
      <c r="AQ15" s="148">
        <v>316.35000000000002</v>
      </c>
      <c r="AR15" s="70" t="s">
        <v>445</v>
      </c>
      <c r="AS15" s="70" t="s">
        <v>435</v>
      </c>
      <c r="AT15" s="71"/>
      <c r="AU15" s="71"/>
      <c r="AV15" s="71"/>
      <c r="AW15" s="71"/>
      <c r="AX15" s="71"/>
      <c r="AY15" s="71"/>
      <c r="AZ15" s="71"/>
      <c r="BA15" s="71"/>
      <c r="BB15" s="70"/>
      <c r="BC15" s="75"/>
      <c r="BD15" s="70"/>
      <c r="BE15" s="70"/>
      <c r="BF15" s="70"/>
      <c r="BG15" s="70"/>
      <c r="BH15" s="70"/>
      <c r="BI15" s="70"/>
      <c r="BJ15" s="70"/>
      <c r="BK15" s="70"/>
      <c r="BL15" s="70"/>
      <c r="BM15" s="71"/>
      <c r="BN15" s="71"/>
      <c r="BO15" s="71"/>
      <c r="BP15" s="71"/>
      <c r="BQ15" s="71"/>
      <c r="BR15" s="71"/>
      <c r="BS15" s="71"/>
      <c r="BT15" s="71"/>
      <c r="BU15" s="71"/>
      <c r="BV15" s="71"/>
      <c r="BW15" s="71"/>
      <c r="BX15" s="71"/>
      <c r="BY15" s="71"/>
      <c r="BZ15" s="71"/>
      <c r="CA15" s="71"/>
      <c r="CB15" s="71"/>
    </row>
    <row r="16" spans="2:80" ht="40" customHeight="1" x14ac:dyDescent="0.35">
      <c r="B16" s="70">
        <v>13</v>
      </c>
      <c r="C16" s="71" t="s">
        <v>26</v>
      </c>
      <c r="D16" s="70" t="s">
        <v>76</v>
      </c>
      <c r="E16" s="70" t="s">
        <v>76</v>
      </c>
      <c r="F16" s="70" t="s">
        <v>87</v>
      </c>
      <c r="G16" s="70" t="s">
        <v>70</v>
      </c>
      <c r="H16" s="70" t="s">
        <v>422</v>
      </c>
      <c r="I16" s="70" t="s">
        <v>440</v>
      </c>
      <c r="J16" s="70" t="s">
        <v>436</v>
      </c>
      <c r="K16" s="70" t="s">
        <v>417</v>
      </c>
      <c r="L16" s="113" t="s">
        <v>643</v>
      </c>
      <c r="M16" s="70"/>
      <c r="N16" s="63"/>
      <c r="O16" s="135" t="s">
        <v>417</v>
      </c>
      <c r="P16" s="63">
        <v>2015</v>
      </c>
      <c r="Q16" s="79" t="s">
        <v>417</v>
      </c>
      <c r="R16" s="96">
        <v>2016</v>
      </c>
      <c r="S16" s="70"/>
      <c r="T16" s="63"/>
      <c r="U16" s="70"/>
      <c r="V16" s="96"/>
      <c r="W16" s="70"/>
      <c r="X16" s="63"/>
      <c r="Y16" s="63" t="str">
        <f>IF(AND(Table14[[#This Row],[Pre-Feasibility]]=0,Table14[[#This Row],[Pre-Feasibility 2]]=0, Table14[[#This Row],[Feasibility]]=0, Table14[[#This Row],[Feasibility 2]]=0), "No", "Yes")</f>
        <v>Yes</v>
      </c>
      <c r="Z16" s="63" t="s">
        <v>440</v>
      </c>
      <c r="AA16" s="63" t="s">
        <v>440</v>
      </c>
      <c r="AB16" s="70"/>
      <c r="AC16" s="70" t="s">
        <v>824</v>
      </c>
      <c r="AD16" s="70">
        <v>105</v>
      </c>
      <c r="AE16" s="70" t="s">
        <v>180</v>
      </c>
      <c r="AF16" s="70">
        <v>105</v>
      </c>
      <c r="AG16" s="70">
        <v>105</v>
      </c>
      <c r="AH16" s="70" t="s">
        <v>180</v>
      </c>
      <c r="AI16" s="70" t="s">
        <v>440</v>
      </c>
      <c r="AJ16" s="70" t="s">
        <v>440</v>
      </c>
      <c r="AK16" s="70" t="s">
        <v>440</v>
      </c>
      <c r="AL16" s="250" cm="1">
        <f t="array" ref="AL16">IFERROR(_xlfn.STDEV.P(IF(Table14[[#This Row],[Website Area (Acres)]:[PEZ Other Source (Acre)]]&lt;&gt;0, Table14[[#This Row],[Website Area (Acres)]:[PEZ Other Source (Acre)]], ""))/AVERAGE(IF(Table14[[#This Row],[Website Area (Acres)]:[PEZ Other Source (Acre)]]&lt;&gt;0, Table14[[#This Row],[Website Area (Acres)]:[PEZ Other Source (Acre)]], "")), "")</f>
        <v>0</v>
      </c>
      <c r="AM16" s="70" t="s">
        <v>418</v>
      </c>
      <c r="AN16" s="70"/>
      <c r="AO16" s="70"/>
      <c r="AP16" s="148">
        <v>105</v>
      </c>
      <c r="AQ16" s="148">
        <v>104.985</v>
      </c>
      <c r="AR16" s="70" t="s">
        <v>434</v>
      </c>
      <c r="AS16" s="70" t="s">
        <v>435</v>
      </c>
      <c r="AT16" s="71"/>
      <c r="AU16" s="71"/>
      <c r="AV16" s="71"/>
      <c r="AW16" s="71"/>
      <c r="AX16" s="71"/>
      <c r="AY16" s="71"/>
      <c r="AZ16" s="71"/>
      <c r="BA16" s="71"/>
      <c r="BB16" s="70"/>
      <c r="BC16" s="75">
        <v>104.985</v>
      </c>
      <c r="BD16" s="70" t="s">
        <v>865</v>
      </c>
      <c r="BE16" s="70" t="s">
        <v>866</v>
      </c>
      <c r="BF16" s="70" t="s">
        <v>839</v>
      </c>
      <c r="BG16" s="70" t="s">
        <v>831</v>
      </c>
      <c r="BH16" s="70" t="s">
        <v>854</v>
      </c>
      <c r="BI16" s="70"/>
      <c r="BJ16" s="70"/>
      <c r="BK16" s="70"/>
      <c r="BL16" s="70"/>
      <c r="BM16" s="71"/>
      <c r="BN16" s="71"/>
      <c r="BO16" s="71" t="s">
        <v>867</v>
      </c>
      <c r="BP16" s="71" t="s">
        <v>868</v>
      </c>
      <c r="BQ16" s="71"/>
      <c r="BR16" s="71"/>
      <c r="BS16" s="71">
        <v>10</v>
      </c>
      <c r="BT16" s="91">
        <v>10000</v>
      </c>
      <c r="BU16" s="71"/>
      <c r="BV16" s="71"/>
      <c r="BW16" s="71"/>
      <c r="BX16" s="71"/>
      <c r="BY16" s="71"/>
      <c r="BZ16" s="71"/>
      <c r="CA16" s="71"/>
      <c r="CB16" s="71"/>
    </row>
    <row r="17" spans="2:80" ht="40" customHeight="1" x14ac:dyDescent="0.35">
      <c r="B17" s="70">
        <v>14</v>
      </c>
      <c r="C17" s="71" t="s">
        <v>207</v>
      </c>
      <c r="D17" s="70" t="s">
        <v>121</v>
      </c>
      <c r="E17" s="70" t="s">
        <v>208</v>
      </c>
      <c r="F17" s="70" t="s">
        <v>209</v>
      </c>
      <c r="G17" s="70" t="s">
        <v>70</v>
      </c>
      <c r="H17" s="70" t="s">
        <v>430</v>
      </c>
      <c r="I17" s="70" t="s">
        <v>440</v>
      </c>
      <c r="J17" s="70" t="s">
        <v>436</v>
      </c>
      <c r="K17" s="70" t="s">
        <v>417</v>
      </c>
      <c r="L17" s="70"/>
      <c r="M17" s="70"/>
      <c r="N17" s="63"/>
      <c r="O17" s="63"/>
      <c r="P17" s="63"/>
      <c r="Q17" s="70"/>
      <c r="R17" s="96"/>
      <c r="S17" s="70"/>
      <c r="T17" s="63"/>
      <c r="U17" s="70"/>
      <c r="V17" s="96"/>
      <c r="W17" s="70"/>
      <c r="X17" s="63"/>
      <c r="Y17" s="63" t="str">
        <f>IF(AND(Table14[[#This Row],[Pre-Feasibility]]=0,Table14[[#This Row],[Pre-Feasibility 2]]=0, Table14[[#This Row],[Feasibility]]=0, Table14[[#This Row],[Feasibility 2]]=0), "No", "Yes")</f>
        <v>No</v>
      </c>
      <c r="Z17" s="63" t="s">
        <v>440</v>
      </c>
      <c r="AA17" s="63" t="s">
        <v>440</v>
      </c>
      <c r="AB17" s="70"/>
      <c r="AC17" s="70"/>
      <c r="AD17" s="70"/>
      <c r="AE17" s="70" t="s">
        <v>180</v>
      </c>
      <c r="AF17" s="70"/>
      <c r="AG17" s="70" t="s">
        <v>180</v>
      </c>
      <c r="AH17" s="70" t="s">
        <v>180</v>
      </c>
      <c r="AI17" s="70" t="s">
        <v>440</v>
      </c>
      <c r="AJ17" s="70" t="s">
        <v>440</v>
      </c>
      <c r="AK17" s="70" t="s">
        <v>440</v>
      </c>
      <c r="AL17" s="250" t="str" cm="1">
        <f t="array" ref="AL17">IFERROR(_xlfn.STDEV.P(IF(Table14[[#This Row],[Website Area (Acres)]:[PEZ Other Source (Acre)]]&lt;&gt;0, Table14[[#This Row],[Website Area (Acres)]:[PEZ Other Source (Acre)]], ""))/AVERAGE(IF(Table14[[#This Row],[Website Area (Acres)]:[PEZ Other Source (Acre)]]&lt;&gt;0, Table14[[#This Row],[Website Area (Acres)]:[PEZ Other Source (Acre)]], "")), "")</f>
        <v/>
      </c>
      <c r="AM17" s="70" t="s">
        <v>837</v>
      </c>
      <c r="AN17" s="70" t="s">
        <v>837</v>
      </c>
      <c r="AO17" s="70" t="s">
        <v>869</v>
      </c>
      <c r="AP17" s="148">
        <v>344.16</v>
      </c>
      <c r="AQ17" s="148">
        <v>344.16500000000002</v>
      </c>
      <c r="AR17" s="70" t="s">
        <v>434</v>
      </c>
      <c r="AS17" s="70" t="s">
        <v>435</v>
      </c>
      <c r="AT17" s="71"/>
      <c r="AU17" s="71"/>
      <c r="AV17" s="71"/>
      <c r="AW17" s="71"/>
      <c r="AX17" s="71"/>
      <c r="AY17" s="71"/>
      <c r="AZ17" s="71"/>
      <c r="BA17" s="71"/>
      <c r="BB17" s="70"/>
      <c r="BC17" s="75"/>
      <c r="BD17" s="70"/>
      <c r="BE17" s="70"/>
      <c r="BF17" s="70"/>
      <c r="BG17" s="70"/>
      <c r="BH17" s="70"/>
      <c r="BI17" s="70"/>
      <c r="BJ17" s="70"/>
      <c r="BK17" s="70"/>
      <c r="BL17" s="70"/>
      <c r="BM17" s="71"/>
      <c r="BN17" s="71"/>
      <c r="BO17" s="71"/>
      <c r="BP17" s="71"/>
      <c r="BQ17" s="71"/>
      <c r="BR17" s="71"/>
      <c r="BS17" s="71"/>
      <c r="BT17" s="71"/>
      <c r="BU17" s="71"/>
      <c r="BV17" s="71"/>
      <c r="BW17" s="71"/>
      <c r="BX17" s="71"/>
      <c r="BY17" s="71"/>
      <c r="BZ17" s="71"/>
      <c r="CA17" s="71"/>
      <c r="CB17" s="71"/>
    </row>
    <row r="18" spans="2:80" ht="40" customHeight="1" x14ac:dyDescent="0.35">
      <c r="B18" s="70">
        <v>15</v>
      </c>
      <c r="C18" s="71" t="s">
        <v>210</v>
      </c>
      <c r="D18" s="70" t="s">
        <v>76</v>
      </c>
      <c r="E18" s="70" t="s">
        <v>211</v>
      </c>
      <c r="F18" s="70" t="s">
        <v>212</v>
      </c>
      <c r="G18" s="70" t="s">
        <v>70</v>
      </c>
      <c r="H18" s="70" t="s">
        <v>430</v>
      </c>
      <c r="I18" s="70" t="s">
        <v>440</v>
      </c>
      <c r="J18" s="70" t="s">
        <v>436</v>
      </c>
      <c r="K18" s="70" t="s">
        <v>417</v>
      </c>
      <c r="L18" s="70"/>
      <c r="M18" s="70"/>
      <c r="N18" s="63"/>
      <c r="O18" s="63"/>
      <c r="P18" s="63"/>
      <c r="Q18" s="70"/>
      <c r="R18" s="96"/>
      <c r="S18" s="70"/>
      <c r="T18" s="63"/>
      <c r="U18" s="70"/>
      <c r="V18" s="96"/>
      <c r="W18" s="70"/>
      <c r="X18" s="63"/>
      <c r="Y18" s="63" t="str">
        <f>IF(AND(Table14[[#This Row],[Pre-Feasibility]]=0,Table14[[#This Row],[Pre-Feasibility 2]]=0, Table14[[#This Row],[Feasibility]]=0, Table14[[#This Row],[Feasibility 2]]=0), "No", "Yes")</f>
        <v>No</v>
      </c>
      <c r="Z18" s="63" t="s">
        <v>440</v>
      </c>
      <c r="AA18" s="63" t="s">
        <v>440</v>
      </c>
      <c r="AB18" s="70"/>
      <c r="AC18" s="70"/>
      <c r="AD18" s="70"/>
      <c r="AE18" s="70" t="s">
        <v>180</v>
      </c>
      <c r="AF18" s="70"/>
      <c r="AG18" s="70" t="s">
        <v>180</v>
      </c>
      <c r="AH18" s="70" t="s">
        <v>180</v>
      </c>
      <c r="AI18" s="70" t="s">
        <v>440</v>
      </c>
      <c r="AJ18" s="70" t="s">
        <v>440</v>
      </c>
      <c r="AK18" s="70" t="s">
        <v>440</v>
      </c>
      <c r="AL18" s="250" t="str" cm="1">
        <f t="array" ref="AL18">IFERROR(_xlfn.STDEV.P(IF(Table14[[#This Row],[Website Area (Acres)]:[PEZ Other Source (Acre)]]&lt;&gt;0, Table14[[#This Row],[Website Area (Acres)]:[PEZ Other Source (Acre)]], ""))/AVERAGE(IF(Table14[[#This Row],[Website Area (Acres)]:[PEZ Other Source (Acre)]]&lt;&gt;0, Table14[[#This Row],[Website Area (Acres)]:[PEZ Other Source (Acre)]], "")), "")</f>
        <v/>
      </c>
      <c r="AM18" s="70" t="s">
        <v>837</v>
      </c>
      <c r="AN18" s="70" t="s">
        <v>837</v>
      </c>
      <c r="AO18" s="70" t="s">
        <v>870</v>
      </c>
      <c r="AP18" s="148">
        <v>888.28</v>
      </c>
      <c r="AQ18" s="148">
        <v>888.28</v>
      </c>
      <c r="AR18" s="70" t="s">
        <v>445</v>
      </c>
      <c r="AS18" s="70" t="s">
        <v>444</v>
      </c>
      <c r="AT18" s="71"/>
      <c r="AU18" s="71"/>
      <c r="AV18" s="71"/>
      <c r="AW18" s="71"/>
      <c r="AX18" s="71"/>
      <c r="AY18" s="71"/>
      <c r="AZ18" s="71"/>
      <c r="BA18" s="71"/>
      <c r="BB18" s="70"/>
      <c r="BC18" s="75"/>
      <c r="BD18" s="70"/>
      <c r="BE18" s="70"/>
      <c r="BF18" s="70"/>
      <c r="BG18" s="70"/>
      <c r="BH18" s="70"/>
      <c r="BI18" s="70"/>
      <c r="BJ18" s="70"/>
      <c r="BK18" s="70"/>
      <c r="BL18" s="70"/>
      <c r="BM18" s="71"/>
      <c r="BN18" s="71"/>
      <c r="BO18" s="71"/>
      <c r="BP18" s="71"/>
      <c r="BQ18" s="71"/>
      <c r="BR18" s="71"/>
      <c r="BS18" s="71"/>
      <c r="BT18" s="71"/>
      <c r="BU18" s="71"/>
      <c r="BV18" s="71"/>
      <c r="BW18" s="71"/>
      <c r="BX18" s="71"/>
      <c r="BY18" s="71"/>
      <c r="BZ18" s="71"/>
      <c r="CA18" s="71"/>
      <c r="CB18" s="71"/>
    </row>
    <row r="19" spans="2:80" ht="40" customHeight="1" x14ac:dyDescent="0.35">
      <c r="B19" s="70">
        <v>16</v>
      </c>
      <c r="C19" s="71" t="s">
        <v>18</v>
      </c>
      <c r="D19" s="70" t="s">
        <v>68</v>
      </c>
      <c r="E19" s="70" t="s">
        <v>72</v>
      </c>
      <c r="F19" s="70" t="s">
        <v>73</v>
      </c>
      <c r="G19" s="70" t="s">
        <v>70</v>
      </c>
      <c r="H19" s="70" t="s">
        <v>422</v>
      </c>
      <c r="I19" s="70" t="s">
        <v>440</v>
      </c>
      <c r="J19" s="70" t="s">
        <v>415</v>
      </c>
      <c r="K19" s="70" t="s">
        <v>417</v>
      </c>
      <c r="L19" s="70"/>
      <c r="M19" s="70"/>
      <c r="N19" s="63"/>
      <c r="O19" s="63"/>
      <c r="P19" s="63"/>
      <c r="Q19" s="79" t="s">
        <v>417</v>
      </c>
      <c r="R19" s="96">
        <v>2019</v>
      </c>
      <c r="S19" s="70"/>
      <c r="T19" s="63"/>
      <c r="U19" s="70"/>
      <c r="V19" s="96"/>
      <c r="W19" s="70"/>
      <c r="X19" s="63"/>
      <c r="Y19" s="63" t="str">
        <f>IF(AND(Table14[[#This Row],[Pre-Feasibility]]=0,Table14[[#This Row],[Pre-Feasibility 2]]=0, Table14[[#This Row],[Feasibility]]=0, Table14[[#This Row],[Feasibility 2]]=0), "No", "Yes")</f>
        <v>Yes</v>
      </c>
      <c r="Z19" s="63" t="s">
        <v>440</v>
      </c>
      <c r="AA19" s="63" t="s">
        <v>440</v>
      </c>
      <c r="AB19" s="70"/>
      <c r="AC19" s="70" t="s">
        <v>871</v>
      </c>
      <c r="AD19" s="70">
        <v>7219.79</v>
      </c>
      <c r="AE19" s="70" t="s">
        <v>180</v>
      </c>
      <c r="AF19" s="70"/>
      <c r="AG19" s="70">
        <v>7000</v>
      </c>
      <c r="AH19" s="70" t="s">
        <v>180</v>
      </c>
      <c r="AI19" s="70" t="s">
        <v>440</v>
      </c>
      <c r="AJ19" s="70" t="s">
        <v>440</v>
      </c>
      <c r="AK19" s="70" t="s">
        <v>440</v>
      </c>
      <c r="AL19" s="250" cm="1">
        <f t="array" ref="AL19">IFERROR(_xlfn.STDEV.P(IF(Table14[[#This Row],[Website Area (Acres)]:[PEZ Other Source (Acre)]]&lt;&gt;0, Table14[[#This Row],[Website Area (Acres)]:[PEZ Other Source (Acre)]], ""))/AVERAGE(IF(Table14[[#This Row],[Website Area (Acres)]:[PEZ Other Source (Acre)]]&lt;&gt;0, Table14[[#This Row],[Website Area (Acres)]:[PEZ Other Source (Acre)]], "")), "")</f>
        <v>1.5456627699846478E-2</v>
      </c>
      <c r="AM19" s="70" t="s">
        <v>417</v>
      </c>
      <c r="AN19" s="70"/>
      <c r="AO19" s="70" t="s">
        <v>872</v>
      </c>
      <c r="AP19" s="148">
        <v>7000</v>
      </c>
      <c r="AQ19" s="148">
        <v>9549.5499999999993</v>
      </c>
      <c r="AR19" s="70" t="s">
        <v>423</v>
      </c>
      <c r="AS19" s="70" t="s">
        <v>412</v>
      </c>
      <c r="AT19" s="71"/>
      <c r="AU19" s="87">
        <f>(75%*BC19)/1070</f>
        <v>4.9065420560747661</v>
      </c>
      <c r="AV19" s="71"/>
      <c r="AW19" s="71"/>
      <c r="AX19" s="71"/>
      <c r="AY19" s="71"/>
      <c r="AZ19" s="71"/>
      <c r="BA19" s="71"/>
      <c r="BB19" s="70"/>
      <c r="BC19" s="74">
        <v>7000</v>
      </c>
      <c r="BD19" s="70" t="s">
        <v>826</v>
      </c>
      <c r="BE19" s="70" t="s">
        <v>859</v>
      </c>
      <c r="BF19" s="70" t="s">
        <v>841</v>
      </c>
      <c r="BG19" s="70" t="s">
        <v>840</v>
      </c>
      <c r="BH19" s="70" t="s">
        <v>849</v>
      </c>
      <c r="BI19" s="70" t="s">
        <v>858</v>
      </c>
      <c r="BJ19" s="70" t="s">
        <v>857</v>
      </c>
      <c r="BK19" s="70" t="s">
        <v>873</v>
      </c>
      <c r="BL19" s="70" t="s">
        <v>874</v>
      </c>
      <c r="BM19" s="71"/>
      <c r="BN19" s="71"/>
      <c r="BO19" s="71" t="s">
        <v>875</v>
      </c>
      <c r="BP19" s="71" t="s">
        <v>876</v>
      </c>
      <c r="BQ19" s="71" t="s">
        <v>877</v>
      </c>
      <c r="BR19" s="71" t="s">
        <v>878</v>
      </c>
      <c r="BS19" s="88">
        <v>589</v>
      </c>
      <c r="BT19" s="88">
        <v>127600</v>
      </c>
      <c r="BU19" s="88"/>
      <c r="BV19" s="88">
        <v>91100</v>
      </c>
      <c r="BW19" s="71"/>
      <c r="BX19" s="71"/>
      <c r="BY19" s="71"/>
      <c r="BZ19" s="71"/>
      <c r="CA19" s="71"/>
      <c r="CB19" s="71"/>
    </row>
    <row r="20" spans="2:80" ht="40" customHeight="1" x14ac:dyDescent="0.35">
      <c r="B20" s="70">
        <v>17</v>
      </c>
      <c r="C20" s="71" t="s">
        <v>234</v>
      </c>
      <c r="D20" s="70" t="s">
        <v>76</v>
      </c>
      <c r="E20" s="70" t="s">
        <v>117</v>
      </c>
      <c r="F20" s="70" t="s">
        <v>118</v>
      </c>
      <c r="G20" s="70" t="s">
        <v>70</v>
      </c>
      <c r="H20" s="70" t="s">
        <v>430</v>
      </c>
      <c r="I20" s="70" t="s">
        <v>440</v>
      </c>
      <c r="J20" s="70" t="s">
        <v>436</v>
      </c>
      <c r="K20" s="70" t="s">
        <v>417</v>
      </c>
      <c r="L20" s="70"/>
      <c r="M20" s="70"/>
      <c r="N20" s="63"/>
      <c r="O20" s="63"/>
      <c r="P20" s="63"/>
      <c r="Q20" s="70"/>
      <c r="R20" s="96"/>
      <c r="S20" s="70"/>
      <c r="T20" s="63"/>
      <c r="U20" s="70"/>
      <c r="V20" s="96"/>
      <c r="W20" s="70"/>
      <c r="X20" s="63"/>
      <c r="Y20" s="63" t="str">
        <f>IF(AND(Table14[[#This Row],[Pre-Feasibility]]=0,Table14[[#This Row],[Pre-Feasibility 2]]=0, Table14[[#This Row],[Feasibility]]=0, Table14[[#This Row],[Feasibility 2]]=0), "No", "Yes")</f>
        <v>No</v>
      </c>
      <c r="Z20" s="63" t="s">
        <v>440</v>
      </c>
      <c r="AA20" s="63" t="s">
        <v>440</v>
      </c>
      <c r="AB20" s="70"/>
      <c r="AC20" s="70"/>
      <c r="AD20" s="70">
        <v>97.98</v>
      </c>
      <c r="AE20" s="70" t="s">
        <v>180</v>
      </c>
      <c r="AF20" s="70"/>
      <c r="AG20" s="70" t="s">
        <v>180</v>
      </c>
      <c r="AH20" s="70" t="s">
        <v>180</v>
      </c>
      <c r="AI20" s="70" t="s">
        <v>440</v>
      </c>
      <c r="AJ20" s="70" t="s">
        <v>440</v>
      </c>
      <c r="AK20" s="70" t="s">
        <v>440</v>
      </c>
      <c r="AL20" s="250" cm="1">
        <f t="array" ref="AL20">IFERROR(_xlfn.STDEV.P(IF(Table14[[#This Row],[Website Area (Acres)]:[PEZ Other Source (Acre)]]&lt;&gt;0, Table14[[#This Row],[Website Area (Acres)]:[PEZ Other Source (Acre)]], ""))/AVERAGE(IF(Table14[[#This Row],[Website Area (Acres)]:[PEZ Other Source (Acre)]]&lt;&gt;0, Table14[[#This Row],[Website Area (Acres)]:[PEZ Other Source (Acre)]], "")), "")</f>
        <v>0</v>
      </c>
      <c r="AM20" s="70" t="s">
        <v>418</v>
      </c>
      <c r="AN20" s="70"/>
      <c r="AO20" s="70"/>
      <c r="AP20" s="148">
        <v>97.9</v>
      </c>
      <c r="AQ20" s="148">
        <v>97.98</v>
      </c>
      <c r="AR20" s="70" t="s">
        <v>475</v>
      </c>
      <c r="AS20" s="70" t="s">
        <v>444</v>
      </c>
      <c r="AT20" s="71"/>
      <c r="AU20" s="71"/>
      <c r="AV20" s="71"/>
      <c r="AW20" s="71"/>
      <c r="AX20" s="71"/>
      <c r="AY20" s="71"/>
      <c r="AZ20" s="71"/>
      <c r="BA20" s="71"/>
      <c r="BB20" s="70"/>
      <c r="BC20" s="75"/>
      <c r="BD20" s="70"/>
      <c r="BE20" s="70"/>
      <c r="BF20" s="70"/>
      <c r="BG20" s="70"/>
      <c r="BH20" s="70"/>
      <c r="BI20" s="70"/>
      <c r="BJ20" s="70"/>
      <c r="BK20" s="70"/>
      <c r="BL20" s="70"/>
      <c r="BM20" s="71"/>
      <c r="BN20" s="71"/>
      <c r="BO20" s="71"/>
      <c r="BP20" s="71"/>
      <c r="BQ20" s="71"/>
      <c r="BR20" s="71"/>
      <c r="BS20" s="71"/>
      <c r="BT20" s="71"/>
      <c r="BU20" s="71"/>
      <c r="BV20" s="71"/>
      <c r="BW20" s="71"/>
      <c r="BX20" s="71"/>
      <c r="BY20" s="71"/>
      <c r="BZ20" s="71"/>
      <c r="CA20" s="71"/>
      <c r="CB20" s="71"/>
    </row>
    <row r="21" spans="2:80" ht="40" customHeight="1" x14ac:dyDescent="0.35">
      <c r="B21" s="70">
        <v>18</v>
      </c>
      <c r="C21" s="71" t="s">
        <v>24</v>
      </c>
      <c r="D21" s="70" t="s">
        <v>76</v>
      </c>
      <c r="E21" s="70" t="s">
        <v>82</v>
      </c>
      <c r="F21" s="70" t="s">
        <v>83</v>
      </c>
      <c r="G21" s="70" t="s">
        <v>70</v>
      </c>
      <c r="H21" s="70" t="s">
        <v>430</v>
      </c>
      <c r="I21" s="70" t="s">
        <v>440</v>
      </c>
      <c r="J21" s="70" t="s">
        <v>415</v>
      </c>
      <c r="K21" s="70" t="s">
        <v>417</v>
      </c>
      <c r="L21" s="70"/>
      <c r="M21" s="70"/>
      <c r="N21" s="63"/>
      <c r="O21" s="63"/>
      <c r="P21" s="63"/>
      <c r="Q21" s="79" t="s">
        <v>417</v>
      </c>
      <c r="R21" s="96">
        <v>2019</v>
      </c>
      <c r="S21" s="70"/>
      <c r="T21" s="63"/>
      <c r="U21" s="70"/>
      <c r="V21" s="96"/>
      <c r="W21" s="70"/>
      <c r="X21" s="63"/>
      <c r="Y21" s="63" t="str">
        <f>IF(AND(Table14[[#This Row],[Pre-Feasibility]]=0,Table14[[#This Row],[Pre-Feasibility 2]]=0, Table14[[#This Row],[Feasibility]]=0, Table14[[#This Row],[Feasibility 2]]=0), "No", "Yes")</f>
        <v>Yes</v>
      </c>
      <c r="Z21" s="63" t="s">
        <v>440</v>
      </c>
      <c r="AA21" s="63" t="s">
        <v>440</v>
      </c>
      <c r="AB21" s="70"/>
      <c r="AC21" s="70" t="s">
        <v>824</v>
      </c>
      <c r="AD21" s="70">
        <v>201.83</v>
      </c>
      <c r="AE21" s="70" t="s">
        <v>180</v>
      </c>
      <c r="AF21" s="70"/>
      <c r="AG21" s="70">
        <v>200</v>
      </c>
      <c r="AH21" s="70" t="s">
        <v>180</v>
      </c>
      <c r="AI21" s="70" t="s">
        <v>440</v>
      </c>
      <c r="AJ21" s="70" t="s">
        <v>440</v>
      </c>
      <c r="AK21" s="70" t="s">
        <v>440</v>
      </c>
      <c r="AL21" s="250" cm="1">
        <f t="array" ref="AL21">IFERROR(_xlfn.STDEV.P(IF(Table14[[#This Row],[Website Area (Acres)]:[PEZ Other Source (Acre)]]&lt;&gt;0, Table14[[#This Row],[Website Area (Acres)]:[PEZ Other Source (Acre)]], ""))/AVERAGE(IF(Table14[[#This Row],[Website Area (Acres)]:[PEZ Other Source (Acre)]]&lt;&gt;0, Table14[[#This Row],[Website Area (Acres)]:[PEZ Other Source (Acre)]], "")), "")</f>
        <v>4.5541646965134817E-3</v>
      </c>
      <c r="AM21" s="70" t="s">
        <v>418</v>
      </c>
      <c r="AN21" s="70"/>
      <c r="AO21" s="70"/>
      <c r="AP21" s="148">
        <v>200</v>
      </c>
      <c r="AQ21" s="148">
        <v>201.83</v>
      </c>
      <c r="AR21" s="70" t="s">
        <v>422</v>
      </c>
      <c r="AS21" s="70" t="s">
        <v>412</v>
      </c>
      <c r="AT21" s="71"/>
      <c r="AU21" s="71">
        <v>1</v>
      </c>
      <c r="AV21" s="71">
        <f>131.98</f>
        <v>131.97999999999999</v>
      </c>
      <c r="AW21" s="71"/>
      <c r="AX21" s="71">
        <v>29.18</v>
      </c>
      <c r="AY21" s="71">
        <v>4.0199999999999996</v>
      </c>
      <c r="AZ21" s="71"/>
      <c r="BA21" s="71">
        <v>19.940000000000001</v>
      </c>
      <c r="BB21" s="70">
        <f>13.05+1.84</f>
        <v>14.89</v>
      </c>
      <c r="BC21" s="74">
        <f>SUM(AV21:BB21)</f>
        <v>200.01</v>
      </c>
      <c r="BD21" s="70" t="s">
        <v>847</v>
      </c>
      <c r="BE21" s="70" t="s">
        <v>829</v>
      </c>
      <c r="BF21" s="70" t="s">
        <v>841</v>
      </c>
      <c r="BG21" s="70" t="s">
        <v>859</v>
      </c>
      <c r="BH21" s="70"/>
      <c r="BI21" s="70"/>
      <c r="BJ21" s="70"/>
      <c r="BK21" s="70"/>
      <c r="BL21" s="70"/>
      <c r="BM21" s="71"/>
      <c r="BN21" s="71"/>
      <c r="BO21" s="71" t="s">
        <v>879</v>
      </c>
      <c r="BP21" s="71" t="s">
        <v>880</v>
      </c>
      <c r="BQ21" s="71" t="s">
        <v>881</v>
      </c>
      <c r="BR21" s="71"/>
      <c r="BS21" s="88">
        <v>22.4</v>
      </c>
      <c r="BT21" s="88">
        <v>7300</v>
      </c>
      <c r="BU21" s="88"/>
      <c r="BV21" s="88">
        <v>5100</v>
      </c>
      <c r="BW21" s="71"/>
      <c r="BX21" s="71"/>
      <c r="BY21" s="71"/>
      <c r="BZ21" s="71"/>
      <c r="CA21" s="71"/>
      <c r="CB21" s="71"/>
    </row>
    <row r="22" spans="2:80" ht="40" customHeight="1" x14ac:dyDescent="0.35">
      <c r="B22" s="70">
        <v>19</v>
      </c>
      <c r="C22" s="71" t="s">
        <v>218</v>
      </c>
      <c r="D22" s="70" t="s">
        <v>76</v>
      </c>
      <c r="E22" s="70" t="s">
        <v>82</v>
      </c>
      <c r="F22" s="70" t="s">
        <v>219</v>
      </c>
      <c r="G22" s="70" t="s">
        <v>70</v>
      </c>
      <c r="H22" s="70" t="s">
        <v>422</v>
      </c>
      <c r="I22" s="70" t="s">
        <v>440</v>
      </c>
      <c r="J22" s="70" t="s">
        <v>436</v>
      </c>
      <c r="K22" s="70" t="s">
        <v>417</v>
      </c>
      <c r="L22" s="70"/>
      <c r="M22" s="70"/>
      <c r="N22" s="63"/>
      <c r="O22" s="63"/>
      <c r="P22" s="63"/>
      <c r="Q22" s="70"/>
      <c r="R22" s="96"/>
      <c r="S22" s="70"/>
      <c r="T22" s="63"/>
      <c r="U22" s="70"/>
      <c r="V22" s="96"/>
      <c r="W22" s="70"/>
      <c r="X22" s="63"/>
      <c r="Y22" s="63" t="str">
        <f>IF(AND(Table14[[#This Row],[Pre-Feasibility]]=0,Table14[[#This Row],[Pre-Feasibility 2]]=0, Table14[[#This Row],[Feasibility]]=0, Table14[[#This Row],[Feasibility 2]]=0), "No", "Yes")</f>
        <v>No</v>
      </c>
      <c r="Z22" s="63" t="s">
        <v>440</v>
      </c>
      <c r="AA22" s="63" t="s">
        <v>440</v>
      </c>
      <c r="AB22" s="70"/>
      <c r="AC22" s="70"/>
      <c r="AD22" s="70">
        <v>200</v>
      </c>
      <c r="AE22" s="70" t="s">
        <v>180</v>
      </c>
      <c r="AF22" s="70"/>
      <c r="AG22" s="70" t="s">
        <v>180</v>
      </c>
      <c r="AH22" s="70" t="s">
        <v>180</v>
      </c>
      <c r="AI22" s="70" t="s">
        <v>440</v>
      </c>
      <c r="AJ22" s="70" t="s">
        <v>440</v>
      </c>
      <c r="AK22" s="70" t="s">
        <v>440</v>
      </c>
      <c r="AL22" s="250" cm="1">
        <f t="array" ref="AL22">IFERROR(_xlfn.STDEV.P(IF(Table14[[#This Row],[Website Area (Acres)]:[PEZ Other Source (Acre)]]&lt;&gt;0, Table14[[#This Row],[Website Area (Acres)]:[PEZ Other Source (Acre)]], ""))/AVERAGE(IF(Table14[[#This Row],[Website Area (Acres)]:[PEZ Other Source (Acre)]]&lt;&gt;0, Table14[[#This Row],[Website Area (Acres)]:[PEZ Other Source (Acre)]], "")), "")</f>
        <v>0</v>
      </c>
      <c r="AM22" s="70" t="s">
        <v>418</v>
      </c>
      <c r="AN22" s="70"/>
      <c r="AO22" s="70"/>
      <c r="AP22" s="148">
        <v>200</v>
      </c>
      <c r="AQ22" s="148">
        <v>200</v>
      </c>
      <c r="AR22" s="70" t="s">
        <v>472</v>
      </c>
      <c r="AS22" s="70" t="s">
        <v>444</v>
      </c>
      <c r="AT22" s="71"/>
      <c r="AU22" s="71"/>
      <c r="AV22" s="71"/>
      <c r="AW22" s="71"/>
      <c r="AX22" s="71"/>
      <c r="AY22" s="71"/>
      <c r="AZ22" s="71"/>
      <c r="BA22" s="71"/>
      <c r="BB22" s="70"/>
      <c r="BC22" s="75"/>
      <c r="BD22" s="70"/>
      <c r="BE22" s="70"/>
      <c r="BF22" s="70"/>
      <c r="BG22" s="70"/>
      <c r="BH22" s="70"/>
      <c r="BI22" s="70"/>
      <c r="BJ22" s="70"/>
      <c r="BK22" s="70"/>
      <c r="BL22" s="70"/>
      <c r="BM22" s="71"/>
      <c r="BN22" s="71"/>
      <c r="BO22" s="71"/>
      <c r="BP22" s="71"/>
      <c r="BQ22" s="71"/>
      <c r="BR22" s="71"/>
      <c r="BS22" s="71"/>
      <c r="BT22" s="71"/>
      <c r="BU22" s="71"/>
      <c r="BV22" s="71"/>
      <c r="BW22" s="71"/>
      <c r="BX22" s="71"/>
      <c r="BY22" s="71"/>
      <c r="BZ22" s="71"/>
      <c r="CA22" s="71"/>
      <c r="CB22" s="71"/>
    </row>
    <row r="23" spans="2:80" ht="40" customHeight="1" x14ac:dyDescent="0.35">
      <c r="B23" s="70">
        <v>20</v>
      </c>
      <c r="C23" s="71" t="s">
        <v>151</v>
      </c>
      <c r="D23" s="70" t="s">
        <v>94</v>
      </c>
      <c r="E23" s="70" t="s">
        <v>152</v>
      </c>
      <c r="F23" s="70" t="s">
        <v>153</v>
      </c>
      <c r="G23" s="70" t="s">
        <v>70</v>
      </c>
      <c r="H23" s="70" t="s">
        <v>430</v>
      </c>
      <c r="I23" s="70" t="s">
        <v>440</v>
      </c>
      <c r="J23" s="70" t="s">
        <v>436</v>
      </c>
      <c r="K23" s="70" t="s">
        <v>417</v>
      </c>
      <c r="L23" s="70"/>
      <c r="M23" s="70"/>
      <c r="N23" s="63"/>
      <c r="O23" s="63"/>
      <c r="P23" s="63"/>
      <c r="Q23" s="70"/>
      <c r="R23" s="96"/>
      <c r="S23" s="70"/>
      <c r="T23" s="63"/>
      <c r="U23" s="70"/>
      <c r="V23" s="96"/>
      <c r="W23" s="70"/>
      <c r="X23" s="63"/>
      <c r="Y23" s="63" t="str">
        <f>IF(AND(Table14[[#This Row],[Pre-Feasibility]]=0,Table14[[#This Row],[Pre-Feasibility 2]]=0, Table14[[#This Row],[Feasibility]]=0, Table14[[#This Row],[Feasibility 2]]=0), "No", "Yes")</f>
        <v>No</v>
      </c>
      <c r="Z23" s="63" t="s">
        <v>440</v>
      </c>
      <c r="AA23" s="63" t="s">
        <v>440</v>
      </c>
      <c r="AB23" s="70"/>
      <c r="AC23" s="70"/>
      <c r="AD23" s="70">
        <v>511.83</v>
      </c>
      <c r="AE23" s="70" t="s">
        <v>180</v>
      </c>
      <c r="AF23" s="70"/>
      <c r="AG23" s="70" t="s">
        <v>180</v>
      </c>
      <c r="AH23" s="70" t="s">
        <v>180</v>
      </c>
      <c r="AI23" s="70" t="s">
        <v>440</v>
      </c>
      <c r="AJ23" s="70" t="s">
        <v>440</v>
      </c>
      <c r="AK23" s="70" t="s">
        <v>440</v>
      </c>
      <c r="AL23" s="250" cm="1">
        <f t="array" ref="AL23">IFERROR(_xlfn.STDEV.P(IF(Table14[[#This Row],[Website Area (Acres)]:[PEZ Other Source (Acre)]]&lt;&gt;0, Table14[[#This Row],[Website Area (Acres)]:[PEZ Other Source (Acre)]], ""))/AVERAGE(IF(Table14[[#This Row],[Website Area (Acres)]:[PEZ Other Source (Acre)]]&lt;&gt;0, Table14[[#This Row],[Website Area (Acres)]:[PEZ Other Source (Acre)]], "")), "")</f>
        <v>0</v>
      </c>
      <c r="AM23" s="70" t="s">
        <v>418</v>
      </c>
      <c r="AN23" s="70"/>
      <c r="AO23" s="70"/>
      <c r="AP23" s="148">
        <v>511.8</v>
      </c>
      <c r="AQ23" s="148">
        <v>511.83</v>
      </c>
      <c r="AR23" s="70" t="s">
        <v>445</v>
      </c>
      <c r="AS23" s="70" t="s">
        <v>435</v>
      </c>
      <c r="AT23" s="71"/>
      <c r="AU23" s="71"/>
      <c r="AV23" s="71"/>
      <c r="AW23" s="71"/>
      <c r="AX23" s="71"/>
      <c r="AY23" s="71"/>
      <c r="AZ23" s="71"/>
      <c r="BA23" s="71"/>
      <c r="BB23" s="70"/>
      <c r="BC23" s="75"/>
      <c r="BD23" s="70"/>
      <c r="BE23" s="70"/>
      <c r="BF23" s="70"/>
      <c r="BG23" s="70"/>
      <c r="BH23" s="70"/>
      <c r="BI23" s="70"/>
      <c r="BJ23" s="70"/>
      <c r="BK23" s="70"/>
      <c r="BL23" s="70"/>
      <c r="BM23" s="71"/>
      <c r="BN23" s="71"/>
      <c r="BO23" s="71"/>
      <c r="BP23" s="71"/>
      <c r="BQ23" s="71"/>
      <c r="BR23" s="71"/>
      <c r="BS23" s="71"/>
      <c r="BT23" s="71"/>
      <c r="BU23" s="71"/>
      <c r="BV23" s="71"/>
      <c r="BW23" s="71"/>
      <c r="BX23" s="71"/>
      <c r="BY23" s="71"/>
      <c r="BZ23" s="71"/>
      <c r="CA23" s="71"/>
      <c r="CB23" s="71"/>
    </row>
    <row r="24" spans="2:80" ht="40" customHeight="1" x14ac:dyDescent="0.35">
      <c r="B24" s="70">
        <v>21</v>
      </c>
      <c r="C24" s="71" t="s">
        <v>43</v>
      </c>
      <c r="D24" s="70" t="s">
        <v>104</v>
      </c>
      <c r="E24" s="70" t="s">
        <v>105</v>
      </c>
      <c r="F24" s="70" t="s">
        <v>106</v>
      </c>
      <c r="G24" s="70" t="s">
        <v>70</v>
      </c>
      <c r="H24" s="70" t="s">
        <v>410</v>
      </c>
      <c r="I24" s="70" t="s">
        <v>440</v>
      </c>
      <c r="J24" s="70" t="s">
        <v>415</v>
      </c>
      <c r="K24" s="70" t="s">
        <v>417</v>
      </c>
      <c r="L24" s="109" t="s">
        <v>643</v>
      </c>
      <c r="M24" s="70"/>
      <c r="N24" s="63"/>
      <c r="O24" s="63"/>
      <c r="P24" s="63"/>
      <c r="Q24" s="79" t="s">
        <v>417</v>
      </c>
      <c r="R24" s="96">
        <v>2021</v>
      </c>
      <c r="S24" s="79"/>
      <c r="T24" s="63"/>
      <c r="U24" s="79" t="s">
        <v>417</v>
      </c>
      <c r="V24" s="96">
        <v>2017</v>
      </c>
      <c r="W24" s="79"/>
      <c r="X24" s="63"/>
      <c r="Y24" s="63" t="str">
        <f>IF(AND(Table14[[#This Row],[Pre-Feasibility]]=0,Table14[[#This Row],[Pre-Feasibility 2]]=0, Table14[[#This Row],[Feasibility]]=0, Table14[[#This Row],[Feasibility 2]]=0), "No", "Yes")</f>
        <v>Yes</v>
      </c>
      <c r="Z24" s="63" t="s">
        <v>440</v>
      </c>
      <c r="AA24" s="63" t="s">
        <v>440</v>
      </c>
      <c r="AB24" s="79"/>
      <c r="AC24" s="70" t="s">
        <v>824</v>
      </c>
      <c r="AD24" s="70">
        <v>457.77</v>
      </c>
      <c r="AE24" s="70" t="s">
        <v>180</v>
      </c>
      <c r="AF24" s="70"/>
      <c r="AG24" s="70">
        <v>402.66</v>
      </c>
      <c r="AH24" s="70">
        <v>443</v>
      </c>
      <c r="AI24" s="70" t="s">
        <v>440</v>
      </c>
      <c r="AJ24" s="70" t="s">
        <v>440</v>
      </c>
      <c r="AK24" s="70" t="s">
        <v>440</v>
      </c>
      <c r="AL24" s="250" cm="1">
        <f t="array" ref="AL24">IFERROR(_xlfn.STDEV.P(IF(Table14[[#This Row],[Website Area (Acres)]:[PEZ Other Source (Acre)]]&lt;&gt;0, Table14[[#This Row],[Website Area (Acres)]:[PEZ Other Source (Acre)]], ""))/AVERAGE(IF(Table14[[#This Row],[Website Area (Acres)]:[PEZ Other Source (Acre)]]&lt;&gt;0, Table14[[#This Row],[Website Area (Acres)]:[PEZ Other Source (Acre)]], "")), "")</f>
        <v>5.3608912588970131E-2</v>
      </c>
      <c r="AM24" s="70" t="s">
        <v>417</v>
      </c>
      <c r="AN24" s="70"/>
      <c r="AO24" s="70" t="s">
        <v>882</v>
      </c>
      <c r="AP24" s="148">
        <v>403.6</v>
      </c>
      <c r="AQ24" s="148">
        <v>441.64</v>
      </c>
      <c r="AR24" s="70" t="s">
        <v>423</v>
      </c>
      <c r="AS24" s="70" t="s">
        <v>412</v>
      </c>
      <c r="AT24" s="71"/>
      <c r="AU24" s="71"/>
      <c r="AV24" s="71">
        <v>268.56</v>
      </c>
      <c r="AW24" s="71"/>
      <c r="AX24" s="71">
        <v>60.27</v>
      </c>
      <c r="AY24" s="71">
        <v>18.32</v>
      </c>
      <c r="AZ24" s="71">
        <v>12.31</v>
      </c>
      <c r="BA24" s="71">
        <v>41.71</v>
      </c>
      <c r="BB24" s="70">
        <f>BC24-SUM(AV24:BA24)</f>
        <v>35.750000000000057</v>
      </c>
      <c r="BC24" s="74">
        <v>436.92</v>
      </c>
      <c r="BD24" s="70" t="s">
        <v>847</v>
      </c>
      <c r="BE24" s="70" t="s">
        <v>829</v>
      </c>
      <c r="BF24" s="70" t="s">
        <v>840</v>
      </c>
      <c r="BG24" s="70" t="s">
        <v>848</v>
      </c>
      <c r="BH24" s="70" t="s">
        <v>841</v>
      </c>
      <c r="BI24" s="70" t="s">
        <v>839</v>
      </c>
      <c r="BJ24" s="70"/>
      <c r="BK24" s="70"/>
      <c r="BL24" s="70"/>
      <c r="BM24" s="71"/>
      <c r="BN24" s="71"/>
      <c r="BO24" s="71" t="s">
        <v>883</v>
      </c>
      <c r="BP24" s="71" t="s">
        <v>884</v>
      </c>
      <c r="BQ24" s="71" t="s">
        <v>885</v>
      </c>
      <c r="BR24" s="71"/>
      <c r="BS24" s="88">
        <v>47</v>
      </c>
      <c r="BT24" s="88">
        <v>9000</v>
      </c>
      <c r="BU24" s="88">
        <v>18400</v>
      </c>
      <c r="BV24" s="88"/>
      <c r="BW24" s="71"/>
      <c r="BX24" s="71"/>
      <c r="BY24" s="71"/>
      <c r="BZ24" s="71" t="s">
        <v>886</v>
      </c>
      <c r="CA24" s="71"/>
      <c r="CB24" s="71"/>
    </row>
    <row r="25" spans="2:80" ht="40" customHeight="1" x14ac:dyDescent="0.35">
      <c r="B25" s="70">
        <v>22</v>
      </c>
      <c r="C25" s="71" t="s">
        <v>149</v>
      </c>
      <c r="D25" s="70" t="s">
        <v>84</v>
      </c>
      <c r="E25" s="70" t="s">
        <v>84</v>
      </c>
      <c r="F25" s="70" t="s">
        <v>150</v>
      </c>
      <c r="G25" s="70" t="s">
        <v>70</v>
      </c>
      <c r="H25" s="70" t="s">
        <v>431</v>
      </c>
      <c r="I25" s="70" t="s">
        <v>440</v>
      </c>
      <c r="J25" s="70" t="s">
        <v>443</v>
      </c>
      <c r="K25" s="70" t="s">
        <v>417</v>
      </c>
      <c r="L25" s="70"/>
      <c r="M25" s="139" t="s">
        <v>417</v>
      </c>
      <c r="N25" s="63">
        <v>2015</v>
      </c>
      <c r="O25" s="63"/>
      <c r="P25" s="63"/>
      <c r="Q25" s="70"/>
      <c r="R25" s="96"/>
      <c r="S25" s="70"/>
      <c r="T25" s="63"/>
      <c r="U25" s="70"/>
      <c r="V25" s="96"/>
      <c r="W25" s="70"/>
      <c r="X25" s="63"/>
      <c r="Y25" s="63" t="str">
        <f>IF(AND(Table14[[#This Row],[Pre-Feasibility]]=0,Table14[[#This Row],[Pre-Feasibility 2]]=0, Table14[[#This Row],[Feasibility]]=0, Table14[[#This Row],[Feasibility 2]]=0), "No", "Yes")</f>
        <v>No</v>
      </c>
      <c r="Z25" s="63" t="s">
        <v>440</v>
      </c>
      <c r="AA25" s="63" t="s">
        <v>440</v>
      </c>
      <c r="AB25" s="70"/>
      <c r="AC25" s="70" t="s">
        <v>864</v>
      </c>
      <c r="AD25" s="70">
        <v>519.52</v>
      </c>
      <c r="AE25" s="70">
        <v>593.64</v>
      </c>
      <c r="AF25" s="70"/>
      <c r="AG25" s="70" t="s">
        <v>180</v>
      </c>
      <c r="AH25" s="70" t="s">
        <v>180</v>
      </c>
      <c r="AI25" s="70" t="s">
        <v>440</v>
      </c>
      <c r="AJ25" s="70" t="s">
        <v>440</v>
      </c>
      <c r="AK25" s="70" t="s">
        <v>440</v>
      </c>
      <c r="AL25" s="250" cm="1">
        <f t="array" ref="AL25">IFERROR(_xlfn.STDEV.P(IF(Table14[[#This Row],[Website Area (Acres)]:[PEZ Other Source (Acre)]]&lt;&gt;0, Table14[[#This Row],[Website Area (Acres)]:[PEZ Other Source (Acre)]], ""))/AVERAGE(IF(Table14[[#This Row],[Website Area (Acres)]:[PEZ Other Source (Acre)]]&lt;&gt;0, Table14[[#This Row],[Website Area (Acres)]:[PEZ Other Source (Acre)]], "")), "")</f>
        <v>6.6585216860109972E-2</v>
      </c>
      <c r="AM25" s="70" t="s">
        <v>417</v>
      </c>
      <c r="AN25" s="70" t="s">
        <v>887</v>
      </c>
      <c r="AO25" s="70" t="s">
        <v>888</v>
      </c>
      <c r="AP25" s="148">
        <v>208.6</v>
      </c>
      <c r="AQ25" s="148">
        <v>208.63</v>
      </c>
      <c r="AR25" s="70" t="s">
        <v>464</v>
      </c>
      <c r="AS25" s="70" t="s">
        <v>444</v>
      </c>
      <c r="AT25" s="71"/>
      <c r="AU25" s="71"/>
      <c r="AV25" s="71"/>
      <c r="AW25" s="71"/>
      <c r="AX25" s="71"/>
      <c r="AY25" s="71"/>
      <c r="AZ25" s="71"/>
      <c r="BA25" s="71"/>
      <c r="BB25" s="70"/>
      <c r="BC25" s="75"/>
      <c r="BD25" s="70"/>
      <c r="BE25" s="70"/>
      <c r="BF25" s="70"/>
      <c r="BG25" s="70"/>
      <c r="BH25" s="70"/>
      <c r="BI25" s="70"/>
      <c r="BJ25" s="70"/>
      <c r="BK25" s="70"/>
      <c r="BL25" s="70"/>
      <c r="BM25" s="71"/>
      <c r="BN25" s="71"/>
      <c r="BO25" s="71"/>
      <c r="BP25" s="71"/>
      <c r="BQ25" s="71"/>
      <c r="BR25" s="71"/>
      <c r="BS25" s="71"/>
      <c r="BT25" s="71"/>
      <c r="BU25" s="71"/>
      <c r="BV25" s="71"/>
      <c r="BW25" s="71"/>
      <c r="BX25" s="71"/>
      <c r="BY25" s="71"/>
      <c r="BZ25" s="71"/>
      <c r="CA25" s="71"/>
      <c r="CB25" s="71"/>
    </row>
    <row r="26" spans="2:80" ht="40" customHeight="1" x14ac:dyDescent="0.35">
      <c r="B26" s="70">
        <v>23</v>
      </c>
      <c r="C26" s="71" t="s">
        <v>186</v>
      </c>
      <c r="D26" s="70" t="s">
        <v>84</v>
      </c>
      <c r="E26" s="70" t="s">
        <v>84</v>
      </c>
      <c r="F26" s="70" t="s">
        <v>187</v>
      </c>
      <c r="G26" s="70" t="s">
        <v>70</v>
      </c>
      <c r="H26" s="70" t="s">
        <v>430</v>
      </c>
      <c r="I26" s="70" t="s">
        <v>440</v>
      </c>
      <c r="J26" s="70" t="s">
        <v>436</v>
      </c>
      <c r="K26" s="70" t="s">
        <v>417</v>
      </c>
      <c r="L26" s="70"/>
      <c r="M26" s="70"/>
      <c r="N26" s="63"/>
      <c r="O26" s="63"/>
      <c r="P26" s="63"/>
      <c r="Q26" s="70"/>
      <c r="R26" s="96"/>
      <c r="S26" s="70"/>
      <c r="T26" s="63"/>
      <c r="U26" s="70"/>
      <c r="V26" s="96"/>
      <c r="W26" s="70"/>
      <c r="X26" s="63"/>
      <c r="Y26" s="63" t="str">
        <f>IF(AND(Table14[[#This Row],[Pre-Feasibility]]=0,Table14[[#This Row],[Pre-Feasibility 2]]=0, Table14[[#This Row],[Feasibility]]=0, Table14[[#This Row],[Feasibility 2]]=0), "No", "Yes")</f>
        <v>No</v>
      </c>
      <c r="Z26" s="63" t="s">
        <v>440</v>
      </c>
      <c r="AA26" s="63" t="s">
        <v>440</v>
      </c>
      <c r="AB26" s="70"/>
      <c r="AC26" s="70"/>
      <c r="AD26" s="70">
        <v>509.64</v>
      </c>
      <c r="AE26" s="70" t="s">
        <v>180</v>
      </c>
      <c r="AF26" s="70"/>
      <c r="AG26" s="70" t="s">
        <v>180</v>
      </c>
      <c r="AH26" s="70" t="s">
        <v>180</v>
      </c>
      <c r="AI26" s="70" t="s">
        <v>440</v>
      </c>
      <c r="AJ26" s="70" t="s">
        <v>440</v>
      </c>
      <c r="AK26" s="70" t="s">
        <v>440</v>
      </c>
      <c r="AL26" s="250" cm="1">
        <f t="array" ref="AL26">IFERROR(_xlfn.STDEV.P(IF(Table14[[#This Row],[Website Area (Acres)]:[PEZ Other Source (Acre)]]&lt;&gt;0, Table14[[#This Row],[Website Area (Acres)]:[PEZ Other Source (Acre)]], ""))/AVERAGE(IF(Table14[[#This Row],[Website Area (Acres)]:[PEZ Other Source (Acre)]]&lt;&gt;0, Table14[[#This Row],[Website Area (Acres)]:[PEZ Other Source (Acre)]], "")), "")</f>
        <v>0</v>
      </c>
      <c r="AM26" s="70" t="s">
        <v>418</v>
      </c>
      <c r="AN26" s="70"/>
      <c r="AO26" s="70" t="s">
        <v>889</v>
      </c>
      <c r="AP26" s="148">
        <v>506</v>
      </c>
      <c r="AQ26" s="148">
        <v>509.64</v>
      </c>
      <c r="AR26" s="70" t="s">
        <v>464</v>
      </c>
      <c r="AS26" s="70" t="s">
        <v>444</v>
      </c>
      <c r="AT26" s="71"/>
      <c r="AU26" s="71"/>
      <c r="AV26" s="71"/>
      <c r="AW26" s="71"/>
      <c r="AX26" s="71"/>
      <c r="AY26" s="71"/>
      <c r="AZ26" s="71"/>
      <c r="BA26" s="71"/>
      <c r="BB26" s="70"/>
      <c r="BC26" s="75"/>
      <c r="BD26" s="70"/>
      <c r="BE26" s="70"/>
      <c r="BF26" s="70"/>
      <c r="BG26" s="70"/>
      <c r="BH26" s="70"/>
      <c r="BI26" s="70"/>
      <c r="BJ26" s="70"/>
      <c r="BK26" s="70"/>
      <c r="BL26" s="70"/>
      <c r="BM26" s="71"/>
      <c r="BN26" s="71"/>
      <c r="BO26" s="71"/>
      <c r="BP26" s="71"/>
      <c r="BQ26" s="71"/>
      <c r="BR26" s="71"/>
      <c r="BS26" s="71"/>
      <c r="BT26" s="71"/>
      <c r="BU26" s="71"/>
      <c r="BV26" s="71"/>
      <c r="BW26" s="71"/>
      <c r="BX26" s="71"/>
      <c r="BY26" s="71"/>
      <c r="BZ26" s="71"/>
      <c r="CA26" s="71"/>
      <c r="CB26" s="71"/>
    </row>
    <row r="27" spans="2:80" ht="40" customHeight="1" x14ac:dyDescent="0.35">
      <c r="B27" s="70">
        <v>24</v>
      </c>
      <c r="C27" s="71" t="s">
        <v>172</v>
      </c>
      <c r="D27" s="70" t="s">
        <v>121</v>
      </c>
      <c r="E27" s="70" t="s">
        <v>173</v>
      </c>
      <c r="F27" s="70" t="s">
        <v>174</v>
      </c>
      <c r="G27" s="70" t="s">
        <v>70</v>
      </c>
      <c r="H27" s="70" t="s">
        <v>430</v>
      </c>
      <c r="I27" s="70" t="s">
        <v>440</v>
      </c>
      <c r="J27" s="70" t="s">
        <v>443</v>
      </c>
      <c r="K27" s="70" t="s">
        <v>417</v>
      </c>
      <c r="L27" s="70"/>
      <c r="M27" s="70"/>
      <c r="N27" s="63"/>
      <c r="O27" s="63"/>
      <c r="P27" s="63"/>
      <c r="Q27" s="70"/>
      <c r="R27" s="96"/>
      <c r="S27" s="70"/>
      <c r="T27" s="63"/>
      <c r="U27" s="70"/>
      <c r="V27" s="96"/>
      <c r="W27" s="70"/>
      <c r="X27" s="63"/>
      <c r="Y27" s="63" t="str">
        <f>IF(AND(Table14[[#This Row],[Pre-Feasibility]]=0,Table14[[#This Row],[Pre-Feasibility 2]]=0, Table14[[#This Row],[Feasibility]]=0, Table14[[#This Row],[Feasibility 2]]=0), "No", "Yes")</f>
        <v>No</v>
      </c>
      <c r="Z27" s="63" t="s">
        <v>440</v>
      </c>
      <c r="AA27" s="63" t="s">
        <v>440</v>
      </c>
      <c r="AB27" s="70"/>
      <c r="AC27" s="70"/>
      <c r="AD27" s="70"/>
      <c r="AE27" s="70" t="s">
        <v>180</v>
      </c>
      <c r="AF27" s="70"/>
      <c r="AG27" s="70" t="s">
        <v>180</v>
      </c>
      <c r="AH27" s="70" t="s">
        <v>180</v>
      </c>
      <c r="AI27" s="70" t="s">
        <v>440</v>
      </c>
      <c r="AJ27" s="70" t="s">
        <v>440</v>
      </c>
      <c r="AK27" s="70" t="s">
        <v>440</v>
      </c>
      <c r="AL27" s="250" t="str" cm="1">
        <f t="array" ref="AL27">IFERROR(_xlfn.STDEV.P(IF(Table14[[#This Row],[Website Area (Acres)]:[PEZ Other Source (Acre)]]&lt;&gt;0, Table14[[#This Row],[Website Area (Acres)]:[PEZ Other Source (Acre)]], ""))/AVERAGE(IF(Table14[[#This Row],[Website Area (Acres)]:[PEZ Other Source (Acre)]]&lt;&gt;0, Table14[[#This Row],[Website Area (Acres)]:[PEZ Other Source (Acre)]], "")), "")</f>
        <v/>
      </c>
      <c r="AM27" s="70" t="s">
        <v>837</v>
      </c>
      <c r="AN27" s="70" t="s">
        <v>887</v>
      </c>
      <c r="AO27" s="70" t="s">
        <v>890</v>
      </c>
      <c r="AP27" s="148">
        <v>211.6</v>
      </c>
      <c r="AQ27" s="148">
        <v>211.64</v>
      </c>
      <c r="AR27" s="70" t="s">
        <v>455</v>
      </c>
      <c r="AS27" s="70" t="s">
        <v>444</v>
      </c>
      <c r="AT27" s="71"/>
      <c r="AU27" s="71"/>
      <c r="AV27" s="71"/>
      <c r="AW27" s="71"/>
      <c r="AX27" s="71"/>
      <c r="AY27" s="71"/>
      <c r="AZ27" s="71"/>
      <c r="BA27" s="71"/>
      <c r="BB27" s="70"/>
      <c r="BC27" s="75"/>
      <c r="BD27" s="70"/>
      <c r="BE27" s="70"/>
      <c r="BF27" s="70"/>
      <c r="BG27" s="70"/>
      <c r="BH27" s="70"/>
      <c r="BI27" s="70"/>
      <c r="BJ27" s="70"/>
      <c r="BK27" s="70"/>
      <c r="BL27" s="70"/>
      <c r="BM27" s="71"/>
      <c r="BN27" s="71"/>
      <c r="BO27" s="71"/>
      <c r="BP27" s="71"/>
      <c r="BQ27" s="71"/>
      <c r="BR27" s="71"/>
      <c r="BS27" s="71"/>
      <c r="BT27" s="71"/>
      <c r="BU27" s="71"/>
      <c r="BV27" s="71"/>
      <c r="BW27" s="71"/>
      <c r="BX27" s="71"/>
      <c r="BY27" s="71"/>
      <c r="BZ27" s="71"/>
      <c r="CA27" s="71"/>
      <c r="CB27" s="71"/>
    </row>
    <row r="28" spans="2:80" ht="40" customHeight="1" x14ac:dyDescent="0.35">
      <c r="B28" s="70">
        <v>25</v>
      </c>
      <c r="C28" s="71" t="s">
        <v>204</v>
      </c>
      <c r="D28" s="70" t="s">
        <v>76</v>
      </c>
      <c r="E28" s="70" t="s">
        <v>205</v>
      </c>
      <c r="F28" s="70" t="s">
        <v>206</v>
      </c>
      <c r="G28" s="70" t="s">
        <v>70</v>
      </c>
      <c r="H28" s="70" t="s">
        <v>431</v>
      </c>
      <c r="I28" s="70" t="s">
        <v>440</v>
      </c>
      <c r="J28" s="70" t="s">
        <v>436</v>
      </c>
      <c r="K28" s="70" t="s">
        <v>417</v>
      </c>
      <c r="L28" s="70"/>
      <c r="M28" s="139" t="s">
        <v>417</v>
      </c>
      <c r="N28" s="63">
        <v>2016</v>
      </c>
      <c r="O28" s="63"/>
      <c r="P28" s="63"/>
      <c r="Q28" s="70"/>
      <c r="R28" s="96"/>
      <c r="S28" s="70"/>
      <c r="T28" s="63"/>
      <c r="U28" s="70"/>
      <c r="V28" s="96"/>
      <c r="W28" s="70"/>
      <c r="X28" s="63"/>
      <c r="Y28" s="63" t="str">
        <f>IF(AND(Table14[[#This Row],[Pre-Feasibility]]=0,Table14[[#This Row],[Pre-Feasibility 2]]=0, Table14[[#This Row],[Feasibility]]=0, Table14[[#This Row],[Feasibility 2]]=0), "No", "Yes")</f>
        <v>No</v>
      </c>
      <c r="Z28" s="63" t="s">
        <v>440</v>
      </c>
      <c r="AA28" s="63" t="s">
        <v>440</v>
      </c>
      <c r="AB28" s="70"/>
      <c r="AC28" s="70" t="s">
        <v>864</v>
      </c>
      <c r="AD28" s="70"/>
      <c r="AE28" s="70">
        <v>113.54</v>
      </c>
      <c r="AF28" s="70"/>
      <c r="AG28" s="70" t="s">
        <v>180</v>
      </c>
      <c r="AH28" s="70" t="s">
        <v>180</v>
      </c>
      <c r="AI28" s="70" t="s">
        <v>440</v>
      </c>
      <c r="AJ28" s="70" t="s">
        <v>440</v>
      </c>
      <c r="AK28" s="70" t="s">
        <v>440</v>
      </c>
      <c r="AL28" s="250" cm="1">
        <f t="array" ref="AL28">IFERROR(_xlfn.STDEV.P(IF(Table14[[#This Row],[Website Area (Acres)]:[PEZ Other Source (Acre)]]&lt;&gt;0, Table14[[#This Row],[Website Area (Acres)]:[PEZ Other Source (Acre)]], ""))/AVERAGE(IF(Table14[[#This Row],[Website Area (Acres)]:[PEZ Other Source (Acre)]]&lt;&gt;0, Table14[[#This Row],[Website Area (Acres)]:[PEZ Other Source (Acre)]], "")), "")</f>
        <v>0</v>
      </c>
      <c r="AM28" s="70" t="s">
        <v>418</v>
      </c>
      <c r="AN28" s="70"/>
      <c r="AO28" s="70" t="s">
        <v>891</v>
      </c>
      <c r="AP28" s="148">
        <v>1125</v>
      </c>
      <c r="AQ28" s="148">
        <v>1125</v>
      </c>
      <c r="AR28" s="70" t="s">
        <v>445</v>
      </c>
      <c r="AS28" s="70" t="s">
        <v>444</v>
      </c>
      <c r="AT28" s="71"/>
      <c r="AU28" s="71"/>
      <c r="AV28" s="71"/>
      <c r="AW28" s="71"/>
      <c r="AX28" s="71"/>
      <c r="AY28" s="71"/>
      <c r="AZ28" s="71"/>
      <c r="BA28" s="71"/>
      <c r="BB28" s="70"/>
      <c r="BC28" s="75"/>
      <c r="BD28" s="70"/>
      <c r="BE28" s="70"/>
      <c r="BF28" s="70"/>
      <c r="BG28" s="70"/>
      <c r="BH28" s="70"/>
      <c r="BI28" s="70"/>
      <c r="BJ28" s="70"/>
      <c r="BK28" s="70"/>
      <c r="BL28" s="70"/>
      <c r="BM28" s="71"/>
      <c r="BN28" s="71"/>
      <c r="BO28" s="71"/>
      <c r="BP28" s="71"/>
      <c r="BQ28" s="71"/>
      <c r="BR28" s="71"/>
      <c r="BS28" s="71"/>
      <c r="BT28" s="71"/>
      <c r="BU28" s="71"/>
      <c r="BV28" s="71"/>
      <c r="BW28" s="71"/>
      <c r="BX28" s="71"/>
      <c r="BY28" s="71"/>
      <c r="BZ28" s="71"/>
      <c r="CA28" s="71"/>
      <c r="CB28" s="71"/>
    </row>
    <row r="29" spans="2:80" ht="40" customHeight="1" x14ac:dyDescent="0.35">
      <c r="B29" s="70">
        <v>26</v>
      </c>
      <c r="C29" s="71" t="s">
        <v>892</v>
      </c>
      <c r="D29" s="70" t="s">
        <v>76</v>
      </c>
      <c r="E29" s="70" t="s">
        <v>124</v>
      </c>
      <c r="F29" s="70" t="s">
        <v>125</v>
      </c>
      <c r="G29" s="70" t="s">
        <v>70</v>
      </c>
      <c r="H29" s="70" t="s">
        <v>422</v>
      </c>
      <c r="I29" s="70" t="s">
        <v>440</v>
      </c>
      <c r="J29" s="70" t="s">
        <v>436</v>
      </c>
      <c r="K29" s="70" t="s">
        <v>417</v>
      </c>
      <c r="L29" s="70"/>
      <c r="M29" s="70"/>
      <c r="N29" s="63"/>
      <c r="O29" s="135" t="s">
        <v>417</v>
      </c>
      <c r="P29" s="63">
        <v>2015</v>
      </c>
      <c r="Q29" s="79" t="s">
        <v>417</v>
      </c>
      <c r="R29" s="96">
        <v>2021</v>
      </c>
      <c r="S29" s="70"/>
      <c r="T29" s="63"/>
      <c r="U29" s="70"/>
      <c r="V29" s="96"/>
      <c r="W29" s="70"/>
      <c r="X29" s="63"/>
      <c r="Y29" s="63" t="str">
        <f>IF(AND(Table14[[#This Row],[Pre-Feasibility]]=0,Table14[[#This Row],[Pre-Feasibility 2]]=0, Table14[[#This Row],[Feasibility]]=0, Table14[[#This Row],[Feasibility 2]]=0), "No", "Yes")</f>
        <v>Yes</v>
      </c>
      <c r="Z29" s="63" t="s">
        <v>440</v>
      </c>
      <c r="AA29" s="63" t="s">
        <v>440</v>
      </c>
      <c r="AB29" s="70"/>
      <c r="AC29" s="70" t="s">
        <v>824</v>
      </c>
      <c r="AD29" s="70">
        <v>300</v>
      </c>
      <c r="AE29" s="70" t="s">
        <v>180</v>
      </c>
      <c r="AF29" s="70">
        <v>303.47000000000003</v>
      </c>
      <c r="AG29" s="70">
        <v>320.37</v>
      </c>
      <c r="AH29" s="70" t="s">
        <v>180</v>
      </c>
      <c r="AI29" s="70" t="s">
        <v>440</v>
      </c>
      <c r="AJ29" s="70" t="s">
        <v>440</v>
      </c>
      <c r="AK29" s="70" t="s">
        <v>440</v>
      </c>
      <c r="AL29" s="250" cm="1">
        <f t="array" ref="AL29">IFERROR(_xlfn.STDEV.P(IF(Table14[[#This Row],[Website Area (Acres)]:[PEZ Other Source (Acre)]]&lt;&gt;0, Table14[[#This Row],[Website Area (Acres)]:[PEZ Other Source (Acre)]], ""))/AVERAGE(IF(Table14[[#This Row],[Website Area (Acres)]:[PEZ Other Source (Acre)]]&lt;&gt;0, Table14[[#This Row],[Website Area (Acres)]:[PEZ Other Source (Acre)]], "")), "")</f>
        <v>2.8894982057607304E-2</v>
      </c>
      <c r="AM29" s="70" t="s">
        <v>417</v>
      </c>
      <c r="AN29" s="70"/>
      <c r="AO29" s="70" t="s">
        <v>893</v>
      </c>
      <c r="AP29" s="148">
        <v>320.37</v>
      </c>
      <c r="AQ29" s="148">
        <v>320.37</v>
      </c>
      <c r="AR29" s="70" t="s">
        <v>454</v>
      </c>
      <c r="AS29" s="70" t="s">
        <v>435</v>
      </c>
      <c r="AT29" s="71"/>
      <c r="AU29" s="71">
        <v>1</v>
      </c>
      <c r="AV29" s="71">
        <v>226.68</v>
      </c>
      <c r="AW29" s="71"/>
      <c r="AX29" s="71">
        <f>38.62+1.11</f>
        <v>39.729999999999997</v>
      </c>
      <c r="AY29" s="71">
        <v>13.55</v>
      </c>
      <c r="AZ29" s="71">
        <v>8.3699999999999992</v>
      </c>
      <c r="BA29" s="71">
        <v>32.04</v>
      </c>
      <c r="BB29" s="70"/>
      <c r="BC29" s="74">
        <f>SUM(AV29:BB29)</f>
        <v>320.37000000000006</v>
      </c>
      <c r="BD29" s="70" t="s">
        <v>826</v>
      </c>
      <c r="BE29" s="70" t="s">
        <v>847</v>
      </c>
      <c r="BF29" s="70" t="s">
        <v>840</v>
      </c>
      <c r="BG29" s="70" t="s">
        <v>848</v>
      </c>
      <c r="BH29" s="70" t="s">
        <v>849</v>
      </c>
      <c r="BI29" s="70" t="s">
        <v>841</v>
      </c>
      <c r="BJ29" s="70" t="s">
        <v>839</v>
      </c>
      <c r="BK29" s="70"/>
      <c r="BL29" s="70"/>
      <c r="BM29" s="71"/>
      <c r="BN29" s="71"/>
      <c r="BO29" s="71" t="s">
        <v>894</v>
      </c>
      <c r="BP29" s="71" t="s">
        <v>895</v>
      </c>
      <c r="BQ29" s="71" t="s">
        <v>896</v>
      </c>
      <c r="BR29" s="71" t="s">
        <v>897</v>
      </c>
      <c r="BS29" s="88">
        <v>38</v>
      </c>
      <c r="BT29" s="88">
        <v>12000</v>
      </c>
      <c r="BU29" s="88">
        <v>15500</v>
      </c>
      <c r="BV29" s="88">
        <v>1000</v>
      </c>
      <c r="BW29" s="71"/>
      <c r="BX29" s="71"/>
      <c r="BY29" s="71"/>
      <c r="BZ29" s="71"/>
      <c r="CA29" s="71"/>
      <c r="CB29" s="71"/>
    </row>
    <row r="30" spans="2:80" ht="40" customHeight="1" x14ac:dyDescent="0.35">
      <c r="B30" s="70">
        <v>27</v>
      </c>
      <c r="C30" s="72" t="s">
        <v>17</v>
      </c>
      <c r="D30" s="70" t="s">
        <v>68</v>
      </c>
      <c r="E30" s="70" t="s">
        <v>68</v>
      </c>
      <c r="F30" s="70" t="s">
        <v>71</v>
      </c>
      <c r="G30" s="70" t="s">
        <v>70</v>
      </c>
      <c r="H30" s="70" t="s">
        <v>410</v>
      </c>
      <c r="I30" s="70" t="s">
        <v>440</v>
      </c>
      <c r="J30" s="70" t="s">
        <v>415</v>
      </c>
      <c r="K30" s="70" t="s">
        <v>417</v>
      </c>
      <c r="L30" s="109" t="s">
        <v>643</v>
      </c>
      <c r="M30" s="139" t="s">
        <v>417</v>
      </c>
      <c r="N30" s="63">
        <v>2022</v>
      </c>
      <c r="O30" s="63"/>
      <c r="P30" s="63"/>
      <c r="Q30" s="79"/>
      <c r="R30" s="96"/>
      <c r="S30" s="79" t="s">
        <v>417</v>
      </c>
      <c r="T30" s="63">
        <v>2016</v>
      </c>
      <c r="U30" s="79" t="s">
        <v>417</v>
      </c>
      <c r="V30" s="96">
        <v>2014</v>
      </c>
      <c r="W30" s="79" t="s">
        <v>417</v>
      </c>
      <c r="X30" s="63">
        <v>2014</v>
      </c>
      <c r="Y30" s="63" t="str">
        <f>IF(AND(Table14[[#This Row],[Pre-Feasibility]]=0,Table14[[#This Row],[Pre-Feasibility 2]]=0, Table14[[#This Row],[Feasibility]]=0, Table14[[#This Row],[Feasibility 2]]=0), "No", "Yes")</f>
        <v>Yes</v>
      </c>
      <c r="Z30" s="63" t="s">
        <v>440</v>
      </c>
      <c r="AA30" s="63" t="s">
        <v>440</v>
      </c>
      <c r="AB30" s="79"/>
      <c r="AC30" s="70" t="s">
        <v>871</v>
      </c>
      <c r="AD30" s="70">
        <v>13117.78</v>
      </c>
      <c r="AE30" s="70" t="s">
        <v>440</v>
      </c>
      <c r="AF30" s="70"/>
      <c r="AG30" s="70" t="s">
        <v>180</v>
      </c>
      <c r="AH30" s="70">
        <v>7195.3</v>
      </c>
      <c r="AI30" s="70" t="s">
        <v>440</v>
      </c>
      <c r="AJ30" s="70" t="s">
        <v>440</v>
      </c>
      <c r="AK30" s="70" t="s">
        <v>440</v>
      </c>
      <c r="AL30" s="250" cm="1">
        <f t="array" ref="AL30">IFERROR(_xlfn.STDEV.P(IF(Table14[[#This Row],[Website Area (Acres)]:[PEZ Other Source (Acre)]]&lt;&gt;0, Table14[[#This Row],[Website Area (Acres)]:[PEZ Other Source (Acre)]], ""))/AVERAGE(IF(Table14[[#This Row],[Website Area (Acres)]:[PEZ Other Source (Acre)]]&lt;&gt;0, Table14[[#This Row],[Website Area (Acres)]:[PEZ Other Source (Acre)]], "")), "")</f>
        <v>0.29155992099671724</v>
      </c>
      <c r="AM30" s="70" t="s">
        <v>417</v>
      </c>
      <c r="AN30" s="70"/>
      <c r="AO30" s="70" t="s">
        <v>898</v>
      </c>
      <c r="AP30" s="148">
        <v>11005</v>
      </c>
      <c r="AQ30" s="148">
        <v>11004.665000000001</v>
      </c>
      <c r="AR30" s="70" t="s">
        <v>411</v>
      </c>
      <c r="AS30" s="70" t="s">
        <v>412</v>
      </c>
      <c r="AT30" s="71"/>
      <c r="AU30" s="71">
        <v>2.4700000000000002</v>
      </c>
      <c r="AV30" s="71">
        <v>3110.31</v>
      </c>
      <c r="AW30" s="71"/>
      <c r="AX30" s="71">
        <f>160.27+7.33+379.8</f>
        <v>547.40000000000009</v>
      </c>
      <c r="AY30" s="71"/>
      <c r="AZ30" s="71"/>
      <c r="BA30" s="71">
        <v>365.67</v>
      </c>
      <c r="BB30" s="70"/>
      <c r="BC30" s="74">
        <v>7195.3</v>
      </c>
      <c r="BD30" s="70" t="s">
        <v>865</v>
      </c>
      <c r="BE30" s="70" t="s">
        <v>866</v>
      </c>
      <c r="BF30" s="70" t="s">
        <v>874</v>
      </c>
      <c r="BG30" s="70" t="s">
        <v>847</v>
      </c>
      <c r="BH30" s="70" t="s">
        <v>899</v>
      </c>
      <c r="BI30" s="70" t="s">
        <v>830</v>
      </c>
      <c r="BJ30" s="70" t="s">
        <v>854</v>
      </c>
      <c r="BK30" s="70" t="s">
        <v>900</v>
      </c>
      <c r="BL30" s="70"/>
      <c r="BM30" s="71"/>
      <c r="BN30" s="71"/>
      <c r="BO30" s="71" t="s">
        <v>901</v>
      </c>
      <c r="BP30" s="71" t="s">
        <v>902</v>
      </c>
      <c r="BQ30" s="71" t="s">
        <v>903</v>
      </c>
      <c r="BR30" s="71"/>
      <c r="BS30" s="88">
        <v>600</v>
      </c>
      <c r="BT30" s="88">
        <v>280000</v>
      </c>
      <c r="BU30" s="88"/>
      <c r="BV30" s="88">
        <v>224000</v>
      </c>
      <c r="BW30" s="71" t="s">
        <v>904</v>
      </c>
      <c r="BX30" s="71"/>
      <c r="BY30" s="71"/>
      <c r="BZ30" s="71"/>
      <c r="CA30" s="71"/>
      <c r="CB30" s="71"/>
    </row>
    <row r="31" spans="2:80" ht="40" customHeight="1" x14ac:dyDescent="0.35">
      <c r="B31" s="70">
        <v>28</v>
      </c>
      <c r="C31" s="71" t="s">
        <v>56</v>
      </c>
      <c r="D31" s="70" t="s">
        <v>68</v>
      </c>
      <c r="E31" s="70" t="s">
        <v>74</v>
      </c>
      <c r="F31" s="70" t="s">
        <v>88</v>
      </c>
      <c r="G31" s="70" t="s">
        <v>70</v>
      </c>
      <c r="H31" s="70" t="s">
        <v>422</v>
      </c>
      <c r="I31" s="70" t="s">
        <v>440</v>
      </c>
      <c r="J31" s="70" t="s">
        <v>436</v>
      </c>
      <c r="K31" s="70" t="s">
        <v>417</v>
      </c>
      <c r="L31" s="70"/>
      <c r="M31" s="70"/>
      <c r="N31" s="63"/>
      <c r="O31" s="63"/>
      <c r="P31" s="63"/>
      <c r="Q31" s="79" t="s">
        <v>417</v>
      </c>
      <c r="R31" s="96">
        <v>2019</v>
      </c>
      <c r="S31" s="70"/>
      <c r="T31" s="63"/>
      <c r="U31" s="70"/>
      <c r="V31" s="96"/>
      <c r="W31" s="70"/>
      <c r="X31" s="63"/>
      <c r="Y31" s="63" t="str">
        <f>IF(AND(Table14[[#This Row],[Pre-Feasibility]]=0,Table14[[#This Row],[Pre-Feasibility 2]]=0, Table14[[#This Row],[Feasibility]]=0, Table14[[#This Row],[Feasibility 2]]=0), "No", "Yes")</f>
        <v>Yes</v>
      </c>
      <c r="Z31" s="63" t="s">
        <v>440</v>
      </c>
      <c r="AA31" s="63" t="s">
        <v>440</v>
      </c>
      <c r="AB31" s="70"/>
      <c r="AC31" s="70" t="s">
        <v>824</v>
      </c>
      <c r="AD31" s="70">
        <v>1438.52</v>
      </c>
      <c r="AE31" s="70" t="s">
        <v>180</v>
      </c>
      <c r="AF31" s="70"/>
      <c r="AG31" s="70">
        <v>2847</v>
      </c>
      <c r="AH31" s="70" t="s">
        <v>180</v>
      </c>
      <c r="AI31" s="70" t="s">
        <v>440</v>
      </c>
      <c r="AJ31" s="70" t="s">
        <v>440</v>
      </c>
      <c r="AK31" s="70" t="s">
        <v>440</v>
      </c>
      <c r="AL31" s="250" cm="1">
        <f t="array" ref="AL31">IFERROR(_xlfn.STDEV.P(IF(Table14[[#This Row],[Website Area (Acres)]:[PEZ Other Source (Acre)]]&lt;&gt;0, Table14[[#This Row],[Website Area (Acres)]:[PEZ Other Source (Acre)]], ""))/AVERAGE(IF(Table14[[#This Row],[Website Area (Acres)]:[PEZ Other Source (Acre)]]&lt;&gt;0, Table14[[#This Row],[Website Area (Acres)]:[PEZ Other Source (Acre)]], "")), "")</f>
        <v>0.32866023259721067</v>
      </c>
      <c r="AM31" s="70" t="s">
        <v>417</v>
      </c>
      <c r="AN31" s="70"/>
      <c r="AO31" s="70">
        <v>1438.52</v>
      </c>
      <c r="AP31" s="148">
        <v>1438.52</v>
      </c>
      <c r="AQ31" s="148">
        <v>1438.52</v>
      </c>
      <c r="AR31" s="70" t="s">
        <v>453</v>
      </c>
      <c r="AS31" s="70" t="s">
        <v>444</v>
      </c>
      <c r="AT31" s="71"/>
      <c r="AU31" s="71">
        <v>1</v>
      </c>
      <c r="AV31" s="90">
        <v>2047.11</v>
      </c>
      <c r="AW31" s="71"/>
      <c r="AX31" s="71">
        <f>286.74</f>
        <v>286.74</v>
      </c>
      <c r="AY31" s="71">
        <v>35.1</v>
      </c>
      <c r="AZ31" s="71">
        <v>54.78</v>
      </c>
      <c r="BA31" s="71">
        <v>321.58999999999997</v>
      </c>
      <c r="BB31" s="70">
        <f>69.38+31.91</f>
        <v>101.28999999999999</v>
      </c>
      <c r="BC31" s="74">
        <f>SUM(AV31:BB31)</f>
        <v>2846.61</v>
      </c>
      <c r="BD31" s="70" t="s">
        <v>847</v>
      </c>
      <c r="BE31" s="70" t="s">
        <v>829</v>
      </c>
      <c r="BF31" s="70" t="s">
        <v>848</v>
      </c>
      <c r="BG31" s="70" t="s">
        <v>849</v>
      </c>
      <c r="BH31" s="70" t="s">
        <v>839</v>
      </c>
      <c r="BI31" s="70" t="s">
        <v>857</v>
      </c>
      <c r="BJ31" s="70" t="s">
        <v>873</v>
      </c>
      <c r="BK31" s="70" t="s">
        <v>858</v>
      </c>
      <c r="BL31" s="70"/>
      <c r="BM31" s="71"/>
      <c r="BN31" s="71"/>
      <c r="BO31" s="71" t="s">
        <v>905</v>
      </c>
      <c r="BP31" s="71" t="s">
        <v>906</v>
      </c>
      <c r="BQ31" s="71" t="s">
        <v>907</v>
      </c>
      <c r="BR31" s="71"/>
      <c r="BS31" s="88">
        <v>358.63</v>
      </c>
      <c r="BT31" s="88">
        <v>73000</v>
      </c>
      <c r="BU31" s="71"/>
      <c r="BV31" s="88">
        <v>47963.27</v>
      </c>
      <c r="BW31" s="71"/>
      <c r="BX31" s="71"/>
      <c r="BY31" s="71"/>
      <c r="BZ31" s="71"/>
      <c r="CA31" s="71"/>
      <c r="CB31" s="71"/>
    </row>
    <row r="32" spans="2:80" ht="40" customHeight="1" x14ac:dyDescent="0.35">
      <c r="B32" s="70">
        <v>29</v>
      </c>
      <c r="C32" s="71" t="s">
        <v>215</v>
      </c>
      <c r="D32" s="70" t="s">
        <v>68</v>
      </c>
      <c r="E32" s="70" t="s">
        <v>74</v>
      </c>
      <c r="F32" s="70" t="s">
        <v>88</v>
      </c>
      <c r="G32" s="70" t="s">
        <v>70</v>
      </c>
      <c r="H32" s="70" t="s">
        <v>430</v>
      </c>
      <c r="I32" s="70" t="s">
        <v>440</v>
      </c>
      <c r="J32" s="70" t="s">
        <v>436</v>
      </c>
      <c r="K32" s="70" t="s">
        <v>417</v>
      </c>
      <c r="L32" s="70"/>
      <c r="M32" s="70"/>
      <c r="N32" s="63"/>
      <c r="O32" s="63"/>
      <c r="P32" s="63"/>
      <c r="Q32" s="70"/>
      <c r="R32" s="96"/>
      <c r="S32" s="70"/>
      <c r="T32" s="63"/>
      <c r="U32" s="70"/>
      <c r="V32" s="96"/>
      <c r="W32" s="70"/>
      <c r="X32" s="63"/>
      <c r="Y32" s="63" t="str">
        <f>IF(AND(Table14[[#This Row],[Pre-Feasibility]]=0,Table14[[#This Row],[Pre-Feasibility 2]]=0, Table14[[#This Row],[Feasibility]]=0, Table14[[#This Row],[Feasibility 2]]=0), "No", "Yes")</f>
        <v>No</v>
      </c>
      <c r="Z32" s="63" t="s">
        <v>440</v>
      </c>
      <c r="AA32" s="63" t="s">
        <v>440</v>
      </c>
      <c r="AB32" s="70"/>
      <c r="AC32" s="70"/>
      <c r="AD32" s="70">
        <v>827.31</v>
      </c>
      <c r="AE32" s="70" t="s">
        <v>180</v>
      </c>
      <c r="AF32" s="70"/>
      <c r="AG32" s="70" t="s">
        <v>180</v>
      </c>
      <c r="AH32" s="70" t="s">
        <v>180</v>
      </c>
      <c r="AI32" s="70" t="s">
        <v>440</v>
      </c>
      <c r="AJ32" s="70" t="s">
        <v>440</v>
      </c>
      <c r="AK32" s="70" t="s">
        <v>440</v>
      </c>
      <c r="AL32" s="250" cm="1">
        <f t="array" ref="AL32">IFERROR(_xlfn.STDEV.P(IF(Table14[[#This Row],[Website Area (Acres)]:[PEZ Other Source (Acre)]]&lt;&gt;0, Table14[[#This Row],[Website Area (Acres)]:[PEZ Other Source (Acre)]], ""))/AVERAGE(IF(Table14[[#This Row],[Website Area (Acres)]:[PEZ Other Source (Acre)]]&lt;&gt;0, Table14[[#This Row],[Website Area (Acres)]:[PEZ Other Source (Acre)]], "")), "")</f>
        <v>0</v>
      </c>
      <c r="AM32" s="70" t="s">
        <v>418</v>
      </c>
      <c r="AN32" s="70"/>
      <c r="AO32" s="70"/>
      <c r="AP32" s="148">
        <v>827.3</v>
      </c>
      <c r="AQ32" s="148">
        <v>827.31</v>
      </c>
      <c r="AR32" s="70" t="s">
        <v>453</v>
      </c>
      <c r="AS32" s="70" t="s">
        <v>444</v>
      </c>
      <c r="AT32" s="71"/>
      <c r="AU32" s="71"/>
      <c r="AV32" s="71"/>
      <c r="AW32" s="71"/>
      <c r="AX32" s="71"/>
      <c r="AY32" s="71"/>
      <c r="AZ32" s="71"/>
      <c r="BA32" s="71"/>
      <c r="BB32" s="70"/>
      <c r="BC32" s="75"/>
      <c r="BD32" s="70"/>
      <c r="BE32" s="70"/>
      <c r="BF32" s="70"/>
      <c r="BG32" s="70"/>
      <c r="BH32" s="70"/>
      <c r="BI32" s="70"/>
      <c r="BJ32" s="70"/>
      <c r="BK32" s="70"/>
      <c r="BL32" s="70"/>
      <c r="BM32" s="71"/>
      <c r="BN32" s="71"/>
      <c r="BO32" s="71"/>
      <c r="BP32" s="71"/>
      <c r="BQ32" s="71"/>
      <c r="BR32" s="71"/>
      <c r="BS32" s="71"/>
      <c r="BT32" s="71"/>
      <c r="BU32" s="71"/>
      <c r="BV32" s="71"/>
      <c r="BW32" s="71"/>
      <c r="BX32" s="71"/>
      <c r="BY32" s="71"/>
      <c r="BZ32" s="71"/>
      <c r="CA32" s="71"/>
      <c r="CB32" s="71"/>
    </row>
    <row r="33" spans="2:80" ht="40" customHeight="1" x14ac:dyDescent="0.35">
      <c r="B33" s="70">
        <v>30</v>
      </c>
      <c r="C33" s="71" t="s">
        <v>27</v>
      </c>
      <c r="D33" s="70" t="s">
        <v>68</v>
      </c>
      <c r="E33" s="70" t="s">
        <v>74</v>
      </c>
      <c r="F33" s="70" t="s">
        <v>88</v>
      </c>
      <c r="G33" s="70" t="s">
        <v>70</v>
      </c>
      <c r="H33" s="70" t="s">
        <v>422</v>
      </c>
      <c r="I33" s="70" t="s">
        <v>440</v>
      </c>
      <c r="J33" s="70" t="s">
        <v>415</v>
      </c>
      <c r="K33" s="70" t="s">
        <v>417</v>
      </c>
      <c r="L33" s="109" t="s">
        <v>643</v>
      </c>
      <c r="M33" s="70"/>
      <c r="N33" s="63"/>
      <c r="O33" s="63"/>
      <c r="P33" s="63"/>
      <c r="Q33" s="70"/>
      <c r="R33" s="96"/>
      <c r="S33" s="79"/>
      <c r="T33" s="63"/>
      <c r="U33" s="79" t="s">
        <v>417</v>
      </c>
      <c r="V33" s="96">
        <v>2022</v>
      </c>
      <c r="W33" s="79"/>
      <c r="X33" s="63"/>
      <c r="Y33" s="63" t="str">
        <f>IF(AND(Table14[[#This Row],[Pre-Feasibility]]=0,Table14[[#This Row],[Pre-Feasibility 2]]=0, Table14[[#This Row],[Feasibility]]=0, Table14[[#This Row],[Feasibility 2]]=0), "No", "Yes")</f>
        <v>Yes</v>
      </c>
      <c r="Z33" s="63" t="s">
        <v>440</v>
      </c>
      <c r="AA33" s="63" t="s">
        <v>440</v>
      </c>
      <c r="AB33" s="79"/>
      <c r="AC33" s="70" t="s">
        <v>824</v>
      </c>
      <c r="AD33" s="70">
        <v>1501.04</v>
      </c>
      <c r="AE33" s="70" t="s">
        <v>180</v>
      </c>
      <c r="AF33" s="70"/>
      <c r="AG33" s="70" t="s">
        <v>180</v>
      </c>
      <c r="AH33" s="70">
        <v>1240</v>
      </c>
      <c r="AI33" s="70" t="s">
        <v>440</v>
      </c>
      <c r="AJ33" s="70" t="s">
        <v>440</v>
      </c>
      <c r="AK33" s="70" t="s">
        <v>440</v>
      </c>
      <c r="AL33" s="250" cm="1">
        <f t="array" ref="AL33">IFERROR(_xlfn.STDEV.P(IF(Table14[[#This Row],[Website Area (Acres)]:[PEZ Other Source (Acre)]]&lt;&gt;0, Table14[[#This Row],[Website Area (Acres)]:[PEZ Other Source (Acre)]], ""))/AVERAGE(IF(Table14[[#This Row],[Website Area (Acres)]:[PEZ Other Source (Acre)]]&lt;&gt;0, Table14[[#This Row],[Website Area (Acres)]:[PEZ Other Source (Acre)]], "")), "")</f>
        <v>9.5233925809181899E-2</v>
      </c>
      <c r="AM33" s="70" t="s">
        <v>417</v>
      </c>
      <c r="AN33" s="70"/>
      <c r="AO33" s="70">
        <v>1240.72</v>
      </c>
      <c r="AP33" s="148">
        <v>1240.72</v>
      </c>
      <c r="AQ33" s="148">
        <v>1240.72</v>
      </c>
      <c r="AR33" s="70" t="s">
        <v>426</v>
      </c>
      <c r="AS33" s="70" t="s">
        <v>412</v>
      </c>
      <c r="AT33" s="71"/>
      <c r="AU33" s="71"/>
      <c r="AV33" s="71"/>
      <c r="AW33" s="71"/>
      <c r="AX33" s="71"/>
      <c r="AY33" s="71"/>
      <c r="AZ33" s="71"/>
      <c r="BA33" s="71"/>
      <c r="BB33" s="70"/>
      <c r="BC33" s="74">
        <v>1240</v>
      </c>
      <c r="BD33" s="70" t="s">
        <v>908</v>
      </c>
      <c r="BE33" s="70" t="s">
        <v>909</v>
      </c>
      <c r="BF33" s="70" t="s">
        <v>873</v>
      </c>
      <c r="BG33" s="70" t="s">
        <v>910</v>
      </c>
      <c r="BH33" s="70" t="s">
        <v>911</v>
      </c>
      <c r="BI33" s="70" t="s">
        <v>912</v>
      </c>
      <c r="BJ33" s="70" t="s">
        <v>913</v>
      </c>
      <c r="BK33" s="70"/>
      <c r="BL33" s="70"/>
      <c r="BM33" s="71"/>
      <c r="BN33" s="71"/>
      <c r="BO33" s="71" t="s">
        <v>914</v>
      </c>
      <c r="BP33" s="71" t="s">
        <v>915</v>
      </c>
      <c r="BQ33" s="71" t="s">
        <v>916</v>
      </c>
      <c r="BR33" s="71"/>
      <c r="BS33" s="88">
        <v>291.7</v>
      </c>
      <c r="BT33" s="88">
        <v>8594</v>
      </c>
      <c r="BU33" s="88">
        <v>2385698</v>
      </c>
      <c r="BV33" s="88"/>
      <c r="BW33" s="71"/>
      <c r="BX33" s="71"/>
      <c r="BY33" s="71"/>
      <c r="BZ33" s="71"/>
      <c r="CA33" s="71"/>
      <c r="CB33" s="71"/>
    </row>
    <row r="34" spans="2:80" ht="40" customHeight="1" x14ac:dyDescent="0.35">
      <c r="B34" s="70">
        <v>31</v>
      </c>
      <c r="C34" s="71" t="s">
        <v>216</v>
      </c>
      <c r="D34" s="70" t="s">
        <v>68</v>
      </c>
      <c r="E34" s="70" t="s">
        <v>74</v>
      </c>
      <c r="F34" s="70" t="s">
        <v>217</v>
      </c>
      <c r="G34" s="70" t="s">
        <v>70</v>
      </c>
      <c r="H34" s="70" t="s">
        <v>430</v>
      </c>
      <c r="I34" s="70" t="s">
        <v>440</v>
      </c>
      <c r="J34" s="70" t="s">
        <v>436</v>
      </c>
      <c r="K34" s="70" t="s">
        <v>417</v>
      </c>
      <c r="L34" s="70"/>
      <c r="M34" s="70"/>
      <c r="N34" s="63"/>
      <c r="O34" s="63"/>
      <c r="P34" s="63"/>
      <c r="Q34" s="70"/>
      <c r="R34" s="96"/>
      <c r="S34" s="70"/>
      <c r="T34" s="63"/>
      <c r="U34" s="70"/>
      <c r="V34" s="96"/>
      <c r="W34" s="70"/>
      <c r="X34" s="63"/>
      <c r="Y34" s="63" t="str">
        <f>IF(AND(Table14[[#This Row],[Pre-Feasibility]]=0,Table14[[#This Row],[Pre-Feasibility 2]]=0, Table14[[#This Row],[Feasibility]]=0, Table14[[#This Row],[Feasibility 2]]=0), "No", "Yes")</f>
        <v>No</v>
      </c>
      <c r="Z34" s="63" t="s">
        <v>440</v>
      </c>
      <c r="AA34" s="63" t="s">
        <v>440</v>
      </c>
      <c r="AB34" s="70"/>
      <c r="AC34" s="70"/>
      <c r="AD34" s="70">
        <v>3980.07</v>
      </c>
      <c r="AE34" s="70" t="s">
        <v>180</v>
      </c>
      <c r="AF34" s="70"/>
      <c r="AG34" s="70" t="s">
        <v>180</v>
      </c>
      <c r="AH34" s="70" t="s">
        <v>180</v>
      </c>
      <c r="AI34" s="70" t="s">
        <v>440</v>
      </c>
      <c r="AJ34" s="70" t="s">
        <v>440</v>
      </c>
      <c r="AK34" s="70" t="s">
        <v>440</v>
      </c>
      <c r="AL34" s="250" cm="1">
        <f t="array" ref="AL34">IFERROR(_xlfn.STDEV.P(IF(Table14[[#This Row],[Website Area (Acres)]:[PEZ Other Source (Acre)]]&lt;&gt;0, Table14[[#This Row],[Website Area (Acres)]:[PEZ Other Source (Acre)]], ""))/AVERAGE(IF(Table14[[#This Row],[Website Area (Acres)]:[PEZ Other Source (Acre)]]&lt;&gt;0, Table14[[#This Row],[Website Area (Acres)]:[PEZ Other Source (Acre)]], "")), "")</f>
        <v>0</v>
      </c>
      <c r="AM34" s="70" t="s">
        <v>418</v>
      </c>
      <c r="AN34" s="70"/>
      <c r="AO34" s="70"/>
      <c r="AP34" s="148">
        <v>3980.1</v>
      </c>
      <c r="AQ34" s="148">
        <v>2890.79</v>
      </c>
      <c r="AR34" s="70" t="s">
        <v>453</v>
      </c>
      <c r="AS34" s="70" t="s">
        <v>444</v>
      </c>
      <c r="AT34" s="71"/>
      <c r="AU34" s="71"/>
      <c r="AV34" s="71"/>
      <c r="AW34" s="71"/>
      <c r="AX34" s="71"/>
      <c r="AY34" s="71"/>
      <c r="AZ34" s="71"/>
      <c r="BA34" s="71"/>
      <c r="BB34" s="70"/>
      <c r="BC34" s="75"/>
      <c r="BD34" s="70"/>
      <c r="BE34" s="70"/>
      <c r="BF34" s="70"/>
      <c r="BG34" s="70"/>
      <c r="BH34" s="70"/>
      <c r="BI34" s="70"/>
      <c r="BJ34" s="70"/>
      <c r="BK34" s="70"/>
      <c r="BL34" s="70"/>
      <c r="BM34" s="71"/>
      <c r="BN34" s="71"/>
      <c r="BO34" s="71"/>
      <c r="BP34" s="71"/>
      <c r="BQ34" s="71"/>
      <c r="BR34" s="71"/>
      <c r="BS34" s="71"/>
      <c r="BT34" s="71"/>
      <c r="BU34" s="71"/>
      <c r="BV34" s="71"/>
      <c r="BW34" s="71"/>
      <c r="BX34" s="71"/>
      <c r="BY34" s="71"/>
      <c r="BZ34" s="71"/>
      <c r="CA34" s="71"/>
      <c r="CB34" s="71"/>
    </row>
    <row r="35" spans="2:80" ht="40" customHeight="1" x14ac:dyDescent="0.35">
      <c r="B35" s="70">
        <v>32</v>
      </c>
      <c r="C35" s="71" t="s">
        <v>158</v>
      </c>
      <c r="D35" s="70" t="s">
        <v>68</v>
      </c>
      <c r="E35" s="70" t="s">
        <v>74</v>
      </c>
      <c r="F35" s="70" t="s">
        <v>88</v>
      </c>
      <c r="G35" s="70" t="s">
        <v>70</v>
      </c>
      <c r="H35" s="70" t="s">
        <v>430</v>
      </c>
      <c r="I35" s="70" t="s">
        <v>440</v>
      </c>
      <c r="J35" s="70" t="s">
        <v>436</v>
      </c>
      <c r="K35" s="70" t="s">
        <v>417</v>
      </c>
      <c r="L35" s="70"/>
      <c r="M35" s="70"/>
      <c r="N35" s="63"/>
      <c r="O35" s="63"/>
      <c r="P35" s="63"/>
      <c r="Q35" s="70"/>
      <c r="R35" s="96"/>
      <c r="S35" s="70"/>
      <c r="T35" s="63"/>
      <c r="U35" s="70"/>
      <c r="V35" s="96"/>
      <c r="W35" s="70"/>
      <c r="X35" s="63"/>
      <c r="Y35" s="63" t="str">
        <f>IF(AND(Table14[[#This Row],[Pre-Feasibility]]=0,Table14[[#This Row],[Pre-Feasibility 2]]=0, Table14[[#This Row],[Feasibility]]=0, Table14[[#This Row],[Feasibility 2]]=0), "No", "Yes")</f>
        <v>No</v>
      </c>
      <c r="Z35" s="63" t="s">
        <v>440</v>
      </c>
      <c r="AA35" s="63" t="s">
        <v>440</v>
      </c>
      <c r="AB35" s="70"/>
      <c r="AC35" s="70"/>
      <c r="AD35" s="70"/>
      <c r="AE35" s="70" t="s">
        <v>180</v>
      </c>
      <c r="AF35" s="70"/>
      <c r="AG35" s="70" t="s">
        <v>180</v>
      </c>
      <c r="AH35" s="70" t="s">
        <v>180</v>
      </c>
      <c r="AI35" s="70" t="s">
        <v>440</v>
      </c>
      <c r="AJ35" s="70" t="s">
        <v>440</v>
      </c>
      <c r="AK35" s="70" t="s">
        <v>440</v>
      </c>
      <c r="AL35" s="250" t="str" cm="1">
        <f t="array" ref="AL35">IFERROR(_xlfn.STDEV.P(IF(Table14[[#This Row],[Website Area (Acres)]:[PEZ Other Source (Acre)]]&lt;&gt;0, Table14[[#This Row],[Website Area (Acres)]:[PEZ Other Source (Acre)]], ""))/AVERAGE(IF(Table14[[#This Row],[Website Area (Acres)]:[PEZ Other Source (Acre)]]&lt;&gt;0, Table14[[#This Row],[Website Area (Acres)]:[PEZ Other Source (Acre)]], "")), "")</f>
        <v/>
      </c>
      <c r="AM35" s="70" t="s">
        <v>837</v>
      </c>
      <c r="AN35" s="70" t="s">
        <v>837</v>
      </c>
      <c r="AO35" s="70" t="s">
        <v>917</v>
      </c>
      <c r="AP35" s="148">
        <v>20315.8</v>
      </c>
      <c r="AQ35" s="148">
        <v>1000</v>
      </c>
      <c r="AR35" s="70" t="s">
        <v>453</v>
      </c>
      <c r="AS35" s="70" t="s">
        <v>444</v>
      </c>
      <c r="AT35" s="71"/>
      <c r="AU35" s="71"/>
      <c r="AV35" s="71"/>
      <c r="AW35" s="71"/>
      <c r="AX35" s="71"/>
      <c r="AY35" s="71"/>
      <c r="AZ35" s="71"/>
      <c r="BA35" s="71"/>
      <c r="BB35" s="70"/>
      <c r="BC35" s="75"/>
      <c r="BD35" s="70"/>
      <c r="BE35" s="70"/>
      <c r="BF35" s="70"/>
      <c r="BG35" s="70"/>
      <c r="BH35" s="70"/>
      <c r="BI35" s="70"/>
      <c r="BJ35" s="70"/>
      <c r="BK35" s="70"/>
      <c r="BL35" s="70"/>
      <c r="BM35" s="71"/>
      <c r="BN35" s="71"/>
      <c r="BO35" s="71"/>
      <c r="BP35" s="71"/>
      <c r="BQ35" s="71"/>
      <c r="BR35" s="71"/>
      <c r="BS35" s="71"/>
      <c r="BT35" s="71"/>
      <c r="BU35" s="71"/>
      <c r="BV35" s="71"/>
      <c r="BW35" s="71"/>
      <c r="BX35" s="71"/>
      <c r="BY35" s="71"/>
      <c r="BZ35" s="71"/>
      <c r="CA35" s="71"/>
      <c r="CB35" s="71"/>
    </row>
    <row r="36" spans="2:80" ht="40" customHeight="1" x14ac:dyDescent="0.35">
      <c r="B36" s="70">
        <v>33</v>
      </c>
      <c r="C36" s="71" t="s">
        <v>30</v>
      </c>
      <c r="D36" s="70" t="s">
        <v>68</v>
      </c>
      <c r="E36" s="70" t="s">
        <v>74</v>
      </c>
      <c r="F36" s="70" t="s">
        <v>88</v>
      </c>
      <c r="G36" s="70" t="s">
        <v>70</v>
      </c>
      <c r="H36" s="70" t="s">
        <v>410</v>
      </c>
      <c r="I36" s="70" t="s">
        <v>440</v>
      </c>
      <c r="J36" s="70" t="s">
        <v>415</v>
      </c>
      <c r="K36" s="70" t="s">
        <v>417</v>
      </c>
      <c r="L36" s="109" t="s">
        <v>643</v>
      </c>
      <c r="M36" s="70"/>
      <c r="N36" s="63"/>
      <c r="O36" s="63"/>
      <c r="P36" s="63"/>
      <c r="Q36" s="70"/>
      <c r="R36" s="96"/>
      <c r="S36" s="70"/>
      <c r="T36" s="63"/>
      <c r="U36" s="79" t="s">
        <v>417</v>
      </c>
      <c r="V36" s="96">
        <v>2021</v>
      </c>
      <c r="W36" s="70"/>
      <c r="X36" s="63"/>
      <c r="Y36" s="63" t="str">
        <f>IF(AND(Table14[[#This Row],[Pre-Feasibility]]=0,Table14[[#This Row],[Pre-Feasibility 2]]=0, Table14[[#This Row],[Feasibility]]=0, Table14[[#This Row],[Feasibility 2]]=0), "No", "Yes")</f>
        <v>Yes</v>
      </c>
      <c r="Z36" s="63" t="s">
        <v>440</v>
      </c>
      <c r="AA36" s="63" t="s">
        <v>440</v>
      </c>
      <c r="AB36" s="70"/>
      <c r="AC36" s="70" t="s">
        <v>824</v>
      </c>
      <c r="AD36" s="70">
        <v>12962.22</v>
      </c>
      <c r="AE36" s="70" t="s">
        <v>180</v>
      </c>
      <c r="AF36" s="70"/>
      <c r="AG36" s="70" t="s">
        <v>180</v>
      </c>
      <c r="AH36" s="70">
        <v>8967</v>
      </c>
      <c r="AI36" s="70" t="s">
        <v>440</v>
      </c>
      <c r="AJ36" s="70" t="s">
        <v>440</v>
      </c>
      <c r="AK36" s="70" t="s">
        <v>440</v>
      </c>
      <c r="AL36" s="250" cm="1">
        <f t="array" ref="AL36">IFERROR(_xlfn.STDEV.P(IF(Table14[[#This Row],[Website Area (Acres)]:[PEZ Other Source (Acre)]]&lt;&gt;0, Table14[[#This Row],[Website Area (Acres)]:[PEZ Other Source (Acre)]], ""))/AVERAGE(IF(Table14[[#This Row],[Website Area (Acres)]:[PEZ Other Source (Acre)]]&lt;&gt;0, Table14[[#This Row],[Website Area (Acres)]:[PEZ Other Source (Acre)]], "")), "")</f>
        <v>0.18218705453271899</v>
      </c>
      <c r="AM36" s="70" t="s">
        <v>417</v>
      </c>
      <c r="AN36" s="70" t="s">
        <v>918</v>
      </c>
      <c r="AO36" s="70" t="s">
        <v>919</v>
      </c>
      <c r="AP36" s="148">
        <v>1000</v>
      </c>
      <c r="AQ36" s="148"/>
      <c r="AR36" s="70" t="s">
        <v>426</v>
      </c>
      <c r="AS36" s="70" t="s">
        <v>412</v>
      </c>
      <c r="AT36" s="71"/>
      <c r="AU36" s="71"/>
      <c r="AV36" s="71"/>
      <c r="AW36" s="71"/>
      <c r="AX36" s="71"/>
      <c r="AY36" s="71"/>
      <c r="AZ36" s="71"/>
      <c r="BA36" s="71"/>
      <c r="BB36" s="70"/>
      <c r="BC36" s="74">
        <v>8967</v>
      </c>
      <c r="BD36" s="70" t="s">
        <v>920</v>
      </c>
      <c r="BE36" s="70"/>
      <c r="BF36" s="70"/>
      <c r="BG36" s="70"/>
      <c r="BH36" s="70"/>
      <c r="BI36" s="70"/>
      <c r="BJ36" s="70"/>
      <c r="BK36" s="70"/>
      <c r="BL36" s="70"/>
      <c r="BM36" s="71"/>
      <c r="BN36" s="71"/>
      <c r="BO36" s="71" t="s">
        <v>921</v>
      </c>
      <c r="BP36" s="71" t="s">
        <v>922</v>
      </c>
      <c r="BQ36" s="71" t="s">
        <v>923</v>
      </c>
      <c r="BR36" s="71"/>
      <c r="BS36" s="88">
        <v>35.76</v>
      </c>
      <c r="BT36" s="88">
        <v>3464.97</v>
      </c>
      <c r="BU36" s="88"/>
      <c r="BV36" s="88"/>
      <c r="BW36" s="71"/>
      <c r="BX36" s="71"/>
      <c r="BY36" s="71"/>
      <c r="BZ36" s="71"/>
      <c r="CA36" s="71"/>
      <c r="CB36" s="71"/>
    </row>
    <row r="37" spans="2:80" ht="40" customHeight="1" x14ac:dyDescent="0.35">
      <c r="B37" s="70">
        <v>34</v>
      </c>
      <c r="C37" s="71" t="s">
        <v>37</v>
      </c>
      <c r="D37" s="70" t="s">
        <v>84</v>
      </c>
      <c r="E37" s="70" t="s">
        <v>97</v>
      </c>
      <c r="F37" s="70" t="s">
        <v>98</v>
      </c>
      <c r="G37" s="70" t="s">
        <v>70</v>
      </c>
      <c r="H37" s="70" t="s">
        <v>422</v>
      </c>
      <c r="I37" s="70" t="s">
        <v>440</v>
      </c>
      <c r="J37" s="70" t="s">
        <v>415</v>
      </c>
      <c r="K37" s="70" t="s">
        <v>417</v>
      </c>
      <c r="L37" s="113" t="s">
        <v>643</v>
      </c>
      <c r="M37" s="70"/>
      <c r="N37" s="63"/>
      <c r="O37" s="63"/>
      <c r="P37" s="63"/>
      <c r="Q37" s="70"/>
      <c r="R37" s="96"/>
      <c r="S37" s="79"/>
      <c r="T37" s="63"/>
      <c r="U37" s="79" t="s">
        <v>417</v>
      </c>
      <c r="V37" s="96"/>
      <c r="W37" s="79"/>
      <c r="X37" s="63"/>
      <c r="Y37" s="63" t="str">
        <f>IF(AND(Table14[[#This Row],[Pre-Feasibility]]=0,Table14[[#This Row],[Pre-Feasibility 2]]=0, Table14[[#This Row],[Feasibility]]=0, Table14[[#This Row],[Feasibility 2]]=0), "No", "Yes")</f>
        <v>Yes</v>
      </c>
      <c r="Z37" s="63" t="s">
        <v>440</v>
      </c>
      <c r="AA37" s="63" t="s">
        <v>440</v>
      </c>
      <c r="AB37" s="79"/>
      <c r="AC37" s="70" t="s">
        <v>824</v>
      </c>
      <c r="AD37" s="70">
        <v>205</v>
      </c>
      <c r="AE37" s="70" t="s">
        <v>180</v>
      </c>
      <c r="AF37" s="70"/>
      <c r="AG37" s="70" t="s">
        <v>180</v>
      </c>
      <c r="AH37" s="70">
        <v>205</v>
      </c>
      <c r="AI37" s="70" t="s">
        <v>440</v>
      </c>
      <c r="AJ37" s="70" t="s">
        <v>440</v>
      </c>
      <c r="AK37" s="70" t="s">
        <v>440</v>
      </c>
      <c r="AL37" s="250" cm="1">
        <f t="array" ref="AL37">IFERROR(_xlfn.STDEV.P(IF(Table14[[#This Row],[Website Area (Acres)]:[PEZ Other Source (Acre)]]&lt;&gt;0, Table14[[#This Row],[Website Area (Acres)]:[PEZ Other Source (Acre)]], ""))/AVERAGE(IF(Table14[[#This Row],[Website Area (Acres)]:[PEZ Other Source (Acre)]]&lt;&gt;0, Table14[[#This Row],[Website Area (Acres)]:[PEZ Other Source (Acre)]], "")), "")</f>
        <v>0</v>
      </c>
      <c r="AM37" s="70" t="s">
        <v>418</v>
      </c>
      <c r="AN37" s="70"/>
      <c r="AO37" s="70"/>
      <c r="AP37" s="148">
        <v>205</v>
      </c>
      <c r="AQ37" s="148">
        <v>205.22</v>
      </c>
      <c r="AR37" s="70" t="s">
        <v>426</v>
      </c>
      <c r="AS37" s="70" t="s">
        <v>412</v>
      </c>
      <c r="AT37" s="71"/>
      <c r="AU37" s="71">
        <v>1</v>
      </c>
      <c r="AV37" s="71">
        <v>119.66</v>
      </c>
      <c r="AW37" s="71"/>
      <c r="AX37" s="71">
        <f>26.77+0.89</f>
        <v>27.66</v>
      </c>
      <c r="AY37" s="71">
        <v>4.96</v>
      </c>
      <c r="AZ37" s="71">
        <v>3.79</v>
      </c>
      <c r="BA37" s="71">
        <f>24.1+2.02</f>
        <v>26.12</v>
      </c>
      <c r="BB37" s="70">
        <f>BC37-SUM(AV37:BA37)</f>
        <v>22.909999999999997</v>
      </c>
      <c r="BC37" s="75">
        <v>205.1</v>
      </c>
      <c r="BD37" s="70" t="s">
        <v>826</v>
      </c>
      <c r="BE37" s="70" t="s">
        <v>924</v>
      </c>
      <c r="BF37" s="70" t="s">
        <v>831</v>
      </c>
      <c r="BG37" s="70"/>
      <c r="BH37" s="70"/>
      <c r="BI37" s="70"/>
      <c r="BJ37" s="70"/>
      <c r="BK37" s="70"/>
      <c r="BL37" s="70"/>
      <c r="BM37" s="71"/>
      <c r="BN37" s="71"/>
      <c r="BO37" s="71" t="s">
        <v>925</v>
      </c>
      <c r="BP37" s="71"/>
      <c r="BQ37" s="71" t="s">
        <v>926</v>
      </c>
      <c r="BR37" s="71"/>
      <c r="BS37" s="71">
        <v>19.8</v>
      </c>
      <c r="BT37" s="88">
        <v>3303.82</v>
      </c>
      <c r="BU37" s="71"/>
      <c r="BV37" s="71">
        <v>2242.7399999999998</v>
      </c>
      <c r="BW37" s="71"/>
      <c r="BX37" s="71"/>
      <c r="BY37" s="71"/>
      <c r="BZ37" s="71"/>
      <c r="CA37" s="71"/>
      <c r="CB37" s="71"/>
    </row>
    <row r="38" spans="2:80" ht="40" customHeight="1" x14ac:dyDescent="0.35">
      <c r="B38" s="70">
        <v>35</v>
      </c>
      <c r="C38" s="71" t="s">
        <v>167</v>
      </c>
      <c r="D38" s="70" t="s">
        <v>104</v>
      </c>
      <c r="E38" s="70" t="s">
        <v>104</v>
      </c>
      <c r="F38" s="70" t="s">
        <v>168</v>
      </c>
      <c r="G38" s="70" t="s">
        <v>70</v>
      </c>
      <c r="H38" s="70" t="s">
        <v>431</v>
      </c>
      <c r="I38" s="70" t="s">
        <v>440</v>
      </c>
      <c r="J38" s="70" t="s">
        <v>436</v>
      </c>
      <c r="K38" s="70" t="s">
        <v>417</v>
      </c>
      <c r="L38" s="70"/>
      <c r="M38" s="139" t="s">
        <v>417</v>
      </c>
      <c r="N38" s="63">
        <v>2016</v>
      </c>
      <c r="O38" s="63"/>
      <c r="P38" s="63"/>
      <c r="Q38" s="70"/>
      <c r="R38" s="96"/>
      <c r="S38" s="70"/>
      <c r="T38" s="63"/>
      <c r="U38" s="70"/>
      <c r="V38" s="96"/>
      <c r="W38" s="70"/>
      <c r="X38" s="63"/>
      <c r="Y38" s="63" t="str">
        <f>IF(AND(Table14[[#This Row],[Pre-Feasibility]]=0,Table14[[#This Row],[Pre-Feasibility 2]]=0, Table14[[#This Row],[Feasibility]]=0, Table14[[#This Row],[Feasibility 2]]=0), "No", "Yes")</f>
        <v>No</v>
      </c>
      <c r="Z38" s="63" t="s">
        <v>440</v>
      </c>
      <c r="AA38" s="63" t="s">
        <v>440</v>
      </c>
      <c r="AB38" s="70"/>
      <c r="AC38" s="70" t="s">
        <v>864</v>
      </c>
      <c r="AD38" s="70">
        <v>494</v>
      </c>
      <c r="AE38" s="70">
        <v>494</v>
      </c>
      <c r="AF38" s="70"/>
      <c r="AG38" s="70" t="s">
        <v>180</v>
      </c>
      <c r="AH38" s="70" t="s">
        <v>180</v>
      </c>
      <c r="AI38" s="70" t="s">
        <v>440</v>
      </c>
      <c r="AJ38" s="70" t="s">
        <v>440</v>
      </c>
      <c r="AK38" s="70" t="s">
        <v>440</v>
      </c>
      <c r="AL38" s="250" cm="1">
        <f t="array" ref="AL38">IFERROR(_xlfn.STDEV.P(IF(Table14[[#This Row],[Website Area (Acres)]:[PEZ Other Source (Acre)]]&lt;&gt;0, Table14[[#This Row],[Website Area (Acres)]:[PEZ Other Source (Acre)]], ""))/AVERAGE(IF(Table14[[#This Row],[Website Area (Acres)]:[PEZ Other Source (Acre)]]&lt;&gt;0, Table14[[#This Row],[Website Area (Acres)]:[PEZ Other Source (Acre)]], "")), "")</f>
        <v>0</v>
      </c>
      <c r="AM38" s="70" t="s">
        <v>418</v>
      </c>
      <c r="AN38" s="70"/>
      <c r="AO38" s="70"/>
      <c r="AP38" s="148">
        <v>494</v>
      </c>
      <c r="AQ38" s="148">
        <v>494</v>
      </c>
      <c r="AR38" s="70" t="s">
        <v>457</v>
      </c>
      <c r="AS38" s="70" t="s">
        <v>444</v>
      </c>
      <c r="AT38" s="71"/>
      <c r="AU38" s="71"/>
      <c r="AV38" s="71"/>
      <c r="AW38" s="71"/>
      <c r="AX38" s="71"/>
      <c r="AY38" s="71"/>
      <c r="AZ38" s="71"/>
      <c r="BA38" s="71"/>
      <c r="BB38" s="70"/>
      <c r="BC38" s="75"/>
      <c r="BD38" s="70"/>
      <c r="BE38" s="70"/>
      <c r="BF38" s="70"/>
      <c r="BG38" s="70"/>
      <c r="BH38" s="70"/>
      <c r="BI38" s="70"/>
      <c r="BJ38" s="70"/>
      <c r="BK38" s="70"/>
      <c r="BL38" s="70"/>
      <c r="BM38" s="71"/>
      <c r="BN38" s="71"/>
      <c r="BO38" s="71"/>
      <c r="BP38" s="71"/>
      <c r="BQ38" s="71"/>
      <c r="BR38" s="71"/>
      <c r="BS38" s="71"/>
      <c r="BT38" s="71"/>
      <c r="BU38" s="71"/>
      <c r="BV38" s="71"/>
      <c r="BW38" s="71"/>
      <c r="BX38" s="71"/>
      <c r="BY38" s="71"/>
      <c r="BZ38" s="71"/>
      <c r="CA38" s="71"/>
      <c r="CB38" s="71"/>
    </row>
    <row r="39" spans="2:80" ht="40" customHeight="1" x14ac:dyDescent="0.35">
      <c r="B39" s="70">
        <v>36</v>
      </c>
      <c r="C39" s="71" t="s">
        <v>195</v>
      </c>
      <c r="D39" s="70" t="s">
        <v>104</v>
      </c>
      <c r="E39" s="70" t="s">
        <v>104</v>
      </c>
      <c r="F39" s="70" t="s">
        <v>196</v>
      </c>
      <c r="G39" s="70" t="s">
        <v>70</v>
      </c>
      <c r="H39" s="70" t="s">
        <v>430</v>
      </c>
      <c r="I39" s="70" t="s">
        <v>440</v>
      </c>
      <c r="J39" s="70" t="s">
        <v>436</v>
      </c>
      <c r="K39" s="70" t="s">
        <v>417</v>
      </c>
      <c r="L39" s="76"/>
      <c r="M39" s="70"/>
      <c r="N39" s="63"/>
      <c r="O39" s="63"/>
      <c r="P39" s="63"/>
      <c r="Q39" s="70"/>
      <c r="R39" s="96"/>
      <c r="S39" s="70"/>
      <c r="T39" s="63"/>
      <c r="U39" s="70"/>
      <c r="V39" s="96"/>
      <c r="W39" s="70"/>
      <c r="X39" s="63"/>
      <c r="Y39" s="63" t="str">
        <f>IF(AND(Table14[[#This Row],[Pre-Feasibility]]=0,Table14[[#This Row],[Pre-Feasibility 2]]=0, Table14[[#This Row],[Feasibility]]=0, Table14[[#This Row],[Feasibility 2]]=0), "No", "Yes")</f>
        <v>No</v>
      </c>
      <c r="Z39" s="63" t="s">
        <v>440</v>
      </c>
      <c r="AA39" s="63" t="s">
        <v>440</v>
      </c>
      <c r="AB39" s="70"/>
      <c r="AC39" s="70"/>
      <c r="AD39" s="70">
        <v>487.77</v>
      </c>
      <c r="AE39" s="70" t="s">
        <v>180</v>
      </c>
      <c r="AF39" s="70"/>
      <c r="AG39" s="70" t="s">
        <v>180</v>
      </c>
      <c r="AH39" s="70" t="s">
        <v>180</v>
      </c>
      <c r="AI39" s="70" t="s">
        <v>440</v>
      </c>
      <c r="AJ39" s="70" t="s">
        <v>440</v>
      </c>
      <c r="AK39" s="70" t="s">
        <v>440</v>
      </c>
      <c r="AL39" s="250" cm="1">
        <f t="array" ref="AL39">IFERROR(_xlfn.STDEV.P(IF(Table14[[#This Row],[Website Area (Acres)]:[PEZ Other Source (Acre)]]&lt;&gt;0, Table14[[#This Row],[Website Area (Acres)]:[PEZ Other Source (Acre)]], ""))/AVERAGE(IF(Table14[[#This Row],[Website Area (Acres)]:[PEZ Other Source (Acre)]]&lt;&gt;0, Table14[[#This Row],[Website Area (Acres)]:[PEZ Other Source (Acre)]], "")), "")</f>
        <v>0</v>
      </c>
      <c r="AM39" s="70" t="s">
        <v>418</v>
      </c>
      <c r="AN39" s="70"/>
      <c r="AO39" s="70"/>
      <c r="AP39" s="148">
        <v>487.8</v>
      </c>
      <c r="AQ39" s="148">
        <v>509.66</v>
      </c>
      <c r="AR39" s="70" t="s">
        <v>457</v>
      </c>
      <c r="AS39" s="70" t="s">
        <v>444</v>
      </c>
      <c r="AT39" s="71"/>
      <c r="AU39" s="71"/>
      <c r="AV39" s="71"/>
      <c r="AW39" s="71"/>
      <c r="AX39" s="71"/>
      <c r="AY39" s="71"/>
      <c r="AZ39" s="71"/>
      <c r="BA39" s="71"/>
      <c r="BB39" s="70"/>
      <c r="BC39" s="75"/>
      <c r="BD39" s="70"/>
      <c r="BE39" s="70"/>
      <c r="BF39" s="70"/>
      <c r="BG39" s="70"/>
      <c r="BH39" s="70"/>
      <c r="BI39" s="70"/>
      <c r="BJ39" s="70"/>
      <c r="BK39" s="70"/>
      <c r="BL39" s="70"/>
      <c r="BM39" s="71"/>
      <c r="BN39" s="71"/>
      <c r="BO39" s="71"/>
      <c r="BP39" s="71"/>
      <c r="BQ39" s="71"/>
      <c r="BR39" s="71"/>
      <c r="BS39" s="71"/>
      <c r="BT39" s="71"/>
      <c r="BU39" s="71"/>
      <c r="BV39" s="71"/>
      <c r="BW39" s="71"/>
      <c r="BX39" s="71"/>
      <c r="BY39" s="71"/>
      <c r="BZ39" s="71"/>
      <c r="CA39" s="71"/>
      <c r="CB39" s="71"/>
    </row>
    <row r="40" spans="2:80" ht="40" customHeight="1" x14ac:dyDescent="0.35">
      <c r="B40" s="70">
        <v>37</v>
      </c>
      <c r="C40" s="71" t="s">
        <v>28</v>
      </c>
      <c r="D40" s="70" t="s">
        <v>68</v>
      </c>
      <c r="E40" s="70" t="s">
        <v>74</v>
      </c>
      <c r="F40" s="70" t="s">
        <v>75</v>
      </c>
      <c r="G40" s="70" t="s">
        <v>70</v>
      </c>
      <c r="H40" s="70" t="s">
        <v>410</v>
      </c>
      <c r="I40" s="70" t="s">
        <v>440</v>
      </c>
      <c r="J40" s="70" t="s">
        <v>415</v>
      </c>
      <c r="K40" s="70" t="s">
        <v>417</v>
      </c>
      <c r="L40" s="109" t="s">
        <v>643</v>
      </c>
      <c r="M40" s="70"/>
      <c r="N40" s="63"/>
      <c r="O40" s="135" t="s">
        <v>417</v>
      </c>
      <c r="P40" s="63">
        <v>2015</v>
      </c>
      <c r="Q40" s="79" t="s">
        <v>417</v>
      </c>
      <c r="R40" s="96">
        <v>2016</v>
      </c>
      <c r="S40" s="70"/>
      <c r="T40" s="63"/>
      <c r="U40" s="70"/>
      <c r="V40" s="96"/>
      <c r="W40" s="70"/>
      <c r="X40" s="63"/>
      <c r="Y40" s="63" t="str">
        <f>IF(AND(Table14[[#This Row],[Pre-Feasibility]]=0,Table14[[#This Row],[Pre-Feasibility 2]]=0, Table14[[#This Row],[Feasibility]]=0, Table14[[#This Row],[Feasibility 2]]=0), "No", "Yes")</f>
        <v>Yes</v>
      </c>
      <c r="Z40" s="63" t="s">
        <v>440</v>
      </c>
      <c r="AA40" s="63" t="s">
        <v>440</v>
      </c>
      <c r="AB40" s="70"/>
      <c r="AC40" s="70" t="s">
        <v>824</v>
      </c>
      <c r="AD40" s="70">
        <v>271.93</v>
      </c>
      <c r="AE40" s="70" t="s">
        <v>180</v>
      </c>
      <c r="AF40" s="70">
        <v>271.93</v>
      </c>
      <c r="AG40" s="70">
        <v>271.93</v>
      </c>
      <c r="AH40" s="70" t="s">
        <v>180</v>
      </c>
      <c r="AI40" s="70" t="s">
        <v>440</v>
      </c>
      <c r="AJ40" s="70" t="s">
        <v>440</v>
      </c>
      <c r="AK40" s="70" t="s">
        <v>440</v>
      </c>
      <c r="AL40" s="250" cm="1">
        <f t="array" ref="AL40">IFERROR(_xlfn.STDEV.P(IF(Table14[[#This Row],[Website Area (Acres)]:[PEZ Other Source (Acre)]]&lt;&gt;0, Table14[[#This Row],[Website Area (Acres)]:[PEZ Other Source (Acre)]], ""))/AVERAGE(IF(Table14[[#This Row],[Website Area (Acres)]:[PEZ Other Source (Acre)]]&lt;&gt;0, Table14[[#This Row],[Website Area (Acres)]:[PEZ Other Source (Acre)]], "")), "")</f>
        <v>0</v>
      </c>
      <c r="AM40" s="70" t="s">
        <v>418</v>
      </c>
      <c r="AN40" s="70"/>
      <c r="AO40" s="70"/>
      <c r="AP40" s="148">
        <v>271.89999999999998</v>
      </c>
      <c r="AQ40" s="148">
        <v>293.05</v>
      </c>
      <c r="AR40" s="70" t="s">
        <v>410</v>
      </c>
      <c r="AS40" s="70" t="s">
        <v>412</v>
      </c>
      <c r="AT40" s="71"/>
      <c r="AU40" s="71"/>
      <c r="AV40" s="71"/>
      <c r="AW40" s="71"/>
      <c r="AX40" s="71"/>
      <c r="AY40" s="71"/>
      <c r="AZ40" s="71"/>
      <c r="BA40" s="71"/>
      <c r="BB40" s="70"/>
      <c r="BC40" s="75">
        <v>271.93</v>
      </c>
      <c r="BD40" s="70" t="s">
        <v>920</v>
      </c>
      <c r="BE40" s="70"/>
      <c r="BF40" s="70"/>
      <c r="BG40" s="70"/>
      <c r="BH40" s="70"/>
      <c r="BI40" s="70"/>
      <c r="BJ40" s="70"/>
      <c r="BK40" s="70"/>
      <c r="BL40" s="70"/>
      <c r="BM40" s="71"/>
      <c r="BN40" s="71"/>
      <c r="BO40" s="71" t="s">
        <v>927</v>
      </c>
      <c r="BP40" s="71" t="s">
        <v>928</v>
      </c>
      <c r="BQ40" s="71"/>
      <c r="BR40" s="71"/>
      <c r="BS40" s="71"/>
      <c r="BT40" s="71"/>
      <c r="BU40" s="71"/>
      <c r="BV40" s="71"/>
      <c r="BW40" s="71"/>
      <c r="BX40" s="71"/>
      <c r="BY40" s="71"/>
      <c r="BZ40" s="71"/>
      <c r="CA40" s="71"/>
      <c r="CB40" s="71"/>
    </row>
    <row r="41" spans="2:80" ht="67" customHeight="1" x14ac:dyDescent="0.35">
      <c r="B41" s="70">
        <v>38</v>
      </c>
      <c r="C41" s="71" t="s">
        <v>29</v>
      </c>
      <c r="D41" s="70" t="s">
        <v>76</v>
      </c>
      <c r="E41" s="70" t="s">
        <v>77</v>
      </c>
      <c r="F41" s="70" t="s">
        <v>89</v>
      </c>
      <c r="G41" s="70" t="s">
        <v>70</v>
      </c>
      <c r="H41" s="70" t="s">
        <v>431</v>
      </c>
      <c r="I41" s="70" t="s">
        <v>440</v>
      </c>
      <c r="J41" s="70" t="s">
        <v>436</v>
      </c>
      <c r="K41" s="70" t="s">
        <v>417</v>
      </c>
      <c r="L41" s="70"/>
      <c r="M41" s="139" t="s">
        <v>417</v>
      </c>
      <c r="N41" s="63">
        <v>2021</v>
      </c>
      <c r="O41" s="135" t="s">
        <v>417</v>
      </c>
      <c r="P41" s="63">
        <v>2015</v>
      </c>
      <c r="Q41" s="114" t="s">
        <v>417</v>
      </c>
      <c r="R41" s="96">
        <v>2016</v>
      </c>
      <c r="S41" s="70"/>
      <c r="T41" s="63"/>
      <c r="U41" s="70"/>
      <c r="V41" s="96"/>
      <c r="W41" s="70"/>
      <c r="X41" s="63"/>
      <c r="Y41" s="63" t="str">
        <f>IF(AND(Table14[[#This Row],[Pre-Feasibility]]=0,Table14[[#This Row],[Pre-Feasibility 2]]=0, Table14[[#This Row],[Feasibility]]=0, Table14[[#This Row],[Feasibility 2]]=0), "No", "Yes")</f>
        <v>Yes</v>
      </c>
      <c r="Z41" s="63" t="s">
        <v>440</v>
      </c>
      <c r="AA41" s="63" t="s">
        <v>440</v>
      </c>
      <c r="AB41" s="70"/>
      <c r="AC41" s="70" t="s">
        <v>864</v>
      </c>
      <c r="AD41" s="70">
        <v>875.65</v>
      </c>
      <c r="AE41" s="70">
        <v>193.66</v>
      </c>
      <c r="AF41" s="70">
        <v>885.84</v>
      </c>
      <c r="AG41" s="70" t="s">
        <v>440</v>
      </c>
      <c r="AH41" s="70" t="s">
        <v>180</v>
      </c>
      <c r="AI41" s="70" t="s">
        <v>440</v>
      </c>
      <c r="AJ41" s="70" t="s">
        <v>440</v>
      </c>
      <c r="AK41" s="70" t="s">
        <v>440</v>
      </c>
      <c r="AL41" s="250" cm="1">
        <f t="array" ref="AL41">IFERROR(_xlfn.STDEV.P(IF(Table14[[#This Row],[Website Area (Acres)]:[PEZ Other Source (Acre)]]&lt;&gt;0, Table14[[#This Row],[Website Area (Acres)]:[PEZ Other Source (Acre)]], ""))/AVERAGE(IF(Table14[[#This Row],[Website Area (Acres)]:[PEZ Other Source (Acre)]]&lt;&gt;0, Table14[[#This Row],[Website Area (Acres)]:[PEZ Other Source (Acre)]], "")), "")</f>
        <v>0.49702839609499394</v>
      </c>
      <c r="AM41" s="70" t="s">
        <v>417</v>
      </c>
      <c r="AN41" s="70" t="s">
        <v>929</v>
      </c>
      <c r="AO41" s="70" t="s">
        <v>930</v>
      </c>
      <c r="AP41" s="148">
        <v>276.12</v>
      </c>
      <c r="AQ41" s="148">
        <v>276.12</v>
      </c>
      <c r="AR41" s="70" t="s">
        <v>438</v>
      </c>
      <c r="AS41" s="70" t="s">
        <v>435</v>
      </c>
      <c r="AT41" s="71"/>
      <c r="AU41" s="71"/>
      <c r="AV41" s="71"/>
      <c r="AW41" s="71"/>
      <c r="AX41" s="71"/>
      <c r="AY41" s="71"/>
      <c r="AZ41" s="71"/>
      <c r="BA41" s="71"/>
      <c r="BB41" s="70"/>
      <c r="BC41" s="75"/>
      <c r="BD41" s="70"/>
      <c r="BE41" s="70"/>
      <c r="BF41" s="70"/>
      <c r="BG41" s="70"/>
      <c r="BH41" s="70"/>
      <c r="BI41" s="70"/>
      <c r="BJ41" s="70"/>
      <c r="BK41" s="70"/>
      <c r="BL41" s="70"/>
      <c r="BM41" s="71"/>
      <c r="BN41" s="71"/>
      <c r="BO41" s="71"/>
      <c r="BP41" s="71"/>
      <c r="BQ41" s="71"/>
      <c r="BR41" s="71"/>
      <c r="BS41" s="71"/>
      <c r="BT41" s="71"/>
      <c r="BU41" s="71"/>
      <c r="BV41" s="71"/>
      <c r="BW41" s="71"/>
      <c r="BX41" s="71"/>
      <c r="BY41" s="71"/>
      <c r="BZ41" s="71"/>
      <c r="CA41" s="71"/>
      <c r="CB41" s="71"/>
    </row>
    <row r="42" spans="2:80" ht="40" customHeight="1" x14ac:dyDescent="0.35">
      <c r="B42" s="70">
        <v>39</v>
      </c>
      <c r="C42" s="71" t="s">
        <v>164</v>
      </c>
      <c r="D42" s="70" t="s">
        <v>76</v>
      </c>
      <c r="E42" s="70" t="s">
        <v>77</v>
      </c>
      <c r="F42" s="70" t="s">
        <v>93</v>
      </c>
      <c r="G42" s="70" t="s">
        <v>70</v>
      </c>
      <c r="H42" s="70" t="s">
        <v>430</v>
      </c>
      <c r="I42" s="70" t="s">
        <v>440</v>
      </c>
      <c r="J42" s="70" t="s">
        <v>436</v>
      </c>
      <c r="K42" s="70" t="s">
        <v>417</v>
      </c>
      <c r="L42" s="70"/>
      <c r="M42" s="139" t="s">
        <v>417</v>
      </c>
      <c r="N42" s="63">
        <v>2021</v>
      </c>
      <c r="O42" s="63"/>
      <c r="P42" s="63"/>
      <c r="Q42" s="70"/>
      <c r="R42" s="96"/>
      <c r="S42" s="70"/>
      <c r="T42" s="63"/>
      <c r="U42" s="70"/>
      <c r="V42" s="96"/>
      <c r="W42" s="70"/>
      <c r="X42" s="63"/>
      <c r="Y42" s="63" t="str">
        <f>IF(AND(Table14[[#This Row],[Pre-Feasibility]]=0,Table14[[#This Row],[Pre-Feasibility 2]]=0, Table14[[#This Row],[Feasibility]]=0, Table14[[#This Row],[Feasibility 2]]=0), "No", "Yes")</f>
        <v>No</v>
      </c>
      <c r="Z42" s="63" t="s">
        <v>440</v>
      </c>
      <c r="AA42" s="63" t="s">
        <v>440</v>
      </c>
      <c r="AB42" s="70"/>
      <c r="AC42" s="70"/>
      <c r="AD42" s="70">
        <v>1000</v>
      </c>
      <c r="AE42" s="70" t="s">
        <v>180</v>
      </c>
      <c r="AF42" s="70"/>
      <c r="AG42" s="70" t="s">
        <v>180</v>
      </c>
      <c r="AH42" s="70" t="s">
        <v>180</v>
      </c>
      <c r="AI42" s="70" t="s">
        <v>440</v>
      </c>
      <c r="AJ42" s="70" t="s">
        <v>440</v>
      </c>
      <c r="AK42" s="70" t="s">
        <v>440</v>
      </c>
      <c r="AL42" s="250" cm="1">
        <f t="array" ref="AL42">IFERROR(_xlfn.STDEV.P(IF(Table14[[#This Row],[Website Area (Acres)]:[PEZ Other Source (Acre)]]&lt;&gt;0, Table14[[#This Row],[Website Area (Acres)]:[PEZ Other Source (Acre)]], ""))/AVERAGE(IF(Table14[[#This Row],[Website Area (Acres)]:[PEZ Other Source (Acre)]]&lt;&gt;0, Table14[[#This Row],[Website Area (Acres)]:[PEZ Other Source (Acre)]], "")), "")</f>
        <v>0</v>
      </c>
      <c r="AM42" s="70" t="s">
        <v>418</v>
      </c>
      <c r="AN42" s="70"/>
      <c r="AO42" s="70"/>
      <c r="AP42" s="148">
        <v>1000</v>
      </c>
      <c r="AQ42" s="148">
        <v>1000</v>
      </c>
      <c r="AR42" s="70" t="s">
        <v>455</v>
      </c>
      <c r="AS42" s="70" t="s">
        <v>444</v>
      </c>
      <c r="AT42" s="71"/>
      <c r="AU42" s="71"/>
      <c r="AV42" s="71"/>
      <c r="AW42" s="71"/>
      <c r="AX42" s="71"/>
      <c r="AY42" s="71"/>
      <c r="AZ42" s="71"/>
      <c r="BA42" s="71"/>
      <c r="BB42" s="70"/>
      <c r="BC42" s="75"/>
      <c r="BD42" s="70"/>
      <c r="BE42" s="70"/>
      <c r="BF42" s="70"/>
      <c r="BG42" s="70"/>
      <c r="BH42" s="70"/>
      <c r="BI42" s="70"/>
      <c r="BJ42" s="70"/>
      <c r="BK42" s="70"/>
      <c r="BL42" s="70"/>
      <c r="BM42" s="71"/>
      <c r="BN42" s="71"/>
      <c r="BO42" s="71"/>
      <c r="BP42" s="71"/>
      <c r="BQ42" s="71"/>
      <c r="BR42" s="71"/>
      <c r="BS42" s="71"/>
      <c r="BT42" s="71"/>
      <c r="BU42" s="71"/>
      <c r="BV42" s="71"/>
      <c r="BW42" s="71"/>
      <c r="BX42" s="71"/>
      <c r="BY42" s="71"/>
      <c r="BZ42" s="71"/>
      <c r="CA42" s="71"/>
      <c r="CB42" s="71"/>
    </row>
    <row r="43" spans="2:80" ht="40" customHeight="1" x14ac:dyDescent="0.35">
      <c r="B43" s="70">
        <v>40</v>
      </c>
      <c r="C43" s="71" t="s">
        <v>60</v>
      </c>
      <c r="D43" s="70" t="s">
        <v>113</v>
      </c>
      <c r="E43" s="70" t="s">
        <v>130</v>
      </c>
      <c r="F43" s="70" t="s">
        <v>131</v>
      </c>
      <c r="G43" s="70" t="s">
        <v>70</v>
      </c>
      <c r="H43" s="70" t="s">
        <v>430</v>
      </c>
      <c r="I43" s="70" t="s">
        <v>440</v>
      </c>
      <c r="J43" s="70" t="s">
        <v>436</v>
      </c>
      <c r="K43" s="70" t="s">
        <v>417</v>
      </c>
      <c r="L43" s="70"/>
      <c r="M43" s="70"/>
      <c r="N43" s="63"/>
      <c r="O43" s="63"/>
      <c r="P43" s="63"/>
      <c r="Q43" s="79" t="s">
        <v>417</v>
      </c>
      <c r="R43" s="96">
        <v>2018</v>
      </c>
      <c r="S43" s="70"/>
      <c r="T43" s="63"/>
      <c r="U43" s="70"/>
      <c r="V43" s="96"/>
      <c r="W43" s="70"/>
      <c r="X43" s="63"/>
      <c r="Y43" s="63" t="str">
        <f>IF(AND(Table14[[#This Row],[Pre-Feasibility]]=0,Table14[[#This Row],[Pre-Feasibility 2]]=0, Table14[[#This Row],[Feasibility]]=0, Table14[[#This Row],[Feasibility 2]]=0), "No", "Yes")</f>
        <v>Yes</v>
      </c>
      <c r="Z43" s="63" t="s">
        <v>440</v>
      </c>
      <c r="AA43" s="63" t="s">
        <v>440</v>
      </c>
      <c r="AB43" s="70"/>
      <c r="AC43" s="70"/>
      <c r="AD43" s="70">
        <v>3220</v>
      </c>
      <c r="AE43" s="70" t="s">
        <v>180</v>
      </c>
      <c r="AF43" s="70"/>
      <c r="AG43" s="70">
        <v>300</v>
      </c>
      <c r="AH43" s="70" t="s">
        <v>180</v>
      </c>
      <c r="AI43" s="70" t="s">
        <v>440</v>
      </c>
      <c r="AJ43" s="70" t="s">
        <v>440</v>
      </c>
      <c r="AK43" s="70" t="s">
        <v>440</v>
      </c>
      <c r="AL43" s="250" cm="1">
        <f t="array" ref="AL43">IFERROR(_xlfn.STDEV.P(IF(Table14[[#This Row],[Website Area (Acres)]:[PEZ Other Source (Acre)]]&lt;&gt;0, Table14[[#This Row],[Website Area (Acres)]:[PEZ Other Source (Acre)]], ""))/AVERAGE(IF(Table14[[#This Row],[Website Area (Acres)]:[PEZ Other Source (Acre)]]&lt;&gt;0, Table14[[#This Row],[Website Area (Acres)]:[PEZ Other Source (Acre)]], "")), "")</f>
        <v>0.82954545454545459</v>
      </c>
      <c r="AM43" s="70" t="s">
        <v>417</v>
      </c>
      <c r="AN43" s="70"/>
      <c r="AO43" s="70" t="s">
        <v>931</v>
      </c>
      <c r="AP43" s="148">
        <v>300</v>
      </c>
      <c r="AQ43" s="148">
        <v>242.34</v>
      </c>
      <c r="AR43" s="70" t="s">
        <v>457</v>
      </c>
      <c r="AS43" s="70" t="s">
        <v>444</v>
      </c>
      <c r="AT43" s="71"/>
      <c r="AU43" s="71"/>
      <c r="AV43" s="71"/>
      <c r="AW43" s="71"/>
      <c r="AX43" s="71"/>
      <c r="AY43" s="71"/>
      <c r="AZ43" s="71"/>
      <c r="BA43" s="71"/>
      <c r="BB43" s="70"/>
      <c r="BC43" s="75"/>
      <c r="BD43" s="70"/>
      <c r="BE43" s="70"/>
      <c r="BF43" s="70"/>
      <c r="BG43" s="70"/>
      <c r="BH43" s="70"/>
      <c r="BI43" s="70"/>
      <c r="BJ43" s="70"/>
      <c r="BK43" s="70"/>
      <c r="BL43" s="70"/>
      <c r="BM43" s="71"/>
      <c r="BN43" s="71"/>
      <c r="BO43" s="71"/>
      <c r="BP43" s="71"/>
      <c r="BQ43" s="71"/>
      <c r="BR43" s="71"/>
      <c r="BS43" s="71"/>
      <c r="BT43" s="71"/>
      <c r="BU43" s="71"/>
      <c r="BV43" s="71"/>
      <c r="BW43" s="71"/>
      <c r="BX43" s="71"/>
      <c r="BY43" s="71"/>
      <c r="BZ43" s="71"/>
      <c r="CA43" s="71"/>
      <c r="CB43" s="71"/>
    </row>
    <row r="44" spans="2:80" ht="66.75" customHeight="1" x14ac:dyDescent="0.35">
      <c r="B44" s="70">
        <v>41</v>
      </c>
      <c r="C44" s="71" t="s">
        <v>182</v>
      </c>
      <c r="D44" s="70" t="s">
        <v>113</v>
      </c>
      <c r="E44" s="70" t="s">
        <v>130</v>
      </c>
      <c r="F44" s="70" t="s">
        <v>183</v>
      </c>
      <c r="G44" s="70" t="s">
        <v>70</v>
      </c>
      <c r="H44" s="70" t="s">
        <v>430</v>
      </c>
      <c r="I44" s="70" t="s">
        <v>440</v>
      </c>
      <c r="J44" s="70" t="s">
        <v>440</v>
      </c>
      <c r="K44" s="70" t="s">
        <v>417</v>
      </c>
      <c r="L44" s="70"/>
      <c r="M44" s="70"/>
      <c r="N44" s="63"/>
      <c r="O44" s="63"/>
      <c r="P44" s="63"/>
      <c r="Q44" s="70"/>
      <c r="R44" s="96"/>
      <c r="S44" s="70"/>
      <c r="T44" s="63"/>
      <c r="U44" s="70"/>
      <c r="V44" s="96"/>
      <c r="W44" s="70"/>
      <c r="X44" s="63"/>
      <c r="Y44" s="63" t="str">
        <f>IF(AND(Table14[[#This Row],[Pre-Feasibility]]=0,Table14[[#This Row],[Pre-Feasibility 2]]=0, Table14[[#This Row],[Feasibility]]=0, Table14[[#This Row],[Feasibility 2]]=0), "No", "Yes")</f>
        <v>No</v>
      </c>
      <c r="Z44" s="63" t="s">
        <v>440</v>
      </c>
      <c r="AA44" s="63" t="s">
        <v>440</v>
      </c>
      <c r="AB44" s="70"/>
      <c r="AC44" s="70"/>
      <c r="AD44" s="70"/>
      <c r="AE44" s="70" t="s">
        <v>180</v>
      </c>
      <c r="AF44" s="70"/>
      <c r="AG44" s="70" t="s">
        <v>180</v>
      </c>
      <c r="AH44" s="70" t="s">
        <v>180</v>
      </c>
      <c r="AI44" s="70" t="s">
        <v>440</v>
      </c>
      <c r="AJ44" s="70" t="s">
        <v>440</v>
      </c>
      <c r="AK44" s="70" t="s">
        <v>440</v>
      </c>
      <c r="AL44" s="250" t="str" cm="1">
        <f t="array" ref="AL44">IFERROR(_xlfn.STDEV.P(IF(Table14[[#This Row],[Website Area (Acres)]:[PEZ Other Source (Acre)]]&lt;&gt;0, Table14[[#This Row],[Website Area (Acres)]:[PEZ Other Source (Acre)]], ""))/AVERAGE(IF(Table14[[#This Row],[Website Area (Acres)]:[PEZ Other Source (Acre)]]&lt;&gt;0, Table14[[#This Row],[Website Area (Acres)]:[PEZ Other Source (Acre)]], "")), "")</f>
        <v/>
      </c>
      <c r="AM44" s="70" t="s">
        <v>837</v>
      </c>
      <c r="AN44" s="70" t="s">
        <v>932</v>
      </c>
      <c r="AO44" s="70" t="s">
        <v>933</v>
      </c>
      <c r="AP44" s="148">
        <v>300</v>
      </c>
      <c r="AQ44" s="148">
        <v>300</v>
      </c>
      <c r="AR44" s="70" t="s">
        <v>469</v>
      </c>
      <c r="AS44" s="70" t="s">
        <v>444</v>
      </c>
      <c r="AT44" s="71"/>
      <c r="AU44" s="71"/>
      <c r="AV44" s="71"/>
      <c r="AW44" s="71"/>
      <c r="AX44" s="71"/>
      <c r="AY44" s="71"/>
      <c r="AZ44" s="71"/>
      <c r="BA44" s="71"/>
      <c r="BB44" s="70"/>
      <c r="BC44" s="75"/>
      <c r="BD44" s="70"/>
      <c r="BE44" s="70"/>
      <c r="BF44" s="70"/>
      <c r="BG44" s="70"/>
      <c r="BH44" s="70"/>
      <c r="BI44" s="70"/>
      <c r="BJ44" s="70"/>
      <c r="BK44" s="70"/>
      <c r="BL44" s="70"/>
      <c r="BM44" s="71"/>
      <c r="BN44" s="71"/>
      <c r="BO44" s="71"/>
      <c r="BP44" s="71"/>
      <c r="BQ44" s="71"/>
      <c r="BR44" s="71"/>
      <c r="BS44" s="71"/>
      <c r="BT44" s="71"/>
      <c r="BU44" s="71"/>
      <c r="BV44" s="71"/>
      <c r="BW44" s="71"/>
      <c r="BX44" s="71"/>
      <c r="BY44" s="71"/>
      <c r="BZ44" s="71"/>
      <c r="CA44" s="71"/>
      <c r="CB44" s="71"/>
    </row>
    <row r="45" spans="2:80" ht="40" customHeight="1" x14ac:dyDescent="0.35">
      <c r="B45" s="70">
        <v>42</v>
      </c>
      <c r="C45" s="71" t="s">
        <v>22</v>
      </c>
      <c r="D45" s="70" t="s">
        <v>76</v>
      </c>
      <c r="E45" s="70" t="s">
        <v>76</v>
      </c>
      <c r="F45" s="70" t="s">
        <v>80</v>
      </c>
      <c r="G45" s="70" t="s">
        <v>70</v>
      </c>
      <c r="H45" s="70" t="s">
        <v>422</v>
      </c>
      <c r="I45" s="70" t="s">
        <v>440</v>
      </c>
      <c r="J45" s="70" t="s">
        <v>415</v>
      </c>
      <c r="K45" s="70" t="s">
        <v>417</v>
      </c>
      <c r="L45" s="70"/>
      <c r="M45" s="139" t="s">
        <v>417</v>
      </c>
      <c r="N45" s="63">
        <v>2019</v>
      </c>
      <c r="O45" s="63"/>
      <c r="P45" s="63"/>
      <c r="Q45" s="79" t="s">
        <v>417</v>
      </c>
      <c r="R45" s="96">
        <v>2021</v>
      </c>
      <c r="S45" s="70"/>
      <c r="T45" s="63"/>
      <c r="U45" s="70"/>
      <c r="V45" s="96"/>
      <c r="W45" s="70"/>
      <c r="X45" s="63"/>
      <c r="Y45" s="63" t="str">
        <f>IF(AND(Table14[[#This Row],[Pre-Feasibility]]=0,Table14[[#This Row],[Pre-Feasibility 2]]=0, Table14[[#This Row],[Feasibility]]=0, Table14[[#This Row],[Feasibility 2]]=0), "No", "Yes")</f>
        <v>Yes</v>
      </c>
      <c r="Z45" s="63" t="s">
        <v>440</v>
      </c>
      <c r="AA45" s="63" t="s">
        <v>440</v>
      </c>
      <c r="AB45" s="70"/>
      <c r="AC45" s="70" t="s">
        <v>846</v>
      </c>
      <c r="AD45" s="70"/>
      <c r="AE45" s="70">
        <v>600</v>
      </c>
      <c r="AF45" s="70"/>
      <c r="AG45" s="70">
        <v>874</v>
      </c>
      <c r="AH45" s="70" t="s">
        <v>180</v>
      </c>
      <c r="AI45" s="70" t="s">
        <v>440</v>
      </c>
      <c r="AJ45" s="70" t="s">
        <v>440</v>
      </c>
      <c r="AK45" s="70" t="s">
        <v>440</v>
      </c>
      <c r="AL45" s="250" cm="1">
        <f t="array" ref="AL45">IFERROR(_xlfn.STDEV.P(IF(Table14[[#This Row],[Website Area (Acres)]:[PEZ Other Source (Acre)]]&lt;&gt;0, Table14[[#This Row],[Website Area (Acres)]:[PEZ Other Source (Acre)]], ""))/AVERAGE(IF(Table14[[#This Row],[Website Area (Acres)]:[PEZ Other Source (Acre)]]&lt;&gt;0, Table14[[#This Row],[Website Area (Acres)]:[PEZ Other Source (Acre)]], "")), "")</f>
        <v>0.18588873812754408</v>
      </c>
      <c r="AM45" s="70" t="s">
        <v>417</v>
      </c>
      <c r="AN45" s="70"/>
      <c r="AO45" s="70" t="s">
        <v>934</v>
      </c>
      <c r="AP45" s="148">
        <v>880.04</v>
      </c>
      <c r="AQ45" s="148">
        <v>880.04200000000003</v>
      </c>
      <c r="AR45" s="70" t="s">
        <v>422</v>
      </c>
      <c r="AS45" s="70" t="s">
        <v>412</v>
      </c>
      <c r="AT45" s="71"/>
      <c r="AU45" s="71">
        <v>1</v>
      </c>
      <c r="AV45" s="71">
        <v>588.80999999999995</v>
      </c>
      <c r="AW45" s="71"/>
      <c r="AX45" s="71">
        <f>7.15+97.29</f>
        <v>104.44000000000001</v>
      </c>
      <c r="AY45" s="71">
        <v>65.67</v>
      </c>
      <c r="AZ45" s="71">
        <v>18.88</v>
      </c>
      <c r="BA45" s="71">
        <v>96.14</v>
      </c>
      <c r="BB45" s="70"/>
      <c r="BC45" s="74">
        <f>SUM(AV45:BB45)</f>
        <v>873.93999999999994</v>
      </c>
      <c r="BD45" s="70" t="s">
        <v>826</v>
      </c>
      <c r="BE45" s="70" t="s">
        <v>847</v>
      </c>
      <c r="BF45" s="70" t="s">
        <v>840</v>
      </c>
      <c r="BG45" s="70" t="s">
        <v>856</v>
      </c>
      <c r="BH45" s="70" t="s">
        <v>848</v>
      </c>
      <c r="BI45" s="70" t="s">
        <v>849</v>
      </c>
      <c r="BJ45" s="70" t="s">
        <v>841</v>
      </c>
      <c r="BK45" s="70" t="s">
        <v>839</v>
      </c>
      <c r="BL45" s="70" t="s">
        <v>859</v>
      </c>
      <c r="BM45" s="71"/>
      <c r="BN45" s="71"/>
      <c r="BO45" s="71" t="s">
        <v>935</v>
      </c>
      <c r="BP45" s="71" t="s">
        <v>936</v>
      </c>
      <c r="BQ45" s="71" t="s">
        <v>937</v>
      </c>
      <c r="BR45" s="71" t="s">
        <v>938</v>
      </c>
      <c r="BS45" s="88">
        <v>97</v>
      </c>
      <c r="BT45" s="88">
        <v>18000</v>
      </c>
      <c r="BU45" s="88">
        <v>40300</v>
      </c>
      <c r="BV45" s="88">
        <v>2000</v>
      </c>
      <c r="BW45" s="71"/>
      <c r="BX45" s="71"/>
      <c r="BY45" s="71"/>
      <c r="BZ45" s="71"/>
      <c r="CA45" s="71"/>
      <c r="CB45" s="71"/>
    </row>
    <row r="46" spans="2:80" ht="40" customHeight="1" x14ac:dyDescent="0.35">
      <c r="B46" s="70">
        <v>43</v>
      </c>
      <c r="C46" s="71" t="s">
        <v>58</v>
      </c>
      <c r="D46" s="70" t="s">
        <v>104</v>
      </c>
      <c r="E46" s="70" t="s">
        <v>126</v>
      </c>
      <c r="F46" s="70" t="s">
        <v>127</v>
      </c>
      <c r="G46" s="70" t="s">
        <v>70</v>
      </c>
      <c r="H46" s="70" t="s">
        <v>422</v>
      </c>
      <c r="I46" s="70" t="s">
        <v>440</v>
      </c>
      <c r="J46" s="70" t="s">
        <v>443</v>
      </c>
      <c r="K46" s="70" t="s">
        <v>417</v>
      </c>
      <c r="L46" s="70"/>
      <c r="M46" s="70"/>
      <c r="N46" s="63"/>
      <c r="O46" s="63"/>
      <c r="P46" s="63"/>
      <c r="Q46" s="70"/>
      <c r="R46" s="96"/>
      <c r="S46" s="79"/>
      <c r="T46" s="63"/>
      <c r="U46" s="79" t="s">
        <v>417</v>
      </c>
      <c r="V46" s="96">
        <v>2021</v>
      </c>
      <c r="W46" s="79"/>
      <c r="X46" s="63"/>
      <c r="Y46" s="63" t="str">
        <f>IF(AND(Table14[[#This Row],[Pre-Feasibility]]=0,Table14[[#This Row],[Pre-Feasibility 2]]=0, Table14[[#This Row],[Feasibility]]=0, Table14[[#This Row],[Feasibility 2]]=0), "No", "Yes")</f>
        <v>Yes</v>
      </c>
      <c r="Z46" s="63" t="s">
        <v>440</v>
      </c>
      <c r="AA46" s="63" t="s">
        <v>440</v>
      </c>
      <c r="AB46" s="79"/>
      <c r="AC46" s="70" t="s">
        <v>824</v>
      </c>
      <c r="AD46" s="70">
        <v>266.755</v>
      </c>
      <c r="AE46" s="70" t="s">
        <v>180</v>
      </c>
      <c r="AF46" s="70"/>
      <c r="AG46" s="70" t="s">
        <v>180</v>
      </c>
      <c r="AH46" s="70">
        <v>500</v>
      </c>
      <c r="AI46" s="70" t="s">
        <v>440</v>
      </c>
      <c r="AJ46" s="70" t="s">
        <v>440</v>
      </c>
      <c r="AK46" s="70" t="s">
        <v>440</v>
      </c>
      <c r="AL46" s="250" cm="1">
        <f t="array" ref="AL46">IFERROR(_xlfn.STDEV.P(IF(Table14[[#This Row],[Website Area (Acres)]:[PEZ Other Source (Acre)]]&lt;&gt;0, Table14[[#This Row],[Website Area (Acres)]:[PEZ Other Source (Acre)]], ""))/AVERAGE(IF(Table14[[#This Row],[Website Area (Acres)]:[PEZ Other Source (Acre)]]&lt;&gt;0, Table14[[#This Row],[Website Area (Acres)]:[PEZ Other Source (Acre)]], "")), "")</f>
        <v>0.30419755984636571</v>
      </c>
      <c r="AM46" s="70" t="s">
        <v>417</v>
      </c>
      <c r="AN46" s="70"/>
      <c r="AO46" s="70" t="s">
        <v>939</v>
      </c>
      <c r="AP46" s="148">
        <v>500</v>
      </c>
      <c r="AQ46" s="148">
        <v>500</v>
      </c>
      <c r="AR46" s="70" t="s">
        <v>455</v>
      </c>
      <c r="AS46" s="70" t="s">
        <v>444</v>
      </c>
      <c r="AT46" s="71"/>
      <c r="AU46" s="87">
        <f>AV46/157</f>
        <v>1.2954777070063694</v>
      </c>
      <c r="AV46" s="71">
        <v>203.39</v>
      </c>
      <c r="AW46" s="71"/>
      <c r="AX46" s="71"/>
      <c r="AY46" s="71"/>
      <c r="AZ46" s="71"/>
      <c r="BA46" s="71"/>
      <c r="BB46" s="70"/>
      <c r="BC46" s="74">
        <v>500</v>
      </c>
      <c r="BD46" s="70" t="s">
        <v>826</v>
      </c>
      <c r="BE46" s="70" t="s">
        <v>839</v>
      </c>
      <c r="BF46" s="70" t="s">
        <v>940</v>
      </c>
      <c r="BG46" s="70" t="s">
        <v>829</v>
      </c>
      <c r="BH46" s="70" t="s">
        <v>831</v>
      </c>
      <c r="BI46" s="70" t="s">
        <v>941</v>
      </c>
      <c r="BJ46" s="70"/>
      <c r="BK46" s="70"/>
      <c r="BL46" s="70"/>
      <c r="BM46" s="71"/>
      <c r="BN46" s="71"/>
      <c r="BO46" s="71" t="s">
        <v>942</v>
      </c>
      <c r="BP46" s="71" t="s">
        <v>943</v>
      </c>
      <c r="BQ46" s="71"/>
      <c r="BR46" s="71"/>
      <c r="BS46" s="88">
        <v>42.85</v>
      </c>
      <c r="BT46" s="88"/>
      <c r="BU46" s="88">
        <v>40000</v>
      </c>
      <c r="BV46" s="88"/>
      <c r="BW46" s="71"/>
      <c r="BX46" s="71"/>
      <c r="BY46" s="71"/>
      <c r="BZ46" s="71"/>
      <c r="CA46" s="71"/>
      <c r="CB46" s="71"/>
    </row>
    <row r="47" spans="2:80" ht="40" customHeight="1" x14ac:dyDescent="0.35">
      <c r="B47" s="70">
        <v>44</v>
      </c>
      <c r="C47" s="71" t="s">
        <v>59</v>
      </c>
      <c r="D47" s="70" t="s">
        <v>121</v>
      </c>
      <c r="E47" s="70" t="s">
        <v>128</v>
      </c>
      <c r="F47" s="70" t="s">
        <v>129</v>
      </c>
      <c r="G47" s="70" t="s">
        <v>70</v>
      </c>
      <c r="H47" s="70" t="s">
        <v>422</v>
      </c>
      <c r="I47" s="70" t="s">
        <v>440</v>
      </c>
      <c r="J47" s="70" t="s">
        <v>443</v>
      </c>
      <c r="K47" s="70" t="s">
        <v>417</v>
      </c>
      <c r="L47" s="70"/>
      <c r="M47" s="70"/>
      <c r="N47" s="63"/>
      <c r="O47" s="135" t="s">
        <v>417</v>
      </c>
      <c r="P47" s="63">
        <v>2015</v>
      </c>
      <c r="Q47" s="79" t="s">
        <v>417</v>
      </c>
      <c r="R47" s="96">
        <v>2021</v>
      </c>
      <c r="S47" s="70"/>
      <c r="T47" s="63"/>
      <c r="U47" s="70"/>
      <c r="V47" s="96"/>
      <c r="W47" s="70"/>
      <c r="X47" s="63"/>
      <c r="Y47" s="63" t="str">
        <f>IF(AND(Table14[[#This Row],[Pre-Feasibility]]=0,Table14[[#This Row],[Pre-Feasibility 2]]=0, Table14[[#This Row],[Feasibility]]=0, Table14[[#This Row],[Feasibility 2]]=0), "No", "Yes")</f>
        <v>Yes</v>
      </c>
      <c r="Z47" s="63" t="s">
        <v>440</v>
      </c>
      <c r="AA47" s="63" t="s">
        <v>440</v>
      </c>
      <c r="AB47" s="70"/>
      <c r="AC47" s="70" t="s">
        <v>824</v>
      </c>
      <c r="AD47" s="70">
        <v>357.76</v>
      </c>
      <c r="AE47" s="70" t="s">
        <v>180</v>
      </c>
      <c r="AF47" s="70">
        <v>357.76</v>
      </c>
      <c r="AG47" s="70">
        <v>357.76</v>
      </c>
      <c r="AH47" s="70" t="s">
        <v>180</v>
      </c>
      <c r="AI47" s="70" t="s">
        <v>440</v>
      </c>
      <c r="AJ47" s="70" t="s">
        <v>440</v>
      </c>
      <c r="AK47" s="70" t="s">
        <v>440</v>
      </c>
      <c r="AL47" s="250" cm="1">
        <f t="array" ref="AL47">IFERROR(_xlfn.STDEV.P(IF(Table14[[#This Row],[Website Area (Acres)]:[PEZ Other Source (Acre)]]&lt;&gt;0, Table14[[#This Row],[Website Area (Acres)]:[PEZ Other Source (Acre)]], ""))/AVERAGE(IF(Table14[[#This Row],[Website Area (Acres)]:[PEZ Other Source (Acre)]]&lt;&gt;0, Table14[[#This Row],[Website Area (Acres)]:[PEZ Other Source (Acre)]], "")), "")</f>
        <v>0</v>
      </c>
      <c r="AM47" s="70" t="s">
        <v>418</v>
      </c>
      <c r="AN47" s="70"/>
      <c r="AO47" s="70"/>
      <c r="AP47" s="148">
        <v>357.76</v>
      </c>
      <c r="AQ47" s="148">
        <v>107.73</v>
      </c>
      <c r="AR47" s="70" t="s">
        <v>456</v>
      </c>
      <c r="AS47" s="70" t="s">
        <v>435</v>
      </c>
      <c r="AT47" s="71"/>
      <c r="AU47" s="71">
        <v>1</v>
      </c>
      <c r="AV47" s="71">
        <v>238.09</v>
      </c>
      <c r="AW47" s="71"/>
      <c r="AX47" s="71">
        <f>46.66+1.48</f>
        <v>48.139999999999993</v>
      </c>
      <c r="AY47" s="71">
        <v>12.68</v>
      </c>
      <c r="AZ47" s="71">
        <v>14.35</v>
      </c>
      <c r="BA47" s="71">
        <v>44.5</v>
      </c>
      <c r="BB47" s="70"/>
      <c r="BC47" s="74">
        <f>SUM(AV47:BB47)</f>
        <v>357.76000000000005</v>
      </c>
      <c r="BD47" s="70" t="s">
        <v>826</v>
      </c>
      <c r="BE47" s="70" t="s">
        <v>847</v>
      </c>
      <c r="BF47" s="70" t="s">
        <v>829</v>
      </c>
      <c r="BG47" s="70" t="s">
        <v>841</v>
      </c>
      <c r="BH47" s="70" t="s">
        <v>839</v>
      </c>
      <c r="BI47" s="70" t="s">
        <v>859</v>
      </c>
      <c r="BJ47" s="70"/>
      <c r="BK47" s="70"/>
      <c r="BL47" s="70"/>
      <c r="BM47" s="71"/>
      <c r="BN47" s="71"/>
      <c r="BO47" s="71" t="s">
        <v>944</v>
      </c>
      <c r="BP47" s="71" t="s">
        <v>945</v>
      </c>
      <c r="BQ47" s="71" t="s">
        <v>946</v>
      </c>
      <c r="BR47" s="71" t="s">
        <v>947</v>
      </c>
      <c r="BS47" s="88">
        <v>41</v>
      </c>
      <c r="BT47" s="71">
        <v>8174.79</v>
      </c>
      <c r="BU47" s="88">
        <v>16300</v>
      </c>
      <c r="BV47" s="71">
        <v>629.75</v>
      </c>
      <c r="BW47" s="71"/>
      <c r="BX47" s="71"/>
      <c r="BY47" s="71"/>
      <c r="BZ47" s="71"/>
      <c r="CA47" s="71"/>
      <c r="CB47" s="71"/>
    </row>
    <row r="48" spans="2:80" ht="40" customHeight="1" x14ac:dyDescent="0.35">
      <c r="B48" s="70">
        <v>45</v>
      </c>
      <c r="C48" s="71" t="s">
        <v>154</v>
      </c>
      <c r="D48" s="70" t="s">
        <v>68</v>
      </c>
      <c r="E48" s="70" t="s">
        <v>155</v>
      </c>
      <c r="F48" s="70" t="s">
        <v>156</v>
      </c>
      <c r="G48" s="70" t="s">
        <v>70</v>
      </c>
      <c r="H48" s="70" t="s">
        <v>431</v>
      </c>
      <c r="I48" s="70" t="s">
        <v>440</v>
      </c>
      <c r="J48" s="70" t="s">
        <v>436</v>
      </c>
      <c r="K48" s="70" t="s">
        <v>417</v>
      </c>
      <c r="L48" s="70"/>
      <c r="M48" s="139" t="s">
        <v>417</v>
      </c>
      <c r="N48" s="63">
        <v>2019</v>
      </c>
      <c r="O48" s="63"/>
      <c r="P48" s="63"/>
      <c r="Q48" s="70"/>
      <c r="R48" s="96"/>
      <c r="S48" s="70"/>
      <c r="T48" s="63"/>
      <c r="U48" s="70"/>
      <c r="V48" s="96"/>
      <c r="W48" s="70"/>
      <c r="X48" s="63"/>
      <c r="Y48" s="63" t="str">
        <f>IF(AND(Table14[[#This Row],[Pre-Feasibility]]=0,Table14[[#This Row],[Pre-Feasibility 2]]=0, Table14[[#This Row],[Feasibility]]=0, Table14[[#This Row],[Feasibility 2]]=0), "No", "Yes")</f>
        <v>No</v>
      </c>
      <c r="Z48" s="63" t="s">
        <v>440</v>
      </c>
      <c r="AA48" s="63" t="s">
        <v>440</v>
      </c>
      <c r="AB48" s="70"/>
      <c r="AC48" s="70" t="s">
        <v>864</v>
      </c>
      <c r="AD48" s="70"/>
      <c r="AE48" s="70">
        <v>350</v>
      </c>
      <c r="AF48" s="70"/>
      <c r="AG48" s="70" t="s">
        <v>180</v>
      </c>
      <c r="AH48" s="70" t="s">
        <v>180</v>
      </c>
      <c r="AI48" s="70" t="s">
        <v>440</v>
      </c>
      <c r="AJ48" s="70" t="s">
        <v>440</v>
      </c>
      <c r="AK48" s="70" t="s">
        <v>440</v>
      </c>
      <c r="AL48" s="250" cm="1">
        <f t="array" ref="AL48">IFERROR(_xlfn.STDEV.P(IF(Table14[[#This Row],[Website Area (Acres)]:[PEZ Other Source (Acre)]]&lt;&gt;0, Table14[[#This Row],[Website Area (Acres)]:[PEZ Other Source (Acre)]], ""))/AVERAGE(IF(Table14[[#This Row],[Website Area (Acres)]:[PEZ Other Source (Acre)]]&lt;&gt;0, Table14[[#This Row],[Website Area (Acres)]:[PEZ Other Source (Acre)]], "")), "")</f>
        <v>0</v>
      </c>
      <c r="AM48" s="70" t="s">
        <v>418</v>
      </c>
      <c r="AN48" s="70"/>
      <c r="AO48" s="70"/>
      <c r="AP48" s="148">
        <v>350</v>
      </c>
      <c r="AQ48" s="148">
        <v>4835.91</v>
      </c>
      <c r="AR48" s="70" t="s">
        <v>422</v>
      </c>
      <c r="AS48" s="70" t="s">
        <v>435</v>
      </c>
      <c r="AT48" s="71"/>
      <c r="AU48" s="71"/>
      <c r="AV48" s="71"/>
      <c r="AW48" s="71"/>
      <c r="AX48" s="71"/>
      <c r="AY48" s="71"/>
      <c r="AZ48" s="71"/>
      <c r="BA48" s="71"/>
      <c r="BB48" s="70"/>
      <c r="BC48" s="75"/>
      <c r="BD48" s="70"/>
      <c r="BE48" s="70"/>
      <c r="BF48" s="70"/>
      <c r="BG48" s="70"/>
      <c r="BH48" s="70"/>
      <c r="BI48" s="70"/>
      <c r="BJ48" s="70"/>
      <c r="BK48" s="70"/>
      <c r="BL48" s="70"/>
      <c r="BM48" s="71"/>
      <c r="BN48" s="71"/>
      <c r="BO48" s="71"/>
      <c r="BP48" s="71"/>
      <c r="BQ48" s="71"/>
      <c r="BR48" s="71"/>
      <c r="BS48" s="71"/>
      <c r="BT48" s="71"/>
      <c r="BU48" s="71"/>
      <c r="BV48" s="71"/>
      <c r="BW48" s="71"/>
      <c r="BX48" s="71"/>
      <c r="BY48" s="71"/>
      <c r="BZ48" s="71"/>
      <c r="CA48" s="71"/>
      <c r="CB48" s="71"/>
    </row>
    <row r="49" spans="2:80" ht="40" customHeight="1" x14ac:dyDescent="0.35">
      <c r="B49" s="70">
        <v>46</v>
      </c>
      <c r="C49" s="71" t="s">
        <v>232</v>
      </c>
      <c r="D49" s="70" t="s">
        <v>76</v>
      </c>
      <c r="E49" s="70" t="s">
        <v>170</v>
      </c>
      <c r="F49" s="70" t="s">
        <v>233</v>
      </c>
      <c r="G49" s="70" t="s">
        <v>70</v>
      </c>
      <c r="H49" s="70" t="s">
        <v>430</v>
      </c>
      <c r="I49" s="70" t="s">
        <v>440</v>
      </c>
      <c r="J49" s="70" t="s">
        <v>436</v>
      </c>
      <c r="K49" s="70" t="s">
        <v>417</v>
      </c>
      <c r="L49" s="70"/>
      <c r="M49" s="70"/>
      <c r="N49" s="63"/>
      <c r="O49" s="63"/>
      <c r="P49" s="63"/>
      <c r="Q49" s="70"/>
      <c r="R49" s="96"/>
      <c r="S49" s="70"/>
      <c r="T49" s="63"/>
      <c r="U49" s="70"/>
      <c r="V49" s="96"/>
      <c r="W49" s="70"/>
      <c r="X49" s="63"/>
      <c r="Y49" s="63" t="str">
        <f>IF(AND(Table14[[#This Row],[Pre-Feasibility]]=0,Table14[[#This Row],[Pre-Feasibility 2]]=0, Table14[[#This Row],[Feasibility]]=0, Table14[[#This Row],[Feasibility 2]]=0), "No", "Yes")</f>
        <v>No</v>
      </c>
      <c r="Z49" s="63" t="s">
        <v>440</v>
      </c>
      <c r="AA49" s="63" t="s">
        <v>440</v>
      </c>
      <c r="AB49" s="70"/>
      <c r="AC49" s="70"/>
      <c r="AD49" s="70">
        <v>690.20159999999998</v>
      </c>
      <c r="AE49" s="70" t="s">
        <v>180</v>
      </c>
      <c r="AF49" s="70"/>
      <c r="AG49" s="70" t="s">
        <v>180</v>
      </c>
      <c r="AH49" s="70" t="s">
        <v>180</v>
      </c>
      <c r="AI49" s="70" t="s">
        <v>440</v>
      </c>
      <c r="AJ49" s="70" t="s">
        <v>440</v>
      </c>
      <c r="AK49" s="70" t="s">
        <v>440</v>
      </c>
      <c r="AL49" s="250" cm="1">
        <f t="array" ref="AL49">IFERROR(_xlfn.STDEV.P(IF(Table14[[#This Row],[Website Area (Acres)]:[PEZ Other Source (Acre)]]&lt;&gt;0, Table14[[#This Row],[Website Area (Acres)]:[PEZ Other Source (Acre)]], ""))/AVERAGE(IF(Table14[[#This Row],[Website Area (Acres)]:[PEZ Other Source (Acre)]]&lt;&gt;0, Table14[[#This Row],[Website Area (Acres)]:[PEZ Other Source (Acre)]], "")), "")</f>
        <v>0</v>
      </c>
      <c r="AM49" s="70" t="s">
        <v>418</v>
      </c>
      <c r="AN49" s="70"/>
      <c r="AO49" s="70"/>
      <c r="AP49" s="148">
        <v>690</v>
      </c>
      <c r="AQ49" s="148">
        <v>690.2</v>
      </c>
      <c r="AR49" s="70" t="s">
        <v>455</v>
      </c>
      <c r="AS49" s="70" t="s">
        <v>444</v>
      </c>
      <c r="AT49" s="71"/>
      <c r="AU49" s="71"/>
      <c r="AV49" s="71"/>
      <c r="AW49" s="71"/>
      <c r="AX49" s="71"/>
      <c r="AY49" s="71"/>
      <c r="AZ49" s="71"/>
      <c r="BA49" s="71"/>
      <c r="BB49" s="70"/>
      <c r="BC49" s="75"/>
      <c r="BD49" s="70"/>
      <c r="BE49" s="70"/>
      <c r="BF49" s="70"/>
      <c r="BG49" s="70"/>
      <c r="BH49" s="70"/>
      <c r="BI49" s="70"/>
      <c r="BJ49" s="70"/>
      <c r="BK49" s="70"/>
      <c r="BL49" s="70"/>
      <c r="BM49" s="71"/>
      <c r="BN49" s="71"/>
      <c r="BO49" s="71"/>
      <c r="BP49" s="71"/>
      <c r="BQ49" s="71"/>
      <c r="BR49" s="71"/>
      <c r="BS49" s="71"/>
      <c r="BT49" s="71"/>
      <c r="BU49" s="71"/>
      <c r="BV49" s="71"/>
      <c r="BW49" s="71"/>
      <c r="BX49" s="71"/>
      <c r="BY49" s="71"/>
      <c r="BZ49" s="71"/>
      <c r="CA49" s="71"/>
      <c r="CB49" s="71"/>
    </row>
    <row r="50" spans="2:80" ht="40" customHeight="1" x14ac:dyDescent="0.35">
      <c r="B50" s="70">
        <v>47</v>
      </c>
      <c r="C50" s="71" t="s">
        <v>235</v>
      </c>
      <c r="D50" s="70" t="s">
        <v>113</v>
      </c>
      <c r="E50" s="70" t="s">
        <v>236</v>
      </c>
      <c r="F50" s="70" t="s">
        <v>237</v>
      </c>
      <c r="G50" s="70" t="s">
        <v>70</v>
      </c>
      <c r="H50" s="70" t="s">
        <v>430</v>
      </c>
      <c r="I50" s="70" t="s">
        <v>440</v>
      </c>
      <c r="J50" s="70" t="s">
        <v>436</v>
      </c>
      <c r="K50" s="70" t="s">
        <v>417</v>
      </c>
      <c r="L50" s="70"/>
      <c r="M50" s="70"/>
      <c r="N50" s="63"/>
      <c r="O50" s="63"/>
      <c r="P50" s="63"/>
      <c r="Q50" s="70"/>
      <c r="R50" s="96"/>
      <c r="S50" s="70"/>
      <c r="T50" s="63"/>
      <c r="U50" s="70"/>
      <c r="V50" s="96"/>
      <c r="W50" s="70"/>
      <c r="X50" s="63"/>
      <c r="Y50" s="63" t="str">
        <f>IF(AND(Table14[[#This Row],[Pre-Feasibility]]=0,Table14[[#This Row],[Pre-Feasibility 2]]=0, Table14[[#This Row],[Feasibility]]=0, Table14[[#This Row],[Feasibility 2]]=0), "No", "Yes")</f>
        <v>No</v>
      </c>
      <c r="Z50" s="63" t="s">
        <v>440</v>
      </c>
      <c r="AA50" s="63" t="s">
        <v>440</v>
      </c>
      <c r="AB50" s="70"/>
      <c r="AC50" s="70"/>
      <c r="AD50" s="70"/>
      <c r="AE50" s="70" t="s">
        <v>180</v>
      </c>
      <c r="AF50" s="70"/>
      <c r="AG50" s="70" t="s">
        <v>180</v>
      </c>
      <c r="AH50" s="70" t="s">
        <v>180</v>
      </c>
      <c r="AI50" s="70" t="s">
        <v>440</v>
      </c>
      <c r="AJ50" s="70" t="s">
        <v>440</v>
      </c>
      <c r="AK50" s="70" t="s">
        <v>440</v>
      </c>
      <c r="AL50" s="250" t="str" cm="1">
        <f t="array" ref="AL50">IFERROR(_xlfn.STDEV.P(IF(Table14[[#This Row],[Website Area (Acres)]:[PEZ Other Source (Acre)]]&lt;&gt;0, Table14[[#This Row],[Website Area (Acres)]:[PEZ Other Source (Acre)]], ""))/AVERAGE(IF(Table14[[#This Row],[Website Area (Acres)]:[PEZ Other Source (Acre)]]&lt;&gt;0, Table14[[#This Row],[Website Area (Acres)]:[PEZ Other Source (Acre)]], "")), "")</f>
        <v/>
      </c>
      <c r="AM50" s="70" t="s">
        <v>837</v>
      </c>
      <c r="AN50" s="70" t="s">
        <v>837</v>
      </c>
      <c r="AO50" s="70" t="s">
        <v>1434</v>
      </c>
      <c r="AP50" s="148">
        <v>516.26</v>
      </c>
      <c r="AQ50" s="148">
        <v>516.26</v>
      </c>
      <c r="AR50" s="70" t="s">
        <v>454</v>
      </c>
      <c r="AS50" s="70" t="s">
        <v>435</v>
      </c>
      <c r="AT50" s="71"/>
      <c r="AU50" s="71"/>
      <c r="AV50" s="71"/>
      <c r="AW50" s="71"/>
      <c r="AX50" s="71"/>
      <c r="AY50" s="71"/>
      <c r="AZ50" s="71"/>
      <c r="BA50" s="71"/>
      <c r="BB50" s="70"/>
      <c r="BC50" s="75"/>
      <c r="BD50" s="70"/>
      <c r="BE50" s="70"/>
      <c r="BF50" s="70"/>
      <c r="BG50" s="70"/>
      <c r="BH50" s="70"/>
      <c r="BI50" s="70"/>
      <c r="BJ50" s="70"/>
      <c r="BK50" s="70"/>
      <c r="BL50" s="70"/>
      <c r="BM50" s="71"/>
      <c r="BN50" s="71"/>
      <c r="BO50" s="71"/>
      <c r="BP50" s="71"/>
      <c r="BQ50" s="71"/>
      <c r="BR50" s="71"/>
      <c r="BS50" s="71"/>
      <c r="BT50" s="71"/>
      <c r="BU50" s="71"/>
      <c r="BV50" s="71"/>
      <c r="BW50" s="71"/>
      <c r="BX50" s="71"/>
      <c r="BY50" s="71"/>
      <c r="BZ50" s="71"/>
      <c r="CA50" s="71"/>
      <c r="CB50" s="71"/>
    </row>
    <row r="51" spans="2:80" ht="40" customHeight="1" x14ac:dyDescent="0.35">
      <c r="B51" s="70">
        <v>48</v>
      </c>
      <c r="C51" s="71" t="s">
        <v>55</v>
      </c>
      <c r="D51" s="70" t="s">
        <v>121</v>
      </c>
      <c r="E51" s="70" t="s">
        <v>122</v>
      </c>
      <c r="F51" s="70" t="s">
        <v>123</v>
      </c>
      <c r="G51" s="70" t="s">
        <v>70</v>
      </c>
      <c r="H51" s="70" t="s">
        <v>422</v>
      </c>
      <c r="I51" s="70" t="s">
        <v>440</v>
      </c>
      <c r="J51" s="70" t="s">
        <v>443</v>
      </c>
      <c r="K51" s="70" t="s">
        <v>417</v>
      </c>
      <c r="L51" s="70"/>
      <c r="M51" s="70"/>
      <c r="N51" s="63"/>
      <c r="O51" s="135" t="s">
        <v>417</v>
      </c>
      <c r="P51" s="63">
        <v>2015</v>
      </c>
      <c r="Q51" s="79" t="s">
        <v>417</v>
      </c>
      <c r="R51" s="96">
        <v>2021</v>
      </c>
      <c r="S51" s="70"/>
      <c r="T51" s="63"/>
      <c r="U51" s="70"/>
      <c r="V51" s="96"/>
      <c r="W51" s="70"/>
      <c r="X51" s="63"/>
      <c r="Y51" s="63" t="str">
        <f>IF(AND(Table14[[#This Row],[Pre-Feasibility]]=0,Table14[[#This Row],[Pre-Feasibility 2]]=0, Table14[[#This Row],[Feasibility]]=0, Table14[[#This Row],[Feasibility 2]]=0), "No", "Yes")</f>
        <v>Yes</v>
      </c>
      <c r="Z51" s="63" t="s">
        <v>440</v>
      </c>
      <c r="AA51" s="63" t="s">
        <v>440</v>
      </c>
      <c r="AB51" s="70"/>
      <c r="AC51" s="70" t="s">
        <v>824</v>
      </c>
      <c r="AD51" s="70">
        <v>595.01</v>
      </c>
      <c r="AE51" s="70" t="s">
        <v>180</v>
      </c>
      <c r="AF51" s="70">
        <v>595.01</v>
      </c>
      <c r="AG51" s="70">
        <v>580</v>
      </c>
      <c r="AH51" s="70" t="s">
        <v>180</v>
      </c>
      <c r="AI51" s="70" t="s">
        <v>440</v>
      </c>
      <c r="AJ51" s="70" t="s">
        <v>440</v>
      </c>
      <c r="AK51" s="70" t="s">
        <v>440</v>
      </c>
      <c r="AL51" s="250" cm="1">
        <f t="array" ref="AL51">IFERROR(_xlfn.STDEV.P(IF(Table14[[#This Row],[Website Area (Acres)]:[PEZ Other Source (Acre)]]&lt;&gt;0, Table14[[#This Row],[Website Area (Acres)]:[PEZ Other Source (Acre)]], ""))/AVERAGE(IF(Table14[[#This Row],[Website Area (Acres)]:[PEZ Other Source (Acre)]]&lt;&gt;0, Table14[[#This Row],[Website Area (Acres)]:[PEZ Other Source (Acre)]], "")), "")</f>
        <v>1.19927150943041E-2</v>
      </c>
      <c r="AM51" s="70" t="s">
        <v>418</v>
      </c>
      <c r="AN51" s="70"/>
      <c r="AO51" s="70"/>
      <c r="AP51" s="148">
        <v>595</v>
      </c>
      <c r="AQ51" s="148">
        <v>602.41999999999996</v>
      </c>
      <c r="AR51" s="70" t="s">
        <v>452</v>
      </c>
      <c r="AS51" s="70" t="s">
        <v>435</v>
      </c>
      <c r="AT51" s="71"/>
      <c r="AU51" s="71">
        <v>1</v>
      </c>
      <c r="AV51" s="71">
        <v>360.04</v>
      </c>
      <c r="AW51" s="71"/>
      <c r="AX51" s="71">
        <f>72.65+3.47</f>
        <v>76.12</v>
      </c>
      <c r="AY51" s="71">
        <v>29.65</v>
      </c>
      <c r="AZ51" s="71">
        <v>12.36</v>
      </c>
      <c r="BA51" s="71">
        <v>56.83</v>
      </c>
      <c r="BB51" s="70"/>
      <c r="BC51" s="74">
        <f>SUM(AV51:BB51)</f>
        <v>535</v>
      </c>
      <c r="BD51" s="70" t="s">
        <v>826</v>
      </c>
      <c r="BE51" s="70" t="s">
        <v>847</v>
      </c>
      <c r="BF51" s="70" t="s">
        <v>829</v>
      </c>
      <c r="BG51" s="70" t="s">
        <v>856</v>
      </c>
      <c r="BH51" s="70" t="s">
        <v>848</v>
      </c>
      <c r="BI51" s="70"/>
      <c r="BJ51" s="70"/>
      <c r="BK51" s="70"/>
      <c r="BL51" s="70"/>
      <c r="BM51" s="71"/>
      <c r="BN51" s="71"/>
      <c r="BO51" s="71" t="s">
        <v>948</v>
      </c>
      <c r="BP51" s="71" t="s">
        <v>949</v>
      </c>
      <c r="BQ51" s="71" t="s">
        <v>950</v>
      </c>
      <c r="BR51" s="71" t="s">
        <v>951</v>
      </c>
      <c r="BS51" s="71">
        <v>62</v>
      </c>
      <c r="BT51" s="88">
        <v>12300</v>
      </c>
      <c r="BU51" s="88">
        <v>24680</v>
      </c>
      <c r="BV51" s="88">
        <v>6000</v>
      </c>
      <c r="BW51" s="71"/>
      <c r="BX51" s="71"/>
      <c r="BY51" s="71"/>
      <c r="BZ51" s="71"/>
      <c r="CA51" s="71"/>
      <c r="CB51" s="71"/>
    </row>
    <row r="52" spans="2:80" ht="40" customHeight="1" x14ac:dyDescent="0.35">
      <c r="B52" s="70">
        <v>49</v>
      </c>
      <c r="C52" s="71" t="s">
        <v>199</v>
      </c>
      <c r="D52" s="70" t="s">
        <v>68</v>
      </c>
      <c r="E52" s="70" t="s">
        <v>68</v>
      </c>
      <c r="F52" s="70" t="s">
        <v>200</v>
      </c>
      <c r="G52" s="70" t="s">
        <v>70</v>
      </c>
      <c r="H52" s="70" t="s">
        <v>430</v>
      </c>
      <c r="I52" s="70" t="s">
        <v>440</v>
      </c>
      <c r="J52" s="70" t="s">
        <v>436</v>
      </c>
      <c r="K52" s="70" t="s">
        <v>417</v>
      </c>
      <c r="L52" s="70"/>
      <c r="M52" s="70"/>
      <c r="N52" s="63"/>
      <c r="O52" s="63"/>
      <c r="P52" s="63"/>
      <c r="Q52" s="70"/>
      <c r="R52" s="96"/>
      <c r="S52" s="70"/>
      <c r="T52" s="63"/>
      <c r="U52" s="70"/>
      <c r="V52" s="96"/>
      <c r="W52" s="70"/>
      <c r="X52" s="63"/>
      <c r="Y52" s="63" t="str">
        <f>IF(AND(Table14[[#This Row],[Pre-Feasibility]]=0,Table14[[#This Row],[Pre-Feasibility 2]]=0, Table14[[#This Row],[Feasibility]]=0, Table14[[#This Row],[Feasibility 2]]=0), "No", "Yes")</f>
        <v>No</v>
      </c>
      <c r="Z52" s="63" t="s">
        <v>440</v>
      </c>
      <c r="AA52" s="63" t="s">
        <v>440</v>
      </c>
      <c r="AB52" s="70"/>
      <c r="AC52" s="70"/>
      <c r="AD52" s="70">
        <v>774.48</v>
      </c>
      <c r="AE52" s="70" t="s">
        <v>180</v>
      </c>
      <c r="AF52" s="70"/>
      <c r="AG52" s="70" t="s">
        <v>180</v>
      </c>
      <c r="AH52" s="70" t="s">
        <v>180</v>
      </c>
      <c r="AI52" s="70" t="s">
        <v>440</v>
      </c>
      <c r="AJ52" s="70" t="s">
        <v>440</v>
      </c>
      <c r="AK52" s="70" t="s">
        <v>440</v>
      </c>
      <c r="AL52" s="250" cm="1">
        <f t="array" ref="AL52">IFERROR(_xlfn.STDEV.P(IF(Table14[[#This Row],[Website Area (Acres)]:[PEZ Other Source (Acre)]]&lt;&gt;0, Table14[[#This Row],[Website Area (Acres)]:[PEZ Other Source (Acre)]], ""))/AVERAGE(IF(Table14[[#This Row],[Website Area (Acres)]:[PEZ Other Source (Acre)]]&lt;&gt;0, Table14[[#This Row],[Website Area (Acres)]:[PEZ Other Source (Acre)]], "")), "")</f>
        <v>0</v>
      </c>
      <c r="AM52" s="70" t="s">
        <v>418</v>
      </c>
      <c r="AN52" s="70"/>
      <c r="AO52" s="70"/>
      <c r="AP52" s="148">
        <v>774.5</v>
      </c>
      <c r="AQ52" s="148">
        <v>774.48</v>
      </c>
      <c r="AR52" s="70" t="s">
        <v>470</v>
      </c>
      <c r="AS52" s="70" t="s">
        <v>444</v>
      </c>
      <c r="AT52" s="71"/>
      <c r="AU52" s="71"/>
      <c r="AV52" s="71"/>
      <c r="AW52" s="71"/>
      <c r="AX52" s="71"/>
      <c r="AY52" s="71"/>
      <c r="AZ52" s="71"/>
      <c r="BA52" s="71"/>
      <c r="BB52" s="70"/>
      <c r="BC52" s="75"/>
      <c r="BD52" s="70"/>
      <c r="BE52" s="70"/>
      <c r="BF52" s="70"/>
      <c r="BG52" s="70"/>
      <c r="BH52" s="70"/>
      <c r="BI52" s="70"/>
      <c r="BJ52" s="70"/>
      <c r="BK52" s="70"/>
      <c r="BL52" s="70"/>
      <c r="BM52" s="71"/>
      <c r="BN52" s="71"/>
      <c r="BO52" s="71"/>
      <c r="BP52" s="71"/>
      <c r="BQ52" s="71"/>
      <c r="BR52" s="71"/>
      <c r="BS52" s="71"/>
      <c r="BT52" s="71"/>
      <c r="BU52" s="71"/>
      <c r="BV52" s="71"/>
      <c r="BW52" s="71"/>
      <c r="BX52" s="71"/>
      <c r="BY52" s="71"/>
      <c r="BZ52" s="71"/>
      <c r="CA52" s="71"/>
      <c r="CB52" s="71"/>
    </row>
    <row r="53" spans="2:80" ht="40" customHeight="1" x14ac:dyDescent="0.35">
      <c r="B53" s="70">
        <v>50</v>
      </c>
      <c r="C53" s="71" t="s">
        <v>248</v>
      </c>
      <c r="D53" s="70" t="s">
        <v>113</v>
      </c>
      <c r="E53" s="70" t="s">
        <v>113</v>
      </c>
      <c r="F53" s="70" t="s">
        <v>249</v>
      </c>
      <c r="G53" s="70" t="s">
        <v>70</v>
      </c>
      <c r="H53" s="70" t="s">
        <v>430</v>
      </c>
      <c r="I53" s="70" t="s">
        <v>440</v>
      </c>
      <c r="J53" s="70" t="s">
        <v>436</v>
      </c>
      <c r="K53" s="70" t="s">
        <v>417</v>
      </c>
      <c r="L53" s="70"/>
      <c r="M53" s="70"/>
      <c r="N53" s="63"/>
      <c r="O53" s="63"/>
      <c r="P53" s="63"/>
      <c r="Q53" s="70"/>
      <c r="R53" s="96"/>
      <c r="S53" s="70"/>
      <c r="T53" s="63"/>
      <c r="U53" s="70"/>
      <c r="V53" s="96"/>
      <c r="W53" s="70"/>
      <c r="X53" s="63"/>
      <c r="Y53" s="63" t="str">
        <f>IF(AND(Table14[[#This Row],[Pre-Feasibility]]=0,Table14[[#This Row],[Pre-Feasibility 2]]=0, Table14[[#This Row],[Feasibility]]=0, Table14[[#This Row],[Feasibility 2]]=0), "No", "Yes")</f>
        <v>No</v>
      </c>
      <c r="Z53" s="63" t="s">
        <v>440</v>
      </c>
      <c r="AA53" s="63" t="s">
        <v>440</v>
      </c>
      <c r="AB53" s="70"/>
      <c r="AC53" s="70"/>
      <c r="AD53" s="70">
        <v>204.06</v>
      </c>
      <c r="AE53" s="70" t="s">
        <v>180</v>
      </c>
      <c r="AF53" s="70"/>
      <c r="AG53" s="70" t="s">
        <v>180</v>
      </c>
      <c r="AH53" s="70" t="s">
        <v>180</v>
      </c>
      <c r="AI53" s="70" t="s">
        <v>440</v>
      </c>
      <c r="AJ53" s="70" t="s">
        <v>440</v>
      </c>
      <c r="AK53" s="70" t="s">
        <v>440</v>
      </c>
      <c r="AL53" s="250" cm="1">
        <f t="array" ref="AL53">IFERROR(_xlfn.STDEV.P(IF(Table14[[#This Row],[Website Area (Acres)]:[PEZ Other Source (Acre)]]&lt;&gt;0, Table14[[#This Row],[Website Area (Acres)]:[PEZ Other Source (Acre)]], ""))/AVERAGE(IF(Table14[[#This Row],[Website Area (Acres)]:[PEZ Other Source (Acre)]]&lt;&gt;0, Table14[[#This Row],[Website Area (Acres)]:[PEZ Other Source (Acre)]], "")), "")</f>
        <v>0</v>
      </c>
      <c r="AM53" s="70" t="s">
        <v>418</v>
      </c>
      <c r="AN53" s="70"/>
      <c r="AO53" s="70"/>
      <c r="AP53" s="148">
        <v>204.06</v>
      </c>
      <c r="AQ53" s="148">
        <v>360</v>
      </c>
      <c r="AR53" s="70" t="s">
        <v>458</v>
      </c>
      <c r="AS53" s="70" t="s">
        <v>435</v>
      </c>
      <c r="AT53" s="71"/>
      <c r="AU53" s="71"/>
      <c r="AV53" s="71"/>
      <c r="AW53" s="71"/>
      <c r="AX53" s="71"/>
      <c r="AY53" s="71"/>
      <c r="AZ53" s="71"/>
      <c r="BA53" s="71"/>
      <c r="BB53" s="70"/>
      <c r="BC53" s="75"/>
      <c r="BD53" s="70"/>
      <c r="BE53" s="70"/>
      <c r="BF53" s="70"/>
      <c r="BG53" s="70"/>
      <c r="BH53" s="70"/>
      <c r="BI53" s="70"/>
      <c r="BJ53" s="70"/>
      <c r="BK53" s="70"/>
      <c r="BL53" s="70"/>
      <c r="BM53" s="71"/>
      <c r="BN53" s="71"/>
      <c r="BO53" s="71"/>
      <c r="BP53" s="71"/>
      <c r="BQ53" s="71"/>
      <c r="BR53" s="71"/>
      <c r="BS53" s="71"/>
      <c r="BT53" s="71"/>
      <c r="BU53" s="71"/>
      <c r="BV53" s="71"/>
      <c r="BW53" s="71"/>
      <c r="BX53" s="71"/>
      <c r="BY53" s="71"/>
      <c r="BZ53" s="71"/>
      <c r="CA53" s="71"/>
      <c r="CB53" s="71"/>
    </row>
    <row r="54" spans="2:80" ht="40" customHeight="1" x14ac:dyDescent="0.35">
      <c r="B54" s="70">
        <v>51</v>
      </c>
      <c r="C54" s="71" t="s">
        <v>238</v>
      </c>
      <c r="D54" s="70" t="s">
        <v>84</v>
      </c>
      <c r="E54" s="70" t="s">
        <v>97</v>
      </c>
      <c r="F54" s="70" t="s">
        <v>214</v>
      </c>
      <c r="G54" s="70" t="s">
        <v>70</v>
      </c>
      <c r="H54" s="70" t="s">
        <v>430</v>
      </c>
      <c r="I54" s="70" t="s">
        <v>440</v>
      </c>
      <c r="J54" s="70" t="s">
        <v>436</v>
      </c>
      <c r="K54" s="70" t="s">
        <v>417</v>
      </c>
      <c r="L54" s="70"/>
      <c r="M54" s="70"/>
      <c r="N54" s="63"/>
      <c r="O54" s="63"/>
      <c r="P54" s="63"/>
      <c r="Q54" s="70"/>
      <c r="R54" s="96"/>
      <c r="S54" s="70"/>
      <c r="T54" s="63"/>
      <c r="U54" s="70"/>
      <c r="V54" s="96"/>
      <c r="W54" s="70"/>
      <c r="X54" s="63"/>
      <c r="Y54" s="63" t="str">
        <f>IF(AND(Table14[[#This Row],[Pre-Feasibility]]=0,Table14[[#This Row],[Pre-Feasibility 2]]=0, Table14[[#This Row],[Feasibility]]=0, Table14[[#This Row],[Feasibility 2]]=0), "No", "Yes")</f>
        <v>No</v>
      </c>
      <c r="Z54" s="63" t="s">
        <v>440</v>
      </c>
      <c r="AA54" s="63" t="s">
        <v>440</v>
      </c>
      <c r="AB54" s="70"/>
      <c r="AC54" s="70"/>
      <c r="AD54" s="70">
        <v>300</v>
      </c>
      <c r="AE54" s="70" t="s">
        <v>180</v>
      </c>
      <c r="AF54" s="70"/>
      <c r="AG54" s="70" t="s">
        <v>180</v>
      </c>
      <c r="AH54" s="70" t="s">
        <v>180</v>
      </c>
      <c r="AI54" s="70" t="s">
        <v>440</v>
      </c>
      <c r="AJ54" s="70" t="s">
        <v>440</v>
      </c>
      <c r="AK54" s="70" t="s">
        <v>440</v>
      </c>
      <c r="AL54" s="250" cm="1">
        <f t="array" ref="AL54">IFERROR(_xlfn.STDEV.P(IF(Table14[[#This Row],[Website Area (Acres)]:[PEZ Other Source (Acre)]]&lt;&gt;0, Table14[[#This Row],[Website Area (Acres)]:[PEZ Other Source (Acre)]], ""))/AVERAGE(IF(Table14[[#This Row],[Website Area (Acres)]:[PEZ Other Source (Acre)]]&lt;&gt;0, Table14[[#This Row],[Website Area (Acres)]:[PEZ Other Source (Acre)]], "")), "")</f>
        <v>0</v>
      </c>
      <c r="AM54" s="70" t="s">
        <v>418</v>
      </c>
      <c r="AN54" s="70"/>
      <c r="AO54" s="70"/>
      <c r="AP54" s="148">
        <v>300</v>
      </c>
      <c r="AQ54" s="148">
        <v>300</v>
      </c>
      <c r="AR54" s="70" t="s">
        <v>455</v>
      </c>
      <c r="AS54" s="70" t="s">
        <v>444</v>
      </c>
      <c r="AT54" s="71"/>
      <c r="AU54" s="71"/>
      <c r="AV54" s="71"/>
      <c r="AW54" s="71"/>
      <c r="AX54" s="71"/>
      <c r="AY54" s="71"/>
      <c r="AZ54" s="71"/>
      <c r="BA54" s="71"/>
      <c r="BB54" s="70"/>
      <c r="BC54" s="75"/>
      <c r="BD54" s="70"/>
      <c r="BE54" s="70"/>
      <c r="BF54" s="70"/>
      <c r="BG54" s="70"/>
      <c r="BH54" s="70"/>
      <c r="BI54" s="70"/>
      <c r="BJ54" s="70"/>
      <c r="BK54" s="70"/>
      <c r="BL54" s="70"/>
      <c r="BM54" s="71"/>
      <c r="BN54" s="71"/>
      <c r="BO54" s="71"/>
      <c r="BP54" s="71"/>
      <c r="BQ54" s="71"/>
      <c r="BR54" s="71"/>
      <c r="BS54" s="71"/>
      <c r="BT54" s="71"/>
      <c r="BU54" s="71"/>
      <c r="BV54" s="71"/>
      <c r="BW54" s="71"/>
      <c r="BX54" s="71"/>
      <c r="BY54" s="71"/>
      <c r="BZ54" s="71"/>
      <c r="CA54" s="71"/>
      <c r="CB54" s="71"/>
    </row>
    <row r="55" spans="2:80" ht="40" customHeight="1" x14ac:dyDescent="0.35">
      <c r="B55" s="70">
        <v>52</v>
      </c>
      <c r="C55" s="71" t="s">
        <v>20</v>
      </c>
      <c r="D55" s="70" t="s">
        <v>68</v>
      </c>
      <c r="E55" s="70" t="s">
        <v>74</v>
      </c>
      <c r="F55" s="70" t="s">
        <v>75</v>
      </c>
      <c r="G55" s="70" t="s">
        <v>70</v>
      </c>
      <c r="H55" s="70" t="s">
        <v>410</v>
      </c>
      <c r="I55" s="70" t="s">
        <v>440</v>
      </c>
      <c r="J55" s="70" t="s">
        <v>415</v>
      </c>
      <c r="K55" s="70" t="s">
        <v>417</v>
      </c>
      <c r="L55" s="109" t="s">
        <v>643</v>
      </c>
      <c r="M55" s="70"/>
      <c r="N55" s="63"/>
      <c r="O55" s="135" t="s">
        <v>417</v>
      </c>
      <c r="P55" s="63">
        <v>2015</v>
      </c>
      <c r="Q55" s="79" t="s">
        <v>417</v>
      </c>
      <c r="R55" s="96">
        <v>2016</v>
      </c>
      <c r="S55" s="79"/>
      <c r="T55" s="63"/>
      <c r="U55" s="79" t="s">
        <v>417</v>
      </c>
      <c r="V55" s="96"/>
      <c r="W55" s="79"/>
      <c r="X55" s="63"/>
      <c r="Y55" s="63" t="str">
        <f>IF(AND(Table14[[#This Row],[Pre-Feasibility]]=0,Table14[[#This Row],[Pre-Feasibility 2]]=0, Table14[[#This Row],[Feasibility]]=0, Table14[[#This Row],[Feasibility 2]]=0), "No", "Yes")</f>
        <v>Yes</v>
      </c>
      <c r="Z55" s="63" t="s">
        <v>440</v>
      </c>
      <c r="AA55" s="63" t="s">
        <v>440</v>
      </c>
      <c r="AB55" s="79"/>
      <c r="AC55" s="70" t="s">
        <v>952</v>
      </c>
      <c r="AD55" s="70">
        <v>1027.56</v>
      </c>
      <c r="AE55" s="70" t="s">
        <v>180</v>
      </c>
      <c r="AF55" s="70">
        <v>1027</v>
      </c>
      <c r="AG55" s="70">
        <v>774.43</v>
      </c>
      <c r="AH55" s="70">
        <v>1027.56</v>
      </c>
      <c r="AI55" s="70" t="s">
        <v>440</v>
      </c>
      <c r="AJ55" s="70" t="s">
        <v>440</v>
      </c>
      <c r="AK55" s="70" t="s">
        <v>440</v>
      </c>
      <c r="AL55" s="250" cm="1">
        <f t="array" ref="AL55">IFERROR(_xlfn.STDEV.P(IF(Table14[[#This Row],[Website Area (Acres)]:[PEZ Other Source (Acre)]]&lt;&gt;0, Table14[[#This Row],[Website Area (Acres)]:[PEZ Other Source (Acre)]], ""))/AVERAGE(IF(Table14[[#This Row],[Website Area (Acres)]:[PEZ Other Source (Acre)]]&lt;&gt;0, Table14[[#This Row],[Website Area (Acres)]:[PEZ Other Source (Acre)]], "")), "")</f>
        <v>0.11360196527186577</v>
      </c>
      <c r="AM55" s="70" t="s">
        <v>417</v>
      </c>
      <c r="AN55" s="70" t="s">
        <v>952</v>
      </c>
      <c r="AO55" s="70" t="s">
        <v>953</v>
      </c>
      <c r="AP55" s="148">
        <v>965.36</v>
      </c>
      <c r="AQ55" s="148">
        <v>965.36</v>
      </c>
      <c r="AR55" s="70" t="s">
        <v>426</v>
      </c>
      <c r="AS55" s="70" t="s">
        <v>412</v>
      </c>
      <c r="AT55" s="71"/>
      <c r="AU55" s="71"/>
      <c r="AV55" s="71"/>
      <c r="AW55" s="71"/>
      <c r="AX55" s="71"/>
      <c r="AY55" s="71"/>
      <c r="AZ55" s="71"/>
      <c r="BA55" s="71"/>
      <c r="BB55" s="70"/>
      <c r="BC55" s="75"/>
      <c r="BD55" s="70" t="s">
        <v>920</v>
      </c>
      <c r="BE55" s="70"/>
      <c r="BF55" s="70"/>
      <c r="BG55" s="70"/>
      <c r="BH55" s="70"/>
      <c r="BI55" s="70"/>
      <c r="BJ55" s="70"/>
      <c r="BK55" s="70"/>
      <c r="BL55" s="70"/>
      <c r="BM55" s="71"/>
      <c r="BN55" s="71"/>
      <c r="BO55" s="71"/>
      <c r="BP55" s="71"/>
      <c r="BQ55" s="71"/>
      <c r="BR55" s="71"/>
      <c r="BS55" s="71"/>
      <c r="BT55" s="71"/>
      <c r="BU55" s="71"/>
      <c r="BV55" s="71"/>
      <c r="BW55" s="71"/>
      <c r="BX55" s="71"/>
      <c r="BY55" s="71"/>
      <c r="BZ55" s="71"/>
      <c r="CA55" s="71"/>
      <c r="CB55" s="71"/>
    </row>
    <row r="56" spans="2:80" ht="40" customHeight="1" x14ac:dyDescent="0.35">
      <c r="B56" s="70">
        <v>53</v>
      </c>
      <c r="C56" s="71" t="s">
        <v>197</v>
      </c>
      <c r="D56" s="70" t="s">
        <v>68</v>
      </c>
      <c r="E56" s="70" t="s">
        <v>68</v>
      </c>
      <c r="F56" s="70" t="s">
        <v>198</v>
      </c>
      <c r="G56" s="70" t="s">
        <v>70</v>
      </c>
      <c r="H56" s="70" t="s">
        <v>430</v>
      </c>
      <c r="I56" s="70" t="s">
        <v>440</v>
      </c>
      <c r="J56" s="70" t="s">
        <v>436</v>
      </c>
      <c r="K56" s="70" t="s">
        <v>417</v>
      </c>
      <c r="L56" s="70"/>
      <c r="M56" s="70"/>
      <c r="N56" s="63"/>
      <c r="O56" s="63"/>
      <c r="P56" s="63"/>
      <c r="Q56" s="70"/>
      <c r="R56" s="96"/>
      <c r="S56" s="70"/>
      <c r="T56" s="63"/>
      <c r="U56" s="70"/>
      <c r="V56" s="96"/>
      <c r="W56" s="70"/>
      <c r="X56" s="63"/>
      <c r="Y56" s="63" t="str">
        <f>IF(AND(Table14[[#This Row],[Pre-Feasibility]]=0,Table14[[#This Row],[Pre-Feasibility 2]]=0, Table14[[#This Row],[Feasibility]]=0, Table14[[#This Row],[Feasibility 2]]=0), "No", "Yes")</f>
        <v>No</v>
      </c>
      <c r="Z56" s="63" t="s">
        <v>440</v>
      </c>
      <c r="AA56" s="63" t="s">
        <v>440</v>
      </c>
      <c r="AB56" s="70"/>
      <c r="AC56" s="70"/>
      <c r="AD56" s="70"/>
      <c r="AE56" s="70" t="s">
        <v>180</v>
      </c>
      <c r="AF56" s="70"/>
      <c r="AG56" s="70" t="s">
        <v>180</v>
      </c>
      <c r="AH56" s="70" t="s">
        <v>180</v>
      </c>
      <c r="AI56" s="70" t="s">
        <v>440</v>
      </c>
      <c r="AJ56" s="70" t="s">
        <v>440</v>
      </c>
      <c r="AK56" s="70" t="s">
        <v>440</v>
      </c>
      <c r="AL56" s="250" t="str" cm="1">
        <f t="array" ref="AL56">IFERROR(_xlfn.STDEV.P(IF(Table14[[#This Row],[Website Area (Acres)]:[PEZ Other Source (Acre)]]&lt;&gt;0, Table14[[#This Row],[Website Area (Acres)]:[PEZ Other Source (Acre)]], ""))/AVERAGE(IF(Table14[[#This Row],[Website Area (Acres)]:[PEZ Other Source (Acre)]]&lt;&gt;0, Table14[[#This Row],[Website Area (Acres)]:[PEZ Other Source (Acre)]], "")), "")</f>
        <v/>
      </c>
      <c r="AM56" s="70" t="s">
        <v>837</v>
      </c>
      <c r="AN56" s="70" t="s">
        <v>837</v>
      </c>
      <c r="AO56" s="70" t="s">
        <v>954</v>
      </c>
      <c r="AP56" s="148">
        <v>13000.42</v>
      </c>
      <c r="AQ56" s="148">
        <v>13000.4264</v>
      </c>
      <c r="AR56" s="70" t="s">
        <v>471</v>
      </c>
      <c r="AS56" s="70" t="s">
        <v>435</v>
      </c>
      <c r="AT56" s="71"/>
      <c r="AU56" s="71"/>
      <c r="AV56" s="71"/>
      <c r="AW56" s="71"/>
      <c r="AX56" s="71"/>
      <c r="AY56" s="71"/>
      <c r="AZ56" s="71"/>
      <c r="BA56" s="71"/>
      <c r="BB56" s="70"/>
      <c r="BC56" s="75"/>
      <c r="BD56" s="70"/>
      <c r="BE56" s="70"/>
      <c r="BF56" s="70"/>
      <c r="BG56" s="70"/>
      <c r="BH56" s="70"/>
      <c r="BI56" s="70"/>
      <c r="BJ56" s="70"/>
      <c r="BK56" s="70"/>
      <c r="BL56" s="70"/>
      <c r="BM56" s="71"/>
      <c r="BN56" s="71"/>
      <c r="BO56" s="71"/>
      <c r="BP56" s="71"/>
      <c r="BQ56" s="71"/>
      <c r="BR56" s="71"/>
      <c r="BS56" s="71"/>
      <c r="BT56" s="71"/>
      <c r="BU56" s="71"/>
      <c r="BV56" s="71"/>
      <c r="BW56" s="71"/>
      <c r="BX56" s="71"/>
      <c r="BY56" s="71"/>
      <c r="BZ56" s="71"/>
      <c r="CA56" s="71"/>
      <c r="CB56" s="71"/>
    </row>
    <row r="57" spans="2:80" ht="40" customHeight="1" x14ac:dyDescent="0.35">
      <c r="B57" s="70">
        <v>54</v>
      </c>
      <c r="C57" s="71" t="s">
        <v>239</v>
      </c>
      <c r="D57" s="70" t="s">
        <v>113</v>
      </c>
      <c r="E57" s="70" t="s">
        <v>240</v>
      </c>
      <c r="F57" s="70" t="s">
        <v>241</v>
      </c>
      <c r="G57" s="70" t="s">
        <v>70</v>
      </c>
      <c r="H57" s="70" t="s">
        <v>430</v>
      </c>
      <c r="I57" s="70" t="s">
        <v>440</v>
      </c>
      <c r="J57" s="70" t="s">
        <v>436</v>
      </c>
      <c r="K57" s="70" t="s">
        <v>417</v>
      </c>
      <c r="L57" s="70"/>
      <c r="M57" s="70"/>
      <c r="N57" s="63"/>
      <c r="O57" s="63"/>
      <c r="P57" s="63"/>
      <c r="Q57" s="70"/>
      <c r="R57" s="96"/>
      <c r="S57" s="70"/>
      <c r="T57" s="63"/>
      <c r="U57" s="70"/>
      <c r="V57" s="96"/>
      <c r="W57" s="70"/>
      <c r="X57" s="63"/>
      <c r="Y57" s="63" t="str">
        <f>IF(AND(Table14[[#This Row],[Pre-Feasibility]]=0,Table14[[#This Row],[Pre-Feasibility 2]]=0, Table14[[#This Row],[Feasibility]]=0, Table14[[#This Row],[Feasibility 2]]=0), "No", "Yes")</f>
        <v>No</v>
      </c>
      <c r="Z57" s="63" t="s">
        <v>440</v>
      </c>
      <c r="AA57" s="63" t="s">
        <v>440</v>
      </c>
      <c r="AB57" s="70"/>
      <c r="AC57" s="70"/>
      <c r="AD57" s="70"/>
      <c r="AE57" s="70" t="s">
        <v>180</v>
      </c>
      <c r="AF57" s="70"/>
      <c r="AG57" s="70" t="s">
        <v>180</v>
      </c>
      <c r="AH57" s="70" t="s">
        <v>180</v>
      </c>
      <c r="AI57" s="70" t="s">
        <v>440</v>
      </c>
      <c r="AJ57" s="70" t="s">
        <v>440</v>
      </c>
      <c r="AK57" s="70" t="s">
        <v>440</v>
      </c>
      <c r="AL57" s="250" t="str" cm="1">
        <f t="array" ref="AL57">IFERROR(_xlfn.STDEV.P(IF(Table14[[#This Row],[Website Area (Acres)]:[PEZ Other Source (Acre)]]&lt;&gt;0, Table14[[#This Row],[Website Area (Acres)]:[PEZ Other Source (Acre)]], ""))/AVERAGE(IF(Table14[[#This Row],[Website Area (Acres)]:[PEZ Other Source (Acre)]]&lt;&gt;0, Table14[[#This Row],[Website Area (Acres)]:[PEZ Other Source (Acre)]], "")), "")</f>
        <v/>
      </c>
      <c r="AM57" s="70" t="s">
        <v>837</v>
      </c>
      <c r="AN57" s="70" t="s">
        <v>837</v>
      </c>
      <c r="AO57" s="70" t="s">
        <v>955</v>
      </c>
      <c r="AP57" s="148">
        <v>254.14</v>
      </c>
      <c r="AQ57" s="148">
        <v>254.15</v>
      </c>
      <c r="AR57" s="70" t="s">
        <v>476</v>
      </c>
      <c r="AS57" s="70" t="s">
        <v>444</v>
      </c>
      <c r="AT57" s="71"/>
      <c r="AU57" s="71"/>
      <c r="AV57" s="71"/>
      <c r="AW57" s="71"/>
      <c r="AX57" s="71"/>
      <c r="AY57" s="71"/>
      <c r="AZ57" s="71"/>
      <c r="BA57" s="71"/>
      <c r="BB57" s="70"/>
      <c r="BC57" s="75"/>
      <c r="BD57" s="70"/>
      <c r="BE57" s="70"/>
      <c r="BF57" s="70"/>
      <c r="BG57" s="70"/>
      <c r="BH57" s="70"/>
      <c r="BI57" s="70"/>
      <c r="BJ57" s="70"/>
      <c r="BK57" s="70"/>
      <c r="BL57" s="70"/>
      <c r="BM57" s="71"/>
      <c r="BN57" s="71"/>
      <c r="BO57" s="71"/>
      <c r="BP57" s="71"/>
      <c r="BQ57" s="71"/>
      <c r="BR57" s="71"/>
      <c r="BS57" s="71"/>
      <c r="BT57" s="71"/>
      <c r="BU57" s="71"/>
      <c r="BV57" s="71"/>
      <c r="BW57" s="71"/>
      <c r="BX57" s="71"/>
      <c r="BY57" s="71"/>
      <c r="BZ57" s="71"/>
      <c r="CA57" s="71"/>
      <c r="CB57" s="71"/>
    </row>
    <row r="58" spans="2:80" ht="40" customHeight="1" x14ac:dyDescent="0.35">
      <c r="B58" s="70">
        <v>55</v>
      </c>
      <c r="C58" s="71" t="s">
        <v>138</v>
      </c>
      <c r="D58" s="70" t="s">
        <v>76</v>
      </c>
      <c r="E58" s="70" t="s">
        <v>132</v>
      </c>
      <c r="F58" s="70" t="s">
        <v>139</v>
      </c>
      <c r="G58" s="70" t="s">
        <v>70</v>
      </c>
      <c r="H58" s="70" t="s">
        <v>431</v>
      </c>
      <c r="I58" s="70" t="s">
        <v>440</v>
      </c>
      <c r="J58" s="70" t="s">
        <v>436</v>
      </c>
      <c r="K58" s="70" t="s">
        <v>417</v>
      </c>
      <c r="L58" s="70"/>
      <c r="M58" s="139" t="s">
        <v>417</v>
      </c>
      <c r="N58" s="63">
        <v>2022</v>
      </c>
      <c r="O58" s="135" t="s">
        <v>417</v>
      </c>
      <c r="P58" s="63">
        <v>2015</v>
      </c>
      <c r="Q58" s="70"/>
      <c r="R58" s="96"/>
      <c r="S58" s="70"/>
      <c r="T58" s="63"/>
      <c r="U58" s="70"/>
      <c r="V58" s="96"/>
      <c r="W58" s="70"/>
      <c r="X58" s="63"/>
      <c r="Y58" s="63" t="str">
        <f>IF(AND(Table14[[#This Row],[Pre-Feasibility]]=0,Table14[[#This Row],[Pre-Feasibility 2]]=0, Table14[[#This Row],[Feasibility]]=0, Table14[[#This Row],[Feasibility 2]]=0), "No", "Yes")</f>
        <v>No</v>
      </c>
      <c r="Z58" s="63" t="s">
        <v>440</v>
      </c>
      <c r="AA58" s="63" t="s">
        <v>440</v>
      </c>
      <c r="AB58" s="70"/>
      <c r="AC58" s="70" t="s">
        <v>864</v>
      </c>
      <c r="AD58" s="70">
        <v>750</v>
      </c>
      <c r="AE58" s="70">
        <v>686</v>
      </c>
      <c r="AF58" s="70">
        <v>525.27</v>
      </c>
      <c r="AG58" s="70" t="s">
        <v>180</v>
      </c>
      <c r="AH58" s="70" t="s">
        <v>180</v>
      </c>
      <c r="AI58" s="70" t="s">
        <v>440</v>
      </c>
      <c r="AJ58" s="70" t="s">
        <v>440</v>
      </c>
      <c r="AK58" s="70" t="s">
        <v>440</v>
      </c>
      <c r="AL58" s="250" cm="1">
        <f t="array" ref="AL58">IFERROR(_xlfn.STDEV.P(IF(Table14[[#This Row],[Website Area (Acres)]:[PEZ Other Source (Acre)]]&lt;&gt;0, Table14[[#This Row],[Website Area (Acres)]:[PEZ Other Source (Acre)]], ""))/AVERAGE(IF(Table14[[#This Row],[Website Area (Acres)]:[PEZ Other Source (Acre)]]&lt;&gt;0, Table14[[#This Row],[Website Area (Acres)]:[PEZ Other Source (Acre)]], "")), "")</f>
        <v>0.14460444861893945</v>
      </c>
      <c r="AM58" s="70" t="s">
        <v>417</v>
      </c>
      <c r="AN58" s="70"/>
      <c r="AO58" s="70" t="s">
        <v>956</v>
      </c>
      <c r="AP58" s="148">
        <v>686</v>
      </c>
      <c r="AQ58" s="148">
        <v>686</v>
      </c>
      <c r="AR58" s="70" t="s">
        <v>458</v>
      </c>
      <c r="AS58" s="70" t="s">
        <v>435</v>
      </c>
      <c r="AT58" s="71"/>
      <c r="AU58" s="71"/>
      <c r="AV58" s="71"/>
      <c r="AW58" s="71"/>
      <c r="AX58" s="71"/>
      <c r="AY58" s="71"/>
      <c r="AZ58" s="71"/>
      <c r="BA58" s="71"/>
      <c r="BB58" s="70"/>
      <c r="BC58" s="75"/>
      <c r="BD58" s="70"/>
      <c r="BE58" s="70"/>
      <c r="BF58" s="70"/>
      <c r="BG58" s="70"/>
      <c r="BH58" s="70"/>
      <c r="BI58" s="70"/>
      <c r="BJ58" s="70"/>
      <c r="BK58" s="70"/>
      <c r="BL58" s="70"/>
      <c r="BM58" s="71"/>
      <c r="BN58" s="71"/>
      <c r="BO58" s="71"/>
      <c r="BP58" s="71"/>
      <c r="BQ58" s="71"/>
      <c r="BR58" s="71"/>
      <c r="BS58" s="71"/>
      <c r="BT58" s="71"/>
      <c r="BU58" s="71"/>
      <c r="BV58" s="71"/>
      <c r="BW58" s="71"/>
      <c r="BX58" s="71"/>
      <c r="BY58" s="71"/>
      <c r="BZ58" s="71"/>
      <c r="CA58" s="71"/>
      <c r="CB58" s="71"/>
    </row>
    <row r="59" spans="2:80" ht="40" customHeight="1" x14ac:dyDescent="0.35">
      <c r="B59" s="70">
        <v>56</v>
      </c>
      <c r="C59" s="71" t="s">
        <v>61</v>
      </c>
      <c r="D59" s="70" t="s">
        <v>76</v>
      </c>
      <c r="E59" s="70" t="s">
        <v>132</v>
      </c>
      <c r="F59" s="70" t="s">
        <v>133</v>
      </c>
      <c r="G59" s="70" t="s">
        <v>70</v>
      </c>
      <c r="H59" s="70" t="s">
        <v>422</v>
      </c>
      <c r="I59" s="70" t="s">
        <v>440</v>
      </c>
      <c r="J59" s="70" t="s">
        <v>436</v>
      </c>
      <c r="K59" s="70" t="s">
        <v>417</v>
      </c>
      <c r="L59" s="70"/>
      <c r="M59" s="70"/>
      <c r="N59" s="63"/>
      <c r="O59" s="63"/>
      <c r="P59" s="63"/>
      <c r="Q59" s="79" t="s">
        <v>417</v>
      </c>
      <c r="R59" s="96">
        <v>2019</v>
      </c>
      <c r="S59" s="70"/>
      <c r="T59" s="63"/>
      <c r="U59" s="70"/>
      <c r="V59" s="96"/>
      <c r="W59" s="70"/>
      <c r="X59" s="63"/>
      <c r="Y59" s="63" t="str">
        <f>IF(AND(Table14[[#This Row],[Pre-Feasibility]]=0,Table14[[#This Row],[Pre-Feasibility 2]]=0, Table14[[#This Row],[Feasibility]]=0, Table14[[#This Row],[Feasibility 2]]=0), "No", "Yes")</f>
        <v>Yes</v>
      </c>
      <c r="Z59" s="63" t="s">
        <v>440</v>
      </c>
      <c r="AA59" s="63" t="s">
        <v>440</v>
      </c>
      <c r="AB59" s="70"/>
      <c r="AC59" s="70" t="s">
        <v>824</v>
      </c>
      <c r="AD59" s="70">
        <v>525.26499999999999</v>
      </c>
      <c r="AE59" s="70" t="s">
        <v>180</v>
      </c>
      <c r="AF59" s="70"/>
      <c r="AG59" s="70">
        <v>532.14</v>
      </c>
      <c r="AH59" s="70" t="s">
        <v>180</v>
      </c>
      <c r="AI59" s="70" t="s">
        <v>440</v>
      </c>
      <c r="AJ59" s="70" t="s">
        <v>440</v>
      </c>
      <c r="AK59" s="70" t="s">
        <v>440</v>
      </c>
      <c r="AL59" s="250" cm="1">
        <f t="array" ref="AL59">IFERROR(_xlfn.STDEV.P(IF(Table14[[#This Row],[Website Area (Acres)]:[PEZ Other Source (Acre)]]&lt;&gt;0, Table14[[#This Row],[Website Area (Acres)]:[PEZ Other Source (Acre)]], ""))/AVERAGE(IF(Table14[[#This Row],[Website Area (Acres)]:[PEZ Other Source (Acre)]]&lt;&gt;0, Table14[[#This Row],[Website Area (Acres)]:[PEZ Other Source (Acre)]], "")), "")</f>
        <v>6.5017661161049928E-3</v>
      </c>
      <c r="AM59" s="70" t="s">
        <v>418</v>
      </c>
      <c r="AN59" s="70"/>
      <c r="AO59" s="70"/>
      <c r="AP59" s="148">
        <v>532.14</v>
      </c>
      <c r="AQ59" s="148">
        <v>525.26499999999999</v>
      </c>
      <c r="AR59" s="70" t="s">
        <v>458</v>
      </c>
      <c r="AS59" s="70" t="s">
        <v>435</v>
      </c>
      <c r="AT59" s="71"/>
      <c r="AU59" s="71">
        <v>1</v>
      </c>
      <c r="AV59" s="71">
        <v>349.13</v>
      </c>
      <c r="AW59" s="71"/>
      <c r="AX59" s="71">
        <v>76.7</v>
      </c>
      <c r="AY59" s="71">
        <v>17.739999999999998</v>
      </c>
      <c r="AZ59" s="71">
        <v>21.54</v>
      </c>
      <c r="BA59" s="71">
        <v>52.96</v>
      </c>
      <c r="BB59" s="89">
        <f>BC59-SUM(AV59:BA59)</f>
        <v>11.539999999999964</v>
      </c>
      <c r="BC59" s="74">
        <v>529.61</v>
      </c>
      <c r="BD59" s="70" t="s">
        <v>847</v>
      </c>
      <c r="BE59" s="70" t="s">
        <v>848</v>
      </c>
      <c r="BF59" s="70" t="s">
        <v>839</v>
      </c>
      <c r="BG59" s="70" t="s">
        <v>859</v>
      </c>
      <c r="BH59" s="70"/>
      <c r="BI59" s="70"/>
      <c r="BJ59" s="70"/>
      <c r="BK59" s="70"/>
      <c r="BL59" s="70"/>
      <c r="BM59" s="71"/>
      <c r="BN59" s="71"/>
      <c r="BO59" s="71" t="s">
        <v>957</v>
      </c>
      <c r="BP59" s="71" t="s">
        <v>958</v>
      </c>
      <c r="BQ59" s="71" t="s">
        <v>959</v>
      </c>
      <c r="BR59" s="71"/>
      <c r="BS59" s="88">
        <v>59.27</v>
      </c>
      <c r="BT59" s="88">
        <v>18500</v>
      </c>
      <c r="BU59" s="88"/>
      <c r="BV59" s="88">
        <v>12790</v>
      </c>
      <c r="BW59" s="71"/>
      <c r="BX59" s="71"/>
      <c r="BY59" s="71"/>
      <c r="BZ59" s="71"/>
      <c r="CA59" s="71"/>
      <c r="CB59" s="71"/>
    </row>
    <row r="60" spans="2:80" ht="40" customHeight="1" x14ac:dyDescent="0.35">
      <c r="B60" s="70">
        <v>57</v>
      </c>
      <c r="C60" s="71" t="s">
        <v>487</v>
      </c>
      <c r="D60" s="70" t="s">
        <v>104</v>
      </c>
      <c r="E60" s="70" t="s">
        <v>136</v>
      </c>
      <c r="F60" s="70" t="s">
        <v>137</v>
      </c>
      <c r="G60" s="70" t="s">
        <v>70</v>
      </c>
      <c r="H60" s="70" t="s">
        <v>422</v>
      </c>
      <c r="I60" s="70" t="s">
        <v>440</v>
      </c>
      <c r="J60" s="70" t="s">
        <v>436</v>
      </c>
      <c r="K60" s="70" t="s">
        <v>417</v>
      </c>
      <c r="L60" s="70"/>
      <c r="M60" s="70"/>
      <c r="N60" s="63"/>
      <c r="O60" s="63"/>
      <c r="P60" s="63"/>
      <c r="Q60" s="70"/>
      <c r="R60" s="96"/>
      <c r="S60" s="70"/>
      <c r="T60" s="63"/>
      <c r="U60" s="79"/>
      <c r="V60" s="96"/>
      <c r="W60" s="70"/>
      <c r="X60" s="63"/>
      <c r="Y60" s="63" t="str">
        <f>IF(AND(Table14[[#This Row],[Pre-Feasibility]]=0,Table14[[#This Row],[Pre-Feasibility 2]]=0, Table14[[#This Row],[Feasibility]]=0, Table14[[#This Row],[Feasibility 2]]=0), "No", "Yes")</f>
        <v>No</v>
      </c>
      <c r="Z60" s="63" t="s">
        <v>440</v>
      </c>
      <c r="AA60" s="63" t="s">
        <v>440</v>
      </c>
      <c r="AB60" s="70"/>
      <c r="AC60" s="70"/>
      <c r="AD60" s="70">
        <v>361.08</v>
      </c>
      <c r="AE60" s="70" t="s">
        <v>180</v>
      </c>
      <c r="AF60" s="70"/>
      <c r="AG60" s="70" t="s">
        <v>180</v>
      </c>
      <c r="AH60" s="70">
        <v>353.53</v>
      </c>
      <c r="AI60" s="70" t="s">
        <v>440</v>
      </c>
      <c r="AJ60" s="70" t="s">
        <v>440</v>
      </c>
      <c r="AK60" s="70" t="s">
        <v>440</v>
      </c>
      <c r="AL60" s="250" cm="1">
        <f t="array" ref="AL60">IFERROR(_xlfn.STDEV.P(IF(Table14[[#This Row],[Website Area (Acres)]:[PEZ Other Source (Acre)]]&lt;&gt;0, Table14[[#This Row],[Website Area (Acres)]:[PEZ Other Source (Acre)]], ""))/AVERAGE(IF(Table14[[#This Row],[Website Area (Acres)]:[PEZ Other Source (Acre)]]&lt;&gt;0, Table14[[#This Row],[Website Area (Acres)]:[PEZ Other Source (Acre)]], "")), "")</f>
        <v>1.056520339765748E-2</v>
      </c>
      <c r="AM60" s="70" t="s">
        <v>418</v>
      </c>
      <c r="AN60" s="70" t="s">
        <v>960</v>
      </c>
      <c r="AO60" s="70"/>
      <c r="AP60" s="148">
        <v>353.53</v>
      </c>
      <c r="AQ60" s="148">
        <v>403.63</v>
      </c>
      <c r="AR60" s="70" t="s">
        <v>455</v>
      </c>
      <c r="AS60" s="70" t="s">
        <v>444</v>
      </c>
      <c r="AT60" s="71"/>
      <c r="AU60" s="87">
        <v>2.4700000000000002</v>
      </c>
      <c r="AV60" s="71">
        <v>211.68</v>
      </c>
      <c r="AW60" s="71"/>
      <c r="AX60" s="71">
        <v>38.79</v>
      </c>
      <c r="AY60" s="71">
        <f>4.62+34.23+2.02+2.08+0.81</f>
        <v>43.76</v>
      </c>
      <c r="AZ60" s="71">
        <v>11.02</v>
      </c>
      <c r="BA60" s="71">
        <v>10.94</v>
      </c>
      <c r="BB60" s="70">
        <f>BC60-SUM(AV60:BA60)</f>
        <v>37.339999999999975</v>
      </c>
      <c r="BC60" s="74">
        <v>353.53</v>
      </c>
      <c r="BD60" s="70" t="s">
        <v>866</v>
      </c>
      <c r="BE60" s="70" t="s">
        <v>961</v>
      </c>
      <c r="BF60" s="70" t="s">
        <v>924</v>
      </c>
      <c r="BG60" s="70" t="s">
        <v>962</v>
      </c>
      <c r="BH60" s="70" t="s">
        <v>839</v>
      </c>
      <c r="BI60" s="70" t="s">
        <v>963</v>
      </c>
      <c r="BJ60" s="70" t="s">
        <v>840</v>
      </c>
      <c r="BK60" s="70" t="s">
        <v>899</v>
      </c>
      <c r="BL60" s="70"/>
      <c r="BM60" s="71"/>
      <c r="BN60" s="71"/>
      <c r="BO60" s="71" t="s">
        <v>964</v>
      </c>
      <c r="BP60" s="71" t="s">
        <v>965</v>
      </c>
      <c r="BQ60" s="71" t="s">
        <v>966</v>
      </c>
      <c r="BR60" s="71"/>
      <c r="BS60" s="88">
        <v>33.04</v>
      </c>
      <c r="BT60" s="88">
        <v>59011</v>
      </c>
      <c r="BU60" s="88">
        <v>655312</v>
      </c>
      <c r="BV60" s="88"/>
      <c r="BW60" s="71"/>
      <c r="BX60" s="71"/>
      <c r="BY60" s="71"/>
      <c r="BZ60" s="71"/>
      <c r="CA60" s="71"/>
      <c r="CB60" s="71"/>
    </row>
    <row r="61" spans="2:80" ht="40" customHeight="1" x14ac:dyDescent="0.35">
      <c r="B61" s="70">
        <v>58</v>
      </c>
      <c r="C61" s="71" t="s">
        <v>36</v>
      </c>
      <c r="D61" s="70" t="s">
        <v>94</v>
      </c>
      <c r="E61" s="70" t="s">
        <v>95</v>
      </c>
      <c r="F61" s="70" t="s">
        <v>96</v>
      </c>
      <c r="G61" s="70" t="s">
        <v>70</v>
      </c>
      <c r="H61" s="70" t="s">
        <v>410</v>
      </c>
      <c r="I61" s="70" t="s">
        <v>440</v>
      </c>
      <c r="J61" s="70" t="s">
        <v>415</v>
      </c>
      <c r="K61" s="70" t="s">
        <v>417</v>
      </c>
      <c r="L61" s="113" t="s">
        <v>643</v>
      </c>
      <c r="M61" s="70"/>
      <c r="N61" s="63"/>
      <c r="O61" s="63"/>
      <c r="P61" s="63"/>
      <c r="Q61" s="70"/>
      <c r="R61" s="96"/>
      <c r="S61" s="79"/>
      <c r="T61" s="63"/>
      <c r="U61" s="95"/>
      <c r="V61" s="96"/>
      <c r="W61" s="79"/>
      <c r="X61" s="63"/>
      <c r="Y61" s="149" t="s">
        <v>417</v>
      </c>
      <c r="Z61" s="63" t="s">
        <v>440</v>
      </c>
      <c r="AA61" s="63" t="s">
        <v>440</v>
      </c>
      <c r="AB61" s="79"/>
      <c r="AC61" s="70"/>
      <c r="AD61" s="70">
        <v>352</v>
      </c>
      <c r="AE61" s="70" t="s">
        <v>180</v>
      </c>
      <c r="AF61" s="70"/>
      <c r="AG61" s="70" t="s">
        <v>180</v>
      </c>
      <c r="AH61" s="70" t="s">
        <v>180</v>
      </c>
      <c r="AI61" s="70" t="s">
        <v>440</v>
      </c>
      <c r="AJ61" s="70" t="s">
        <v>440</v>
      </c>
      <c r="AK61" s="70" t="s">
        <v>440</v>
      </c>
      <c r="AL61" s="250" cm="1">
        <f t="array" ref="AL61">IFERROR(_xlfn.STDEV.P(IF(Table14[[#This Row],[Website Area (Acres)]:[PEZ Other Source (Acre)]]&lt;&gt;0, Table14[[#This Row],[Website Area (Acres)]:[PEZ Other Source (Acre)]], ""))/AVERAGE(IF(Table14[[#This Row],[Website Area (Acres)]:[PEZ Other Source (Acre)]]&lt;&gt;0, Table14[[#This Row],[Website Area (Acres)]:[PEZ Other Source (Acre)]], "")), "")</f>
        <v>0</v>
      </c>
      <c r="AM61" s="70" t="s">
        <v>418</v>
      </c>
      <c r="AN61" s="70" t="s">
        <v>967</v>
      </c>
      <c r="AO61" s="70" t="s">
        <v>968</v>
      </c>
      <c r="AP61" s="148">
        <v>352</v>
      </c>
      <c r="AQ61" s="148">
        <v>352.12</v>
      </c>
      <c r="AR61" s="70" t="s">
        <v>426</v>
      </c>
      <c r="AS61" s="70" t="s">
        <v>412</v>
      </c>
      <c r="AT61" s="71"/>
      <c r="AU61" s="71"/>
      <c r="AV61" s="71"/>
      <c r="AW61" s="71"/>
      <c r="AX61" s="71"/>
      <c r="AY61" s="71"/>
      <c r="AZ61" s="71"/>
      <c r="BA61" s="71"/>
      <c r="BB61" s="70"/>
      <c r="BC61" s="75"/>
      <c r="BD61" s="70"/>
      <c r="BE61" s="70"/>
      <c r="BF61" s="70"/>
      <c r="BG61" s="70"/>
      <c r="BH61" s="70"/>
      <c r="BI61" s="70"/>
      <c r="BJ61" s="70"/>
      <c r="BK61" s="70"/>
      <c r="BL61" s="70"/>
      <c r="BM61" s="71"/>
      <c r="BN61" s="71"/>
      <c r="BO61" s="71"/>
      <c r="BP61" s="71"/>
      <c r="BQ61" s="71"/>
      <c r="BR61" s="71"/>
      <c r="BS61" s="71"/>
      <c r="BT61" s="71"/>
      <c r="BU61" s="71"/>
      <c r="BV61" s="71"/>
      <c r="BW61" s="71"/>
      <c r="BX61" s="71"/>
      <c r="BY61" s="71"/>
      <c r="BZ61" s="71"/>
      <c r="CA61" s="71"/>
      <c r="CB61" s="71"/>
    </row>
    <row r="62" spans="2:80" ht="40" customHeight="1" x14ac:dyDescent="0.35">
      <c r="B62" s="70">
        <v>59</v>
      </c>
      <c r="C62" s="71" t="s">
        <v>175</v>
      </c>
      <c r="D62" s="70" t="s">
        <v>76</v>
      </c>
      <c r="E62" s="70" t="s">
        <v>107</v>
      </c>
      <c r="F62" s="70" t="s">
        <v>176</v>
      </c>
      <c r="G62" s="70" t="s">
        <v>70</v>
      </c>
      <c r="H62" s="70" t="s">
        <v>430</v>
      </c>
      <c r="I62" s="70" t="s">
        <v>440</v>
      </c>
      <c r="J62" s="70" t="s">
        <v>436</v>
      </c>
      <c r="K62" s="70" t="s">
        <v>417</v>
      </c>
      <c r="L62" s="70"/>
      <c r="M62" s="70"/>
      <c r="N62" s="63"/>
      <c r="O62" s="63"/>
      <c r="P62" s="63"/>
      <c r="Q62" s="70"/>
      <c r="R62" s="96"/>
      <c r="S62" s="79"/>
      <c r="T62" s="63"/>
      <c r="U62" s="79"/>
      <c r="V62" s="96"/>
      <c r="W62" s="79"/>
      <c r="X62" s="63"/>
      <c r="Y62" s="63" t="str">
        <f>IF(AND(Table14[[#This Row],[Pre-Feasibility]]=0,Table14[[#This Row],[Pre-Feasibility 2]]=0, Table14[[#This Row],[Feasibility]]=0, Table14[[#This Row],[Feasibility 2]]=0), "No", "Yes")</f>
        <v>No</v>
      </c>
      <c r="Z62" s="63" t="s">
        <v>440</v>
      </c>
      <c r="AA62" s="63" t="s">
        <v>440</v>
      </c>
      <c r="AB62" s="79"/>
      <c r="AC62" s="70"/>
      <c r="AD62" s="70">
        <v>510</v>
      </c>
      <c r="AE62" s="70" t="s">
        <v>180</v>
      </c>
      <c r="AF62" s="70"/>
      <c r="AG62" s="70" t="s">
        <v>180</v>
      </c>
      <c r="AH62" s="70" t="s">
        <v>180</v>
      </c>
      <c r="AI62" s="70" t="s">
        <v>440</v>
      </c>
      <c r="AJ62" s="70" t="s">
        <v>440</v>
      </c>
      <c r="AK62" s="70" t="s">
        <v>440</v>
      </c>
      <c r="AL62" s="250" cm="1">
        <f t="array" ref="AL62">IFERROR(_xlfn.STDEV.P(IF(Table14[[#This Row],[Website Area (Acres)]:[PEZ Other Source (Acre)]]&lt;&gt;0, Table14[[#This Row],[Website Area (Acres)]:[PEZ Other Source (Acre)]], ""))/AVERAGE(IF(Table14[[#This Row],[Website Area (Acres)]:[PEZ Other Source (Acre)]]&lt;&gt;0, Table14[[#This Row],[Website Area (Acres)]:[PEZ Other Source (Acre)]], "")), "")</f>
        <v>0</v>
      </c>
      <c r="AM62" s="70" t="s">
        <v>418</v>
      </c>
      <c r="AN62" s="70"/>
      <c r="AO62" s="70"/>
      <c r="AP62" s="148">
        <v>510</v>
      </c>
      <c r="AQ62" s="148">
        <v>510</v>
      </c>
      <c r="AR62" s="70" t="s">
        <v>468</v>
      </c>
      <c r="AS62" s="70" t="s">
        <v>444</v>
      </c>
      <c r="AT62" s="71"/>
      <c r="AU62" s="71"/>
      <c r="AV62" s="71"/>
      <c r="AW62" s="71"/>
      <c r="AX62" s="71"/>
      <c r="AY62" s="71"/>
      <c r="AZ62" s="71"/>
      <c r="BA62" s="71"/>
      <c r="BB62" s="70"/>
      <c r="BC62" s="75"/>
      <c r="BD62" s="70"/>
      <c r="BE62" s="70"/>
      <c r="BF62" s="70"/>
      <c r="BG62" s="70"/>
      <c r="BH62" s="70"/>
      <c r="BI62" s="70"/>
      <c r="BJ62" s="70"/>
      <c r="BK62" s="70"/>
      <c r="BL62" s="70"/>
      <c r="BM62" s="71"/>
      <c r="BN62" s="71"/>
      <c r="BO62" s="71"/>
      <c r="BP62" s="71"/>
      <c r="BQ62" s="71"/>
      <c r="BR62" s="71"/>
      <c r="BS62" s="71"/>
      <c r="BT62" s="71"/>
      <c r="BU62" s="71"/>
      <c r="BV62" s="71"/>
      <c r="BW62" s="71"/>
      <c r="BX62" s="71"/>
      <c r="BY62" s="71"/>
      <c r="BZ62" s="71"/>
      <c r="CA62" s="71"/>
      <c r="CB62" s="71"/>
    </row>
    <row r="63" spans="2:80" ht="40" customHeight="1" x14ac:dyDescent="0.35">
      <c r="B63" s="70">
        <v>60</v>
      </c>
      <c r="C63" s="71" t="s">
        <v>19</v>
      </c>
      <c r="D63" s="70" t="s">
        <v>68</v>
      </c>
      <c r="E63" s="70" t="s">
        <v>68</v>
      </c>
      <c r="F63" s="70" t="s">
        <v>69</v>
      </c>
      <c r="G63" s="70" t="s">
        <v>70</v>
      </c>
      <c r="H63" s="70" t="s">
        <v>422</v>
      </c>
      <c r="I63" s="70" t="s">
        <v>440</v>
      </c>
      <c r="J63" s="70" t="s">
        <v>415</v>
      </c>
      <c r="K63" s="70" t="s">
        <v>417</v>
      </c>
      <c r="L63" s="70"/>
      <c r="M63" s="70"/>
      <c r="N63" s="63"/>
      <c r="O63" s="63"/>
      <c r="P63" s="63"/>
      <c r="Q63" s="79" t="s">
        <v>417</v>
      </c>
      <c r="R63" s="96">
        <v>2021</v>
      </c>
      <c r="S63" s="70"/>
      <c r="T63" s="63"/>
      <c r="U63" s="70"/>
      <c r="V63" s="96"/>
      <c r="W63" s="70"/>
      <c r="X63" s="63"/>
      <c r="Y63" s="63" t="str">
        <f>IF(AND(Table14[[#This Row],[Pre-Feasibility]]=0,Table14[[#This Row],[Pre-Feasibility 2]]=0, Table14[[#This Row],[Feasibility]]=0, Table14[[#This Row],[Feasibility 2]]=0), "No", "Yes")</f>
        <v>Yes</v>
      </c>
      <c r="Z63" s="63" t="s">
        <v>440</v>
      </c>
      <c r="AA63" s="63" t="s">
        <v>440</v>
      </c>
      <c r="AB63" s="70"/>
      <c r="AC63" s="70" t="s">
        <v>871</v>
      </c>
      <c r="AD63" s="70"/>
      <c r="AE63" s="70" t="s">
        <v>180</v>
      </c>
      <c r="AF63" s="70"/>
      <c r="AG63" s="70">
        <v>2368.5700000000002</v>
      </c>
      <c r="AH63" s="70" t="s">
        <v>180</v>
      </c>
      <c r="AI63" s="70" t="s">
        <v>440</v>
      </c>
      <c r="AJ63" s="70" t="s">
        <v>440</v>
      </c>
      <c r="AK63" s="70" t="s">
        <v>440</v>
      </c>
      <c r="AL63" s="250" cm="1">
        <f t="array" ref="AL63">IFERROR(_xlfn.STDEV.P(IF(Table14[[#This Row],[Website Area (Acres)]:[PEZ Other Source (Acre)]]&lt;&gt;0, Table14[[#This Row],[Website Area (Acres)]:[PEZ Other Source (Acre)]], ""))/AVERAGE(IF(Table14[[#This Row],[Website Area (Acres)]:[PEZ Other Source (Acre)]]&lt;&gt;0, Table14[[#This Row],[Website Area (Acres)]:[PEZ Other Source (Acre)]], "")), "")</f>
        <v>0</v>
      </c>
      <c r="AM63" s="70" t="s">
        <v>418</v>
      </c>
      <c r="AN63" s="70"/>
      <c r="AO63" s="70"/>
      <c r="AP63" s="148">
        <v>2368.5700000000002</v>
      </c>
      <c r="AQ63" s="148">
        <v>1918.807</v>
      </c>
      <c r="AR63" s="70" t="s">
        <v>424</v>
      </c>
      <c r="AS63" s="70" t="s">
        <v>435</v>
      </c>
      <c r="AT63" s="71"/>
      <c r="AU63" s="71"/>
      <c r="AV63" s="71"/>
      <c r="AW63" s="71"/>
      <c r="AX63" s="71"/>
      <c r="AY63" s="71"/>
      <c r="AZ63" s="71"/>
      <c r="BA63" s="71"/>
      <c r="BB63" s="70"/>
      <c r="BC63" s="75">
        <v>2368.5700000000002</v>
      </c>
      <c r="BD63" s="70" t="s">
        <v>848</v>
      </c>
      <c r="BE63" s="70" t="s">
        <v>849</v>
      </c>
      <c r="BF63" s="70" t="s">
        <v>874</v>
      </c>
      <c r="BG63" s="70" t="s">
        <v>857</v>
      </c>
      <c r="BH63" s="70" t="s">
        <v>858</v>
      </c>
      <c r="BI63" s="70"/>
      <c r="BJ63" s="70"/>
      <c r="BK63" s="70"/>
      <c r="BL63" s="70"/>
      <c r="BM63" s="71"/>
      <c r="BN63" s="71"/>
      <c r="BO63" s="71" t="s">
        <v>969</v>
      </c>
      <c r="BP63" s="71" t="s">
        <v>970</v>
      </c>
      <c r="BQ63" s="71" t="s">
        <v>971</v>
      </c>
      <c r="BR63" s="71" t="s">
        <v>972</v>
      </c>
      <c r="BS63" s="71">
        <v>207.3</v>
      </c>
      <c r="BT63" s="91">
        <v>72000</v>
      </c>
      <c r="BU63" s="71"/>
      <c r="BV63" s="88">
        <v>32000</v>
      </c>
      <c r="BW63" s="71"/>
      <c r="BX63" s="71"/>
      <c r="BY63" s="71"/>
      <c r="BZ63" s="71"/>
      <c r="CA63" s="71"/>
      <c r="CB63" s="71"/>
    </row>
    <row r="64" spans="2:80" ht="40" customHeight="1" x14ac:dyDescent="0.35">
      <c r="B64" s="70">
        <v>61</v>
      </c>
      <c r="C64" s="71" t="s">
        <v>223</v>
      </c>
      <c r="D64" s="70" t="s">
        <v>94</v>
      </c>
      <c r="E64" s="70" t="s">
        <v>202</v>
      </c>
      <c r="F64" s="70" t="s">
        <v>224</v>
      </c>
      <c r="G64" s="70" t="s">
        <v>70</v>
      </c>
      <c r="H64" s="70" t="s">
        <v>430</v>
      </c>
      <c r="I64" s="70" t="s">
        <v>440</v>
      </c>
      <c r="J64" s="70" t="s">
        <v>436</v>
      </c>
      <c r="K64" s="70" t="s">
        <v>417</v>
      </c>
      <c r="L64" s="70"/>
      <c r="M64" s="70"/>
      <c r="N64" s="63"/>
      <c r="O64" s="63"/>
      <c r="P64" s="63"/>
      <c r="Q64" s="70"/>
      <c r="R64" s="96"/>
      <c r="S64" s="70"/>
      <c r="T64" s="63"/>
      <c r="U64" s="70"/>
      <c r="V64" s="96"/>
      <c r="W64" s="70"/>
      <c r="X64" s="63"/>
      <c r="Y64" s="63" t="str">
        <f>IF(AND(Table14[[#This Row],[Pre-Feasibility]]=0,Table14[[#This Row],[Pre-Feasibility 2]]=0, Table14[[#This Row],[Feasibility]]=0, Table14[[#This Row],[Feasibility 2]]=0), "No", "Yes")</f>
        <v>No</v>
      </c>
      <c r="Z64" s="63" t="s">
        <v>440</v>
      </c>
      <c r="AA64" s="63" t="s">
        <v>440</v>
      </c>
      <c r="AB64" s="70"/>
      <c r="AC64" s="70"/>
      <c r="AD64" s="70"/>
      <c r="AE64" s="70" t="s">
        <v>180</v>
      </c>
      <c r="AF64" s="70"/>
      <c r="AG64" s="70" t="s">
        <v>180</v>
      </c>
      <c r="AH64" s="70" t="s">
        <v>180</v>
      </c>
      <c r="AI64" s="70" t="s">
        <v>440</v>
      </c>
      <c r="AJ64" s="70" t="s">
        <v>440</v>
      </c>
      <c r="AK64" s="70" t="s">
        <v>440</v>
      </c>
      <c r="AL64" s="250" t="str" cm="1">
        <f t="array" ref="AL64">IFERROR(_xlfn.STDEV.P(IF(Table14[[#This Row],[Website Area (Acres)]:[PEZ Other Source (Acre)]]&lt;&gt;0, Table14[[#This Row],[Website Area (Acres)]:[PEZ Other Source (Acre)]], ""))/AVERAGE(IF(Table14[[#This Row],[Website Area (Acres)]:[PEZ Other Source (Acre)]]&lt;&gt;0, Table14[[#This Row],[Website Area (Acres)]:[PEZ Other Source (Acre)]], "")), "")</f>
        <v/>
      </c>
      <c r="AM64" s="70" t="s">
        <v>837</v>
      </c>
      <c r="AN64" s="70" t="s">
        <v>837</v>
      </c>
      <c r="AO64" s="70" t="s">
        <v>973</v>
      </c>
      <c r="AP64" s="148">
        <v>2925.2</v>
      </c>
      <c r="AQ64" s="148">
        <v>2925.2</v>
      </c>
      <c r="AR64" s="70" t="s">
        <v>474</v>
      </c>
      <c r="AS64" s="70" t="s">
        <v>444</v>
      </c>
      <c r="AT64" s="71"/>
      <c r="AU64" s="71"/>
      <c r="AV64" s="71"/>
      <c r="AW64" s="71"/>
      <c r="AX64" s="71"/>
      <c r="AY64" s="71"/>
      <c r="AZ64" s="71"/>
      <c r="BA64" s="71"/>
      <c r="BB64" s="70"/>
      <c r="BC64" s="75"/>
      <c r="BD64" s="70"/>
      <c r="BE64" s="70"/>
      <c r="BF64" s="70"/>
      <c r="BG64" s="70"/>
      <c r="BH64" s="70"/>
      <c r="BI64" s="70"/>
      <c r="BJ64" s="70"/>
      <c r="BK64" s="70"/>
      <c r="BL64" s="70"/>
      <c r="BM64" s="71"/>
      <c r="BN64" s="71"/>
      <c r="BO64" s="71"/>
      <c r="BP64" s="71"/>
      <c r="BQ64" s="71"/>
      <c r="BR64" s="71"/>
      <c r="BS64" s="71"/>
      <c r="BT64" s="71"/>
      <c r="BU64" s="71"/>
      <c r="BV64" s="71"/>
      <c r="BW64" s="71"/>
      <c r="BX64" s="71"/>
      <c r="BY64" s="71"/>
      <c r="BZ64" s="71"/>
      <c r="CA64" s="71"/>
      <c r="CB64" s="71"/>
    </row>
    <row r="65" spans="2:80" ht="40" customHeight="1" x14ac:dyDescent="0.35">
      <c r="B65" s="70">
        <v>62</v>
      </c>
      <c r="C65" s="71" t="s">
        <v>227</v>
      </c>
      <c r="D65" s="70" t="s">
        <v>84</v>
      </c>
      <c r="E65" s="70" t="s">
        <v>97</v>
      </c>
      <c r="F65" s="70" t="s">
        <v>228</v>
      </c>
      <c r="G65" s="70" t="s">
        <v>70</v>
      </c>
      <c r="H65" s="70" t="s">
        <v>430</v>
      </c>
      <c r="I65" s="70" t="s">
        <v>440</v>
      </c>
      <c r="J65" s="70" t="s">
        <v>436</v>
      </c>
      <c r="K65" s="70" t="s">
        <v>417</v>
      </c>
      <c r="L65" s="70"/>
      <c r="M65" s="70"/>
      <c r="N65" s="63"/>
      <c r="O65" s="63"/>
      <c r="P65" s="63"/>
      <c r="Q65" s="70"/>
      <c r="R65" s="96"/>
      <c r="S65" s="70"/>
      <c r="T65" s="63"/>
      <c r="U65" s="70"/>
      <c r="V65" s="96"/>
      <c r="W65" s="70"/>
      <c r="X65" s="63"/>
      <c r="Y65" s="63" t="str">
        <f>IF(AND(Table14[[#This Row],[Pre-Feasibility]]=0,Table14[[#This Row],[Pre-Feasibility 2]]=0, Table14[[#This Row],[Feasibility]]=0, Table14[[#This Row],[Feasibility 2]]=0), "No", "Yes")</f>
        <v>No</v>
      </c>
      <c r="Z65" s="63" t="s">
        <v>440</v>
      </c>
      <c r="AA65" s="63" t="s">
        <v>440</v>
      </c>
      <c r="AB65" s="70"/>
      <c r="AC65" s="70"/>
      <c r="AD65" s="70">
        <v>1546.35</v>
      </c>
      <c r="AE65" s="70" t="s">
        <v>180</v>
      </c>
      <c r="AF65" s="70"/>
      <c r="AG65" s="70" t="s">
        <v>180</v>
      </c>
      <c r="AH65" s="70" t="s">
        <v>180</v>
      </c>
      <c r="AI65" s="70" t="s">
        <v>440</v>
      </c>
      <c r="AJ65" s="70" t="s">
        <v>440</v>
      </c>
      <c r="AK65" s="70" t="s">
        <v>440</v>
      </c>
      <c r="AL65" s="250" cm="1">
        <f t="array" ref="AL65">IFERROR(_xlfn.STDEV.P(IF(Table14[[#This Row],[Website Area (Acres)]:[PEZ Other Source (Acre)]]&lt;&gt;0, Table14[[#This Row],[Website Area (Acres)]:[PEZ Other Source (Acre)]], ""))/AVERAGE(IF(Table14[[#This Row],[Website Area (Acres)]:[PEZ Other Source (Acre)]]&lt;&gt;0, Table14[[#This Row],[Website Area (Acres)]:[PEZ Other Source (Acre)]], "")), "")</f>
        <v>0</v>
      </c>
      <c r="AM65" s="70" t="s">
        <v>418</v>
      </c>
      <c r="AN65" s="70"/>
      <c r="AO65" s="70"/>
      <c r="AP65" s="148">
        <v>1546.3</v>
      </c>
      <c r="AQ65" s="148">
        <v>1564.35</v>
      </c>
      <c r="AR65" s="70" t="s">
        <v>455</v>
      </c>
      <c r="AS65" s="70" t="s">
        <v>444</v>
      </c>
      <c r="AT65" s="71"/>
      <c r="AU65" s="71"/>
      <c r="AV65" s="71"/>
      <c r="AW65" s="71"/>
      <c r="AX65" s="71"/>
      <c r="AY65" s="71"/>
      <c r="AZ65" s="71"/>
      <c r="BA65" s="71"/>
      <c r="BB65" s="70"/>
      <c r="BC65" s="75"/>
      <c r="BD65" s="70"/>
      <c r="BE65" s="70"/>
      <c r="BF65" s="70"/>
      <c r="BG65" s="70"/>
      <c r="BH65" s="70"/>
      <c r="BI65" s="70"/>
      <c r="BJ65" s="70"/>
      <c r="BK65" s="70"/>
      <c r="BL65" s="70"/>
      <c r="BM65" s="71"/>
      <c r="BN65" s="71"/>
      <c r="BO65" s="71"/>
      <c r="BP65" s="71"/>
      <c r="BQ65" s="71"/>
      <c r="BR65" s="71"/>
      <c r="BS65" s="71"/>
      <c r="BT65" s="71"/>
      <c r="BU65" s="71"/>
      <c r="BV65" s="71"/>
      <c r="BW65" s="71"/>
      <c r="BX65" s="71"/>
      <c r="BY65" s="71"/>
      <c r="BZ65" s="71"/>
      <c r="CA65" s="71"/>
      <c r="CB65" s="71"/>
    </row>
    <row r="66" spans="2:80" ht="40" customHeight="1" x14ac:dyDescent="0.35">
      <c r="B66" s="70">
        <v>63</v>
      </c>
      <c r="C66" s="71" t="s">
        <v>50</v>
      </c>
      <c r="D66" s="70" t="s">
        <v>94</v>
      </c>
      <c r="E66" s="70" t="s">
        <v>94</v>
      </c>
      <c r="F66" s="70" t="s">
        <v>116</v>
      </c>
      <c r="G66" s="70" t="s">
        <v>70</v>
      </c>
      <c r="H66" s="70" t="s">
        <v>422</v>
      </c>
      <c r="I66" s="70" t="s">
        <v>440</v>
      </c>
      <c r="J66" s="70" t="s">
        <v>443</v>
      </c>
      <c r="K66" s="70" t="s">
        <v>417</v>
      </c>
      <c r="L66" s="70"/>
      <c r="M66" s="70"/>
      <c r="N66" s="63"/>
      <c r="O66" s="63"/>
      <c r="P66" s="63"/>
      <c r="Q66" s="79" t="s">
        <v>417</v>
      </c>
      <c r="R66" s="96">
        <v>2021</v>
      </c>
      <c r="S66" s="70"/>
      <c r="T66" s="63"/>
      <c r="U66" s="70"/>
      <c r="V66" s="96"/>
      <c r="W66" s="70"/>
      <c r="X66" s="63"/>
      <c r="Y66" s="63" t="str">
        <f>IF(AND(Table14[[#This Row],[Pre-Feasibility]]=0,Table14[[#This Row],[Pre-Feasibility 2]]=0, Table14[[#This Row],[Feasibility]]=0, Table14[[#This Row],[Feasibility 2]]=0), "No", "Yes")</f>
        <v>Yes</v>
      </c>
      <c r="Z66" s="63" t="s">
        <v>440</v>
      </c>
      <c r="AA66" s="63" t="s">
        <v>440</v>
      </c>
      <c r="AB66" s="70"/>
      <c r="AC66" s="70" t="s">
        <v>824</v>
      </c>
      <c r="AD66" s="70">
        <v>255.83</v>
      </c>
      <c r="AE66" s="70" t="s">
        <v>180</v>
      </c>
      <c r="AF66" s="70"/>
      <c r="AG66" s="70">
        <v>255.83</v>
      </c>
      <c r="AH66" s="70" t="s">
        <v>180</v>
      </c>
      <c r="AI66" s="70" t="s">
        <v>440</v>
      </c>
      <c r="AJ66" s="70" t="s">
        <v>440</v>
      </c>
      <c r="AK66" s="70" t="s">
        <v>440</v>
      </c>
      <c r="AL66" s="250" cm="1">
        <f t="array" ref="AL66">IFERROR(_xlfn.STDEV.P(IF(Table14[[#This Row],[Website Area (Acres)]:[PEZ Other Source (Acre)]]&lt;&gt;0, Table14[[#This Row],[Website Area (Acres)]:[PEZ Other Source (Acre)]], ""))/AVERAGE(IF(Table14[[#This Row],[Website Area (Acres)]:[PEZ Other Source (Acre)]]&lt;&gt;0, Table14[[#This Row],[Website Area (Acres)]:[PEZ Other Source (Acre)]], "")), "")</f>
        <v>0</v>
      </c>
      <c r="AM66" s="70" t="s">
        <v>418</v>
      </c>
      <c r="AN66" s="70"/>
      <c r="AO66" s="70"/>
      <c r="AP66" s="148">
        <v>255.83</v>
      </c>
      <c r="AQ66" s="148">
        <v>255.86</v>
      </c>
      <c r="AR66" s="70" t="s">
        <v>449</v>
      </c>
      <c r="AS66" s="70" t="s">
        <v>435</v>
      </c>
      <c r="AT66" s="71"/>
      <c r="AU66" s="71">
        <v>1</v>
      </c>
      <c r="AV66" s="71">
        <v>176.93</v>
      </c>
      <c r="AW66" s="71"/>
      <c r="AX66" s="71">
        <v>38.61</v>
      </c>
      <c r="AY66" s="71">
        <v>10.220000000000001</v>
      </c>
      <c r="AZ66" s="71"/>
      <c r="BA66" s="71">
        <v>26.08</v>
      </c>
      <c r="BB66" s="70">
        <v>3.99</v>
      </c>
      <c r="BC66" s="75">
        <v>255.83000000000004</v>
      </c>
      <c r="BD66" s="70" t="s">
        <v>826</v>
      </c>
      <c r="BE66" s="70" t="s">
        <v>847</v>
      </c>
      <c r="BF66" s="70" t="s">
        <v>829</v>
      </c>
      <c r="BG66" s="70" t="s">
        <v>841</v>
      </c>
      <c r="BH66" s="70" t="s">
        <v>859</v>
      </c>
      <c r="BI66" s="70"/>
      <c r="BJ66" s="70"/>
      <c r="BK66" s="70"/>
      <c r="BL66" s="70"/>
      <c r="BM66" s="71"/>
      <c r="BN66" s="71"/>
      <c r="BO66" s="71" t="s">
        <v>974</v>
      </c>
      <c r="BP66" s="71" t="s">
        <v>975</v>
      </c>
      <c r="BQ66" s="71" t="s">
        <v>976</v>
      </c>
      <c r="BR66" s="71" t="s">
        <v>977</v>
      </c>
      <c r="BS66" s="71">
        <v>30</v>
      </c>
      <c r="BT66" s="91">
        <v>11000</v>
      </c>
      <c r="BU66" s="88">
        <v>12128</v>
      </c>
      <c r="BV66" s="88">
        <v>3000</v>
      </c>
      <c r="BW66" s="71"/>
      <c r="BX66" s="71"/>
      <c r="BY66" s="71"/>
      <c r="BZ66" s="71"/>
      <c r="CA66" s="71"/>
      <c r="CB66" s="71"/>
    </row>
    <row r="67" spans="2:80" ht="40" customHeight="1" x14ac:dyDescent="0.35">
      <c r="B67" s="70">
        <v>64</v>
      </c>
      <c r="C67" s="71" t="s">
        <v>41</v>
      </c>
      <c r="D67" s="70" t="s">
        <v>76</v>
      </c>
      <c r="E67" s="70" t="s">
        <v>102</v>
      </c>
      <c r="F67" s="70" t="s">
        <v>103</v>
      </c>
      <c r="G67" s="70" t="s">
        <v>70</v>
      </c>
      <c r="H67" s="70" t="s">
        <v>422</v>
      </c>
      <c r="I67" s="70" t="s">
        <v>440</v>
      </c>
      <c r="J67" s="70" t="s">
        <v>443</v>
      </c>
      <c r="K67" s="70" t="s">
        <v>417</v>
      </c>
      <c r="L67" s="70"/>
      <c r="M67" s="139" t="s">
        <v>417</v>
      </c>
      <c r="N67" s="63">
        <v>2020</v>
      </c>
      <c r="O67" s="63"/>
      <c r="P67" s="63"/>
      <c r="Q67" s="79" t="s">
        <v>417</v>
      </c>
      <c r="R67" s="96">
        <v>2021</v>
      </c>
      <c r="S67" s="70"/>
      <c r="T67" s="63"/>
      <c r="U67" s="70"/>
      <c r="V67" s="96"/>
      <c r="W67" s="70"/>
      <c r="X67" s="63"/>
      <c r="Y67" s="63" t="str">
        <f>IF(AND(Table14[[#This Row],[Pre-Feasibility]]=0,Table14[[#This Row],[Pre-Feasibility 2]]=0, Table14[[#This Row],[Feasibility]]=0, Table14[[#This Row],[Feasibility 2]]=0), "No", "Yes")</f>
        <v>Yes</v>
      </c>
      <c r="Z67" s="63" t="s">
        <v>440</v>
      </c>
      <c r="AA67" s="63" t="s">
        <v>440</v>
      </c>
      <c r="AB67" s="70"/>
      <c r="AC67" s="70" t="s">
        <v>846</v>
      </c>
      <c r="AD67" s="70"/>
      <c r="AE67" s="70">
        <v>502.02</v>
      </c>
      <c r="AF67" s="70"/>
      <c r="AG67" s="70">
        <v>1761.85</v>
      </c>
      <c r="AH67" s="70" t="s">
        <v>180</v>
      </c>
      <c r="AI67" s="70" t="s">
        <v>440</v>
      </c>
      <c r="AJ67" s="70" t="s">
        <v>440</v>
      </c>
      <c r="AK67" s="70" t="s">
        <v>440</v>
      </c>
      <c r="AL67" s="250" cm="1">
        <f t="array" ref="AL67">IFERROR(_xlfn.STDEV.P(IF(Table14[[#This Row],[Website Area (Acres)]:[PEZ Other Source (Acre)]]&lt;&gt;0, Table14[[#This Row],[Website Area (Acres)]:[PEZ Other Source (Acre)]], ""))/AVERAGE(IF(Table14[[#This Row],[Website Area (Acres)]:[PEZ Other Source (Acre)]]&lt;&gt;0, Table14[[#This Row],[Website Area (Acres)]:[PEZ Other Source (Acre)]], "")), "")</f>
        <v>0.55649396829323239</v>
      </c>
      <c r="AM67" s="70" t="s">
        <v>417</v>
      </c>
      <c r="AN67" s="70"/>
      <c r="AO67" s="70" t="s">
        <v>978</v>
      </c>
      <c r="AP67" s="148">
        <v>1764.89</v>
      </c>
      <c r="AQ67" s="148">
        <v>1764.89</v>
      </c>
      <c r="AR67" s="70" t="s">
        <v>442</v>
      </c>
      <c r="AS67" s="70" t="s">
        <v>444</v>
      </c>
      <c r="AT67" s="71"/>
      <c r="AU67" s="71"/>
      <c r="AV67" s="71">
        <v>1277.5999999999999</v>
      </c>
      <c r="AW67" s="71"/>
      <c r="AX67" s="71">
        <v>183.85</v>
      </c>
      <c r="AY67" s="71">
        <v>98.43</v>
      </c>
      <c r="AZ67" s="71">
        <v>22.82</v>
      </c>
      <c r="BA67" s="71">
        <v>176.19</v>
      </c>
      <c r="BB67" s="70">
        <v>2.97</v>
      </c>
      <c r="BC67" s="75">
        <v>1761.85</v>
      </c>
      <c r="BD67" s="70" t="s">
        <v>826</v>
      </c>
      <c r="BE67" s="70" t="s">
        <v>847</v>
      </c>
      <c r="BF67" s="70" t="s">
        <v>829</v>
      </c>
      <c r="BG67" s="70" t="s">
        <v>856</v>
      </c>
      <c r="BH67" s="70" t="s">
        <v>830</v>
      </c>
      <c r="BI67" s="70" t="s">
        <v>848</v>
      </c>
      <c r="BJ67" s="70" t="s">
        <v>849</v>
      </c>
      <c r="BK67" s="70" t="s">
        <v>841</v>
      </c>
      <c r="BL67" s="70" t="s">
        <v>859</v>
      </c>
      <c r="BM67" s="71"/>
      <c r="BN67" s="71"/>
      <c r="BO67" s="71" t="s">
        <v>979</v>
      </c>
      <c r="BP67" s="71" t="s">
        <v>980</v>
      </c>
      <c r="BQ67" s="71" t="s">
        <v>981</v>
      </c>
      <c r="BR67" s="71" t="s">
        <v>982</v>
      </c>
      <c r="BS67" s="71">
        <v>217</v>
      </c>
      <c r="BT67" s="91">
        <v>62000</v>
      </c>
      <c r="BU67" s="88">
        <v>87000</v>
      </c>
      <c r="BV67" s="88">
        <v>3027.31</v>
      </c>
      <c r="BW67" s="71"/>
      <c r="BX67" s="71"/>
      <c r="BY67" s="71"/>
      <c r="BZ67" s="71"/>
      <c r="CA67" s="71"/>
      <c r="CB67" s="71"/>
    </row>
    <row r="68" spans="2:80" ht="40" customHeight="1" x14ac:dyDescent="0.35">
      <c r="B68" s="70">
        <v>65</v>
      </c>
      <c r="C68" s="71" t="s">
        <v>23</v>
      </c>
      <c r="D68" s="70" t="s">
        <v>68</v>
      </c>
      <c r="E68" s="70" t="s">
        <v>68</v>
      </c>
      <c r="F68" s="70" t="s">
        <v>81</v>
      </c>
      <c r="G68" s="70" t="s">
        <v>79</v>
      </c>
      <c r="H68" s="70" t="s">
        <v>410</v>
      </c>
      <c r="I68" s="70" t="s">
        <v>440</v>
      </c>
      <c r="J68" s="70" t="s">
        <v>415</v>
      </c>
      <c r="K68" s="70" t="s">
        <v>417</v>
      </c>
      <c r="L68" s="109" t="s">
        <v>643</v>
      </c>
      <c r="M68" s="70"/>
      <c r="N68" s="63"/>
      <c r="O68" s="63"/>
      <c r="P68" s="63"/>
      <c r="Q68" s="70"/>
      <c r="R68" s="96"/>
      <c r="S68" s="79"/>
      <c r="T68" s="63"/>
      <c r="U68" s="79" t="s">
        <v>417</v>
      </c>
      <c r="V68" s="96">
        <v>2014</v>
      </c>
      <c r="W68" s="79"/>
      <c r="X68" s="63"/>
      <c r="Y68" s="63" t="str">
        <f>IF(AND(Table14[[#This Row],[Pre-Feasibility]]=0,Table14[[#This Row],[Pre-Feasibility 2]]=0, Table14[[#This Row],[Feasibility]]=0, Table14[[#This Row],[Feasibility 2]]=0), "No", "Yes")</f>
        <v>Yes</v>
      </c>
      <c r="Z68" s="63" t="s">
        <v>440</v>
      </c>
      <c r="AA68" s="63" t="s">
        <v>440</v>
      </c>
      <c r="AB68" s="79"/>
      <c r="AC68" s="70" t="s">
        <v>824</v>
      </c>
      <c r="AD68" s="70">
        <v>503.7</v>
      </c>
      <c r="AE68" s="70" t="s">
        <v>180</v>
      </c>
      <c r="AF68" s="70"/>
      <c r="AG68" s="70" t="s">
        <v>180</v>
      </c>
      <c r="AH68" s="70">
        <v>1389.5</v>
      </c>
      <c r="AI68" s="70" t="s">
        <v>440</v>
      </c>
      <c r="AJ68" s="70" t="s">
        <v>440</v>
      </c>
      <c r="AK68" s="70" t="s">
        <v>440</v>
      </c>
      <c r="AL68" s="250" cm="1">
        <f t="array" ref="AL68">IFERROR(_xlfn.STDEV.P(IF(Table14[[#This Row],[Website Area (Acres)]:[PEZ Other Source (Acre)]]&lt;&gt;0, Table14[[#This Row],[Website Area (Acres)]:[PEZ Other Source (Acre)]], ""))/AVERAGE(IF(Table14[[#This Row],[Website Area (Acres)]:[PEZ Other Source (Acre)]]&lt;&gt;0, Table14[[#This Row],[Website Area (Acres)]:[PEZ Other Source (Acre)]], "")), "")</f>
        <v>0.46788506232833288</v>
      </c>
      <c r="AM68" s="70" t="s">
        <v>417</v>
      </c>
      <c r="AN68" s="70" t="s">
        <v>983</v>
      </c>
      <c r="AO68" s="70" t="s">
        <v>984</v>
      </c>
      <c r="AP68" s="148">
        <v>774.4</v>
      </c>
      <c r="AQ68" s="148">
        <v>805.86649999999997</v>
      </c>
      <c r="AR68" s="70" t="s">
        <v>429</v>
      </c>
      <c r="AS68" s="70" t="s">
        <v>444</v>
      </c>
      <c r="AT68" s="71"/>
      <c r="AU68" s="87">
        <v>2.4700000000000002</v>
      </c>
      <c r="AV68" s="71">
        <v>895.56</v>
      </c>
      <c r="AW68" s="71"/>
      <c r="AX68" s="71">
        <v>75.37</v>
      </c>
      <c r="AY68" s="71">
        <f>24.56+24.42+5.86+134.73</f>
        <v>189.57</v>
      </c>
      <c r="AZ68" s="71">
        <v>18.77</v>
      </c>
      <c r="BA68" s="71">
        <v>44.67</v>
      </c>
      <c r="BB68" s="70">
        <v>165.56</v>
      </c>
      <c r="BC68" s="74">
        <f>SUM(AV68:BB68)</f>
        <v>1389.5</v>
      </c>
      <c r="BD68" s="70" t="s">
        <v>873</v>
      </c>
      <c r="BE68" s="70" t="s">
        <v>985</v>
      </c>
      <c r="BF68" s="70" t="s">
        <v>986</v>
      </c>
      <c r="BG68" s="70" t="s">
        <v>874</v>
      </c>
      <c r="BH68" s="70" t="s">
        <v>840</v>
      </c>
      <c r="BI68" s="70" t="s">
        <v>839</v>
      </c>
      <c r="BJ68" s="70"/>
      <c r="BK68" s="70"/>
      <c r="BL68" s="70"/>
      <c r="BM68" s="71"/>
      <c r="BN68" s="71"/>
      <c r="BO68" s="71" t="s">
        <v>987</v>
      </c>
      <c r="BP68" s="71" t="s">
        <v>988</v>
      </c>
      <c r="BQ68" s="71" t="s">
        <v>989</v>
      </c>
      <c r="BR68" s="71"/>
      <c r="BS68" s="88">
        <v>98.75</v>
      </c>
      <c r="BT68" s="88">
        <v>36731.339999999997</v>
      </c>
      <c r="BU68" s="88"/>
      <c r="BV68" s="88"/>
      <c r="BW68" s="71"/>
      <c r="BX68" s="71"/>
      <c r="BY68" s="71"/>
      <c r="BZ68" s="71" t="s">
        <v>990</v>
      </c>
      <c r="CA68" s="71"/>
      <c r="CB68" s="71"/>
    </row>
    <row r="69" spans="2:80" ht="40" customHeight="1" x14ac:dyDescent="0.35">
      <c r="B69" s="70">
        <v>66</v>
      </c>
      <c r="C69" s="71" t="s">
        <v>21</v>
      </c>
      <c r="D69" s="70" t="s">
        <v>76</v>
      </c>
      <c r="E69" s="70" t="s">
        <v>77</v>
      </c>
      <c r="F69" s="70" t="s">
        <v>78</v>
      </c>
      <c r="G69" s="70" t="s">
        <v>79</v>
      </c>
      <c r="H69" s="70" t="s">
        <v>410</v>
      </c>
      <c r="I69" s="70" t="s">
        <v>440</v>
      </c>
      <c r="J69" s="70" t="s">
        <v>415</v>
      </c>
      <c r="K69" s="70" t="s">
        <v>417</v>
      </c>
      <c r="L69" s="109" t="s">
        <v>643</v>
      </c>
      <c r="M69" s="70"/>
      <c r="N69" s="63"/>
      <c r="O69" s="63"/>
      <c r="P69" s="63"/>
      <c r="Q69" s="79" t="s">
        <v>417</v>
      </c>
      <c r="R69" s="96">
        <v>2021</v>
      </c>
      <c r="S69" s="70"/>
      <c r="T69" s="63"/>
      <c r="U69" s="70"/>
      <c r="V69" s="96"/>
      <c r="W69" s="70"/>
      <c r="X69" s="63"/>
      <c r="Y69" s="63" t="str">
        <f>IF(AND(Table14[[#This Row],[Pre-Feasibility]]=0,Table14[[#This Row],[Pre-Feasibility 2]]=0, Table14[[#This Row],[Feasibility]]=0, Table14[[#This Row],[Feasibility 2]]=0), "No", "Yes")</f>
        <v>Yes</v>
      </c>
      <c r="Z69" s="63" t="s">
        <v>440</v>
      </c>
      <c r="AA69" s="63" t="s">
        <v>440</v>
      </c>
      <c r="AB69" s="70"/>
      <c r="AC69" s="70" t="s">
        <v>824</v>
      </c>
      <c r="AD69" s="70">
        <v>400</v>
      </c>
      <c r="AE69" s="70" t="s">
        <v>180</v>
      </c>
      <c r="AF69" s="70"/>
      <c r="AG69" s="70">
        <v>413</v>
      </c>
      <c r="AH69" s="70" t="s">
        <v>180</v>
      </c>
      <c r="AI69" s="70" t="s">
        <v>440</v>
      </c>
      <c r="AJ69" s="70" t="s">
        <v>440</v>
      </c>
      <c r="AK69" s="70" t="s">
        <v>440</v>
      </c>
      <c r="AL69" s="250" cm="1">
        <f t="array" ref="AL69">IFERROR(_xlfn.STDEV.P(IF(Table14[[#This Row],[Website Area (Acres)]:[PEZ Other Source (Acre)]]&lt;&gt;0, Table14[[#This Row],[Website Area (Acres)]:[PEZ Other Source (Acre)]], ""))/AVERAGE(IF(Table14[[#This Row],[Website Area (Acres)]:[PEZ Other Source (Acre)]]&lt;&gt;0, Table14[[#This Row],[Website Area (Acres)]:[PEZ Other Source (Acre)]], "")), "")</f>
        <v>1.5990159901599015E-2</v>
      </c>
      <c r="AM69" s="70" t="s">
        <v>418</v>
      </c>
      <c r="AN69" s="70"/>
      <c r="AO69" s="70"/>
      <c r="AP69" s="148">
        <v>1010.9</v>
      </c>
      <c r="AQ69" s="148">
        <v>1010.9</v>
      </c>
      <c r="AR69" s="70" t="s">
        <v>426</v>
      </c>
      <c r="AS69" s="70" t="s">
        <v>412</v>
      </c>
      <c r="AT69" s="71"/>
      <c r="AU69" s="71">
        <v>1</v>
      </c>
      <c r="AV69" s="71">
        <v>276.16000000000003</v>
      </c>
      <c r="AW69" s="71"/>
      <c r="AX69" s="71">
        <f>52.96+1.48</f>
        <v>54.44</v>
      </c>
      <c r="AY69" s="71">
        <v>19.3</v>
      </c>
      <c r="AZ69" s="71">
        <v>12.84</v>
      </c>
      <c r="BA69" s="71">
        <v>50.26</v>
      </c>
      <c r="BB69" s="70"/>
      <c r="BC69" s="74">
        <f>SUM(AV69:BB69)</f>
        <v>413</v>
      </c>
      <c r="BD69" s="70" t="s">
        <v>847</v>
      </c>
      <c r="BE69" s="70" t="s">
        <v>840</v>
      </c>
      <c r="BF69" s="70" t="s">
        <v>848</v>
      </c>
      <c r="BG69" s="70" t="s">
        <v>849</v>
      </c>
      <c r="BH69" s="70" t="s">
        <v>857</v>
      </c>
      <c r="BI69" s="70" t="s">
        <v>830</v>
      </c>
      <c r="BJ69" s="70" t="s">
        <v>839</v>
      </c>
      <c r="BK69" s="70" t="s">
        <v>859</v>
      </c>
      <c r="BL69" s="70"/>
      <c r="BM69" s="71"/>
      <c r="BN69" s="71"/>
      <c r="BO69" s="71" t="s">
        <v>991</v>
      </c>
      <c r="BP69" s="71" t="s">
        <v>992</v>
      </c>
      <c r="BQ69" s="71" t="s">
        <v>993</v>
      </c>
      <c r="BR69" s="71" t="s">
        <v>994</v>
      </c>
      <c r="BS69" s="88">
        <v>48</v>
      </c>
      <c r="BT69" s="88">
        <v>5000</v>
      </c>
      <c r="BU69" s="88">
        <v>18900</v>
      </c>
      <c r="BV69" s="88">
        <v>4735.03</v>
      </c>
      <c r="BW69" s="71"/>
      <c r="BX69" s="71"/>
      <c r="BY69" s="71"/>
      <c r="BZ69" s="71"/>
      <c r="CA69" s="71"/>
      <c r="CB69" s="71"/>
    </row>
    <row r="70" spans="2:80" ht="40" customHeight="1" x14ac:dyDescent="0.35">
      <c r="B70" s="70">
        <v>67</v>
      </c>
      <c r="C70" s="71" t="s">
        <v>25</v>
      </c>
      <c r="D70" s="70" t="s">
        <v>84</v>
      </c>
      <c r="E70" s="70" t="s">
        <v>85</v>
      </c>
      <c r="F70" s="70" t="s">
        <v>86</v>
      </c>
      <c r="G70" s="70" t="s">
        <v>79</v>
      </c>
      <c r="H70" s="70" t="s">
        <v>431</v>
      </c>
      <c r="I70" s="70" t="s">
        <v>440</v>
      </c>
      <c r="J70" s="70" t="s">
        <v>443</v>
      </c>
      <c r="K70" s="70" t="s">
        <v>417</v>
      </c>
      <c r="L70" s="109" t="s">
        <v>643</v>
      </c>
      <c r="M70" s="139" t="s">
        <v>417</v>
      </c>
      <c r="N70" s="63">
        <v>2022</v>
      </c>
      <c r="O70" s="135" t="s">
        <v>417</v>
      </c>
      <c r="P70" s="63">
        <v>2015</v>
      </c>
      <c r="Q70" s="70"/>
      <c r="R70" s="96"/>
      <c r="S70" s="70"/>
      <c r="T70" s="63"/>
      <c r="U70" s="70"/>
      <c r="V70" s="96"/>
      <c r="W70" s="70"/>
      <c r="X70" s="63"/>
      <c r="Y70" s="149" t="s">
        <v>417</v>
      </c>
      <c r="Z70" s="63" t="s">
        <v>440</v>
      </c>
      <c r="AA70" s="63" t="s">
        <v>440</v>
      </c>
      <c r="AB70" s="70"/>
      <c r="AC70" s="70" t="s">
        <v>864</v>
      </c>
      <c r="AD70" s="70">
        <v>506.77</v>
      </c>
      <c r="AE70" s="70">
        <v>200</v>
      </c>
      <c r="AF70" s="70">
        <v>506.77</v>
      </c>
      <c r="AG70" s="70" t="s">
        <v>180</v>
      </c>
      <c r="AH70" s="70" t="s">
        <v>180</v>
      </c>
      <c r="AI70" s="70" t="s">
        <v>440</v>
      </c>
      <c r="AJ70" s="70" t="s">
        <v>440</v>
      </c>
      <c r="AK70" s="70" t="s">
        <v>440</v>
      </c>
      <c r="AL70" s="250" cm="1">
        <f t="array" ref="AL70">IFERROR(_xlfn.STDEV.P(IF(Table14[[#This Row],[Website Area (Acres)]:[PEZ Other Source (Acre)]]&lt;&gt;0, Table14[[#This Row],[Website Area (Acres)]:[PEZ Other Source (Acre)]], ""))/AVERAGE(IF(Table14[[#This Row],[Website Area (Acres)]:[PEZ Other Source (Acre)]]&lt;&gt;0, Table14[[#This Row],[Website Area (Acres)]:[PEZ Other Source (Acre)]], "")), "")</f>
        <v>0.35749814141206238</v>
      </c>
      <c r="AM70" s="70" t="s">
        <v>417</v>
      </c>
      <c r="AN70" s="70" t="s">
        <v>887</v>
      </c>
      <c r="AO70" s="70" t="s">
        <v>995</v>
      </c>
      <c r="AP70" s="148">
        <v>382.07</v>
      </c>
      <c r="AQ70" s="148">
        <v>382.07209999999998</v>
      </c>
      <c r="AR70" s="70" t="s">
        <v>432</v>
      </c>
      <c r="AS70" s="70" t="s">
        <v>435</v>
      </c>
      <c r="AT70" s="71"/>
      <c r="AU70" s="71"/>
      <c r="AV70" s="71"/>
      <c r="AW70" s="71"/>
      <c r="AX70" s="71"/>
      <c r="AY70" s="71"/>
      <c r="AZ70" s="71"/>
      <c r="BA70" s="71"/>
      <c r="BB70" s="70"/>
      <c r="BC70" s="75"/>
      <c r="BD70" s="70"/>
      <c r="BE70" s="70"/>
      <c r="BF70" s="70"/>
      <c r="BG70" s="70"/>
      <c r="BH70" s="70"/>
      <c r="BI70" s="70"/>
      <c r="BJ70" s="70"/>
      <c r="BK70" s="70"/>
      <c r="BL70" s="70"/>
      <c r="BM70" s="71"/>
      <c r="BN70" s="71"/>
      <c r="BO70" s="71"/>
      <c r="BP70" s="71"/>
      <c r="BQ70" s="71"/>
      <c r="BR70" s="71"/>
      <c r="BS70" s="71"/>
      <c r="BT70" s="71"/>
      <c r="BU70" s="71"/>
      <c r="BV70" s="71"/>
      <c r="BW70" s="71"/>
      <c r="BX70" s="71"/>
      <c r="BY70" s="71"/>
      <c r="BZ70" s="71"/>
      <c r="CA70" s="71"/>
      <c r="CB70" s="71"/>
    </row>
    <row r="71" spans="2:80" ht="40" customHeight="1" x14ac:dyDescent="0.35">
      <c r="B71" s="70">
        <v>68</v>
      </c>
      <c r="C71" s="71" t="s">
        <v>64</v>
      </c>
      <c r="D71" s="70" t="s">
        <v>84</v>
      </c>
      <c r="E71" s="70" t="s">
        <v>97</v>
      </c>
      <c r="F71" s="70" t="s">
        <v>98</v>
      </c>
      <c r="G71" s="70" t="s">
        <v>79</v>
      </c>
      <c r="H71" s="70" t="s">
        <v>410</v>
      </c>
      <c r="I71" s="70" t="s">
        <v>440</v>
      </c>
      <c r="J71" s="70" t="s">
        <v>415</v>
      </c>
      <c r="K71" s="70" t="s">
        <v>417</v>
      </c>
      <c r="L71" s="109" t="s">
        <v>643</v>
      </c>
      <c r="M71" s="70"/>
      <c r="N71" s="63"/>
      <c r="O71" s="63"/>
      <c r="P71" s="63"/>
      <c r="Q71" s="70"/>
      <c r="R71" s="96"/>
      <c r="S71" s="70"/>
      <c r="T71" s="63"/>
      <c r="U71" s="70"/>
      <c r="V71" s="96"/>
      <c r="W71" s="70"/>
      <c r="X71" s="63"/>
      <c r="Y71" s="63" t="str">
        <f>IF(AND(Table14[[#This Row],[Pre-Feasibility]]=0,Table14[[#This Row],[Pre-Feasibility 2]]=0, Table14[[#This Row],[Feasibility]]=0, Table14[[#This Row],[Feasibility 2]]=0), "No", "Yes")</f>
        <v>No</v>
      </c>
      <c r="Z71" s="63" t="s">
        <v>440</v>
      </c>
      <c r="AA71" s="63" t="s">
        <v>440</v>
      </c>
      <c r="AB71" s="70"/>
      <c r="AC71" s="70"/>
      <c r="AD71" s="70">
        <v>110.15</v>
      </c>
      <c r="AE71" s="70" t="s">
        <v>180</v>
      </c>
      <c r="AF71" s="70"/>
      <c r="AG71" s="70" t="s">
        <v>180</v>
      </c>
      <c r="AH71" s="70" t="s">
        <v>180</v>
      </c>
      <c r="AI71" s="70" t="s">
        <v>440</v>
      </c>
      <c r="AJ71" s="70" t="s">
        <v>440</v>
      </c>
      <c r="AK71" s="70" t="s">
        <v>440</v>
      </c>
      <c r="AL71" s="250" cm="1">
        <f t="array" ref="AL71">IFERROR(_xlfn.STDEV.P(IF(Table14[[#This Row],[Website Area (Acres)]:[PEZ Other Source (Acre)]]&lt;&gt;0, Table14[[#This Row],[Website Area (Acres)]:[PEZ Other Source (Acre)]], ""))/AVERAGE(IF(Table14[[#This Row],[Website Area (Acres)]:[PEZ Other Source (Acre)]]&lt;&gt;0, Table14[[#This Row],[Website Area (Acres)]:[PEZ Other Source (Acre)]], "")), "")</f>
        <v>0</v>
      </c>
      <c r="AM71" s="70" t="s">
        <v>418</v>
      </c>
      <c r="AN71" s="70" t="s">
        <v>967</v>
      </c>
      <c r="AO71" s="70" t="s">
        <v>996</v>
      </c>
      <c r="AP71" s="148">
        <v>110.2</v>
      </c>
      <c r="AQ71" s="148">
        <v>110.15</v>
      </c>
      <c r="AR71" s="70" t="s">
        <v>461</v>
      </c>
      <c r="AS71" s="70" t="s">
        <v>435</v>
      </c>
      <c r="AT71" s="71"/>
      <c r="AU71" s="71"/>
      <c r="AV71" s="71"/>
      <c r="AW71" s="71"/>
      <c r="AX71" s="71"/>
      <c r="AY71" s="71"/>
      <c r="AZ71" s="71"/>
      <c r="BA71" s="71"/>
      <c r="BB71" s="70"/>
      <c r="BC71" s="75"/>
      <c r="BD71" s="70"/>
      <c r="BE71" s="70"/>
      <c r="BF71" s="70"/>
      <c r="BG71" s="70"/>
      <c r="BH71" s="70"/>
      <c r="BI71" s="70"/>
      <c r="BJ71" s="70"/>
      <c r="BK71" s="70"/>
      <c r="BL71" s="70"/>
      <c r="BM71" s="71"/>
      <c r="BN71" s="71"/>
      <c r="BO71" s="71"/>
      <c r="BP71" s="71"/>
      <c r="BQ71" s="71"/>
      <c r="BR71" s="71"/>
      <c r="BS71" s="71"/>
      <c r="BT71" s="71"/>
      <c r="BU71" s="71"/>
      <c r="BV71" s="71"/>
      <c r="BW71" s="71"/>
      <c r="BX71" s="71"/>
      <c r="BY71" s="71"/>
      <c r="BZ71" s="71"/>
      <c r="CA71" s="71"/>
      <c r="CB71" s="71"/>
    </row>
    <row r="72" spans="2:80" ht="40" customHeight="1" x14ac:dyDescent="0.35">
      <c r="B72" s="70">
        <v>69</v>
      </c>
      <c r="C72" s="71" t="s">
        <v>191</v>
      </c>
      <c r="D72" s="70" t="s">
        <v>76</v>
      </c>
      <c r="E72" s="70" t="s">
        <v>117</v>
      </c>
      <c r="F72" s="70" t="s">
        <v>118</v>
      </c>
      <c r="G72" s="70" t="s">
        <v>92</v>
      </c>
      <c r="H72" s="70" t="s">
        <v>430</v>
      </c>
      <c r="I72" s="70" t="s">
        <v>997</v>
      </c>
      <c r="J72" s="70" t="s">
        <v>440</v>
      </c>
      <c r="K72" s="70" t="s">
        <v>417</v>
      </c>
      <c r="L72" s="70"/>
      <c r="M72" s="70"/>
      <c r="N72" s="63"/>
      <c r="O72" s="63"/>
      <c r="P72" s="63"/>
      <c r="Q72" s="70"/>
      <c r="R72" s="96"/>
      <c r="S72" s="70"/>
      <c r="T72" s="63"/>
      <c r="U72" s="70"/>
      <c r="V72" s="96"/>
      <c r="W72" s="70"/>
      <c r="X72" s="63"/>
      <c r="Y72" s="63" t="str">
        <f>IF(AND(Table14[[#This Row],[Pre-Feasibility]]=0,Table14[[#This Row],[Pre-Feasibility 2]]=0, Table14[[#This Row],[Feasibility]]=0, Table14[[#This Row],[Feasibility 2]]=0), "No", "Yes")</f>
        <v>No</v>
      </c>
      <c r="Z72" s="63"/>
      <c r="AA72" s="63"/>
      <c r="AB72" s="70"/>
      <c r="AC72" s="70"/>
      <c r="AD72" s="70"/>
      <c r="AE72" s="70" t="s">
        <v>180</v>
      </c>
      <c r="AF72" s="70"/>
      <c r="AG72" s="70" t="s">
        <v>180</v>
      </c>
      <c r="AH72" s="70" t="s">
        <v>180</v>
      </c>
      <c r="AI72" s="70" t="s">
        <v>180</v>
      </c>
      <c r="AJ72" s="70" t="s">
        <v>180</v>
      </c>
      <c r="AK72" s="70">
        <v>500</v>
      </c>
      <c r="AL72" s="250" cm="1">
        <f t="array" ref="AL72">IFERROR(_xlfn.STDEV.P(IF(Table14[[#This Row],[Website Area (Acres)]:[PEZ Other Source (Acre)]]&lt;&gt;0, Table14[[#This Row],[Website Area (Acres)]:[PEZ Other Source (Acre)]], ""))/AVERAGE(IF(Table14[[#This Row],[Website Area (Acres)]:[PEZ Other Source (Acre)]]&lt;&gt;0, Table14[[#This Row],[Website Area (Acres)]:[PEZ Other Source (Acre)]], "")), "")</f>
        <v>0</v>
      </c>
      <c r="AM72" s="70" t="s">
        <v>418</v>
      </c>
      <c r="AN72" s="70" t="s">
        <v>998</v>
      </c>
      <c r="AO72" s="70" t="s">
        <v>999</v>
      </c>
      <c r="AP72" s="148">
        <v>500</v>
      </c>
      <c r="AQ72" s="148">
        <v>492</v>
      </c>
      <c r="AR72" s="70" t="s">
        <v>455</v>
      </c>
      <c r="AS72" s="70" t="s">
        <v>444</v>
      </c>
      <c r="AT72" s="71"/>
      <c r="AU72" s="71"/>
      <c r="AV72" s="71"/>
      <c r="AW72" s="71"/>
      <c r="AX72" s="71"/>
      <c r="AY72" s="71"/>
      <c r="AZ72" s="71"/>
      <c r="BA72" s="71"/>
      <c r="BB72" s="70"/>
      <c r="BC72" s="75"/>
      <c r="BD72" s="70" t="s">
        <v>1000</v>
      </c>
      <c r="BE72" s="70"/>
      <c r="BF72" s="70"/>
      <c r="BG72" s="70"/>
      <c r="BH72" s="70"/>
      <c r="BI72" s="70"/>
      <c r="BJ72" s="70"/>
      <c r="BK72" s="70"/>
      <c r="BL72" s="70"/>
      <c r="BM72" s="71"/>
      <c r="BN72" s="71"/>
      <c r="BO72" s="71"/>
      <c r="BP72" s="71"/>
      <c r="BQ72" s="71"/>
      <c r="BR72" s="71"/>
      <c r="BS72" s="71"/>
      <c r="BT72" s="71"/>
      <c r="BU72" s="71"/>
      <c r="BV72" s="71"/>
      <c r="BW72" s="71"/>
      <c r="BX72" s="71"/>
      <c r="BY72" s="71"/>
      <c r="BZ72" s="71"/>
      <c r="CA72" s="71"/>
      <c r="CB72" s="71"/>
    </row>
    <row r="73" spans="2:80" ht="40" customHeight="1" x14ac:dyDescent="0.35">
      <c r="B73" s="70">
        <v>70</v>
      </c>
      <c r="C73" s="71" t="s">
        <v>169</v>
      </c>
      <c r="D73" s="70" t="s">
        <v>76</v>
      </c>
      <c r="E73" s="70" t="s">
        <v>1001</v>
      </c>
      <c r="F73" s="70" t="s">
        <v>171</v>
      </c>
      <c r="G73" s="70" t="s">
        <v>92</v>
      </c>
      <c r="H73" s="70" t="s">
        <v>410</v>
      </c>
      <c r="I73" s="70" t="s">
        <v>1002</v>
      </c>
      <c r="J73" s="70" t="s">
        <v>440</v>
      </c>
      <c r="K73" s="70" t="s">
        <v>417</v>
      </c>
      <c r="L73" s="109" t="s">
        <v>643</v>
      </c>
      <c r="M73" s="70"/>
      <c r="N73" s="63"/>
      <c r="O73" s="63"/>
      <c r="P73" s="63"/>
      <c r="Q73" s="70"/>
      <c r="R73" s="96"/>
      <c r="S73" s="70"/>
      <c r="T73" s="63"/>
      <c r="U73" s="70"/>
      <c r="V73" s="96"/>
      <c r="W73" s="70"/>
      <c r="X73" s="63"/>
      <c r="Y73" s="63" t="str">
        <f>IF(AND(Table14[[#This Row],[Pre-Feasibility]]=0,Table14[[#This Row],[Pre-Feasibility 2]]=0, Table14[[#This Row],[Feasibility]]=0, Table14[[#This Row],[Feasibility 2]]=0), "No", "Yes")</f>
        <v>No</v>
      </c>
      <c r="Z73" s="63"/>
      <c r="AA73" s="63"/>
      <c r="AB73" s="70"/>
      <c r="AC73" s="70"/>
      <c r="AD73" s="70"/>
      <c r="AE73" s="70" t="s">
        <v>180</v>
      </c>
      <c r="AF73" s="70"/>
      <c r="AG73" s="70" t="s">
        <v>180</v>
      </c>
      <c r="AH73" s="70" t="s">
        <v>180</v>
      </c>
      <c r="AI73" s="70" t="s">
        <v>180</v>
      </c>
      <c r="AJ73" s="70" t="s">
        <v>180</v>
      </c>
      <c r="AK73" s="70">
        <v>200</v>
      </c>
      <c r="AL73" s="250" cm="1">
        <f t="array" ref="AL73">IFERROR(_xlfn.STDEV.P(IF(Table14[[#This Row],[Website Area (Acres)]:[PEZ Other Source (Acre)]]&lt;&gt;0, Table14[[#This Row],[Website Area (Acres)]:[PEZ Other Source (Acre)]], ""))/AVERAGE(IF(Table14[[#This Row],[Website Area (Acres)]:[PEZ Other Source (Acre)]]&lt;&gt;0, Table14[[#This Row],[Website Area (Acres)]:[PEZ Other Source (Acre)]], "")), "")</f>
        <v>0</v>
      </c>
      <c r="AM73" s="70" t="s">
        <v>418</v>
      </c>
      <c r="AN73" s="70"/>
      <c r="AO73" s="70"/>
      <c r="AP73" s="148">
        <v>200</v>
      </c>
      <c r="AQ73" s="148">
        <v>200</v>
      </c>
      <c r="AR73" s="70" t="s">
        <v>462</v>
      </c>
      <c r="AS73" s="70" t="s">
        <v>435</v>
      </c>
      <c r="AT73" s="71"/>
      <c r="AU73" s="71"/>
      <c r="AV73" s="71"/>
      <c r="AW73" s="71"/>
      <c r="AX73" s="71"/>
      <c r="AY73" s="71"/>
      <c r="AZ73" s="71"/>
      <c r="BA73" s="71"/>
      <c r="BB73" s="70"/>
      <c r="BC73" s="75"/>
      <c r="BD73" s="70" t="s">
        <v>1003</v>
      </c>
      <c r="BE73" s="70" t="s">
        <v>839</v>
      </c>
      <c r="BF73" s="70" t="s">
        <v>1004</v>
      </c>
      <c r="BG73" s="70" t="s">
        <v>848</v>
      </c>
      <c r="BH73" s="70" t="s">
        <v>1005</v>
      </c>
      <c r="BI73" s="70" t="s">
        <v>1006</v>
      </c>
      <c r="BJ73" s="70"/>
      <c r="BK73" s="70"/>
      <c r="BL73" s="70"/>
      <c r="BM73" s="71"/>
      <c r="BN73" s="71"/>
      <c r="BO73" s="71"/>
      <c r="BP73" s="71"/>
      <c r="BQ73" s="71"/>
      <c r="BR73" s="71"/>
      <c r="BS73" s="71"/>
      <c r="BT73" s="71"/>
      <c r="BU73" s="71"/>
      <c r="BV73" s="71"/>
      <c r="BW73" s="71"/>
      <c r="BX73" s="71"/>
      <c r="BY73" s="71"/>
      <c r="BZ73" s="71"/>
      <c r="CA73" s="71"/>
      <c r="CB73" s="71"/>
    </row>
    <row r="74" spans="2:80" ht="40" customHeight="1" x14ac:dyDescent="0.35">
      <c r="B74" s="70">
        <v>71</v>
      </c>
      <c r="C74" s="71" t="s">
        <v>52</v>
      </c>
      <c r="D74" s="70" t="s">
        <v>76</v>
      </c>
      <c r="E74" s="70" t="s">
        <v>117</v>
      </c>
      <c r="F74" s="70" t="s">
        <v>118</v>
      </c>
      <c r="G74" s="70" t="s">
        <v>92</v>
      </c>
      <c r="H74" s="70" t="s">
        <v>410</v>
      </c>
      <c r="I74" s="70" t="s">
        <v>1007</v>
      </c>
      <c r="J74" s="70" t="s">
        <v>440</v>
      </c>
      <c r="K74" s="70" t="s">
        <v>417</v>
      </c>
      <c r="L74" s="109" t="s">
        <v>643</v>
      </c>
      <c r="M74" s="70"/>
      <c r="N74" s="63"/>
      <c r="O74" s="63"/>
      <c r="P74" s="63"/>
      <c r="Q74" s="70"/>
      <c r="R74" s="96"/>
      <c r="S74" s="70"/>
      <c r="T74" s="63"/>
      <c r="U74" s="70"/>
      <c r="V74" s="96"/>
      <c r="W74" s="70"/>
      <c r="X74" s="63"/>
      <c r="Y74" s="63" t="str">
        <f>IF(AND(Table14[[#This Row],[Pre-Feasibility]]=0,Table14[[#This Row],[Pre-Feasibility 2]]=0, Table14[[#This Row],[Feasibility]]=0, Table14[[#This Row],[Feasibility 2]]=0), "No", "Yes")</f>
        <v>No</v>
      </c>
      <c r="Z74" s="63" t="s">
        <v>417</v>
      </c>
      <c r="AA74" s="63" t="s">
        <v>417</v>
      </c>
      <c r="AB74" s="70"/>
      <c r="AC74" s="70"/>
      <c r="AD74" s="70"/>
      <c r="AE74" s="70" t="s">
        <v>180</v>
      </c>
      <c r="AF74" s="70"/>
      <c r="AG74" s="70" t="s">
        <v>180</v>
      </c>
      <c r="AH74" s="70" t="s">
        <v>180</v>
      </c>
      <c r="AI74" s="70">
        <v>189.94</v>
      </c>
      <c r="AJ74" s="70">
        <v>216</v>
      </c>
      <c r="AK74" s="70">
        <v>500</v>
      </c>
      <c r="AL74" s="250" cm="1">
        <f t="array" ref="AL74">IFERROR(_xlfn.STDEV.P(IF(Table14[[#This Row],[Website Area (Acres)]:[PEZ Other Source (Acre)]]&lt;&gt;0, Table14[[#This Row],[Website Area (Acres)]:[PEZ Other Source (Acre)]], ""))/AVERAGE(IF(Table14[[#This Row],[Website Area (Acres)]:[PEZ Other Source (Acre)]]&lt;&gt;0, Table14[[#This Row],[Website Area (Acres)]:[PEZ Other Source (Acre)]], "")), "")</f>
        <v>0.46501384838645105</v>
      </c>
      <c r="AM74" s="70" t="s">
        <v>417</v>
      </c>
      <c r="AN74" s="70"/>
      <c r="AO74" s="70" t="s">
        <v>1008</v>
      </c>
      <c r="AP74" s="148">
        <v>197.01</v>
      </c>
      <c r="AQ74" s="148">
        <v>197.01</v>
      </c>
      <c r="AR74" s="70" t="s">
        <v>411</v>
      </c>
      <c r="AS74" s="70" t="s">
        <v>412</v>
      </c>
      <c r="AT74" s="71"/>
      <c r="AU74" s="71"/>
      <c r="AV74" s="71"/>
      <c r="AW74" s="71"/>
      <c r="AX74" s="71"/>
      <c r="AY74" s="71"/>
      <c r="AZ74" s="71"/>
      <c r="BA74" s="71"/>
      <c r="BB74" s="70"/>
      <c r="BC74" s="75"/>
      <c r="BD74" s="70" t="s">
        <v>1009</v>
      </c>
      <c r="BE74" s="70" t="s">
        <v>848</v>
      </c>
      <c r="BF74" s="70" t="s">
        <v>1004</v>
      </c>
      <c r="BG74" s="70"/>
      <c r="BH74" s="70"/>
      <c r="BI74" s="70"/>
      <c r="BJ74" s="70"/>
      <c r="BK74" s="70"/>
      <c r="BL74" s="70"/>
      <c r="BM74" s="71"/>
      <c r="BN74" s="71"/>
      <c r="BO74" s="71"/>
      <c r="BP74" s="71"/>
      <c r="BQ74" s="71"/>
      <c r="BR74" s="71"/>
      <c r="BS74" s="71"/>
      <c r="BT74" s="71"/>
      <c r="BU74" s="71"/>
      <c r="BV74" s="71"/>
      <c r="BW74" s="71"/>
      <c r="BX74" s="71"/>
      <c r="BY74" s="71"/>
      <c r="BZ74" s="71"/>
      <c r="CA74" s="71"/>
      <c r="CB74" s="71"/>
    </row>
    <row r="75" spans="2:80" ht="40" customHeight="1" x14ac:dyDescent="0.35">
      <c r="B75" s="70">
        <v>72</v>
      </c>
      <c r="C75" s="71" t="s">
        <v>192</v>
      </c>
      <c r="D75" s="70" t="s">
        <v>76</v>
      </c>
      <c r="E75" s="70" t="s">
        <v>117</v>
      </c>
      <c r="F75" s="70" t="s">
        <v>118</v>
      </c>
      <c r="G75" s="70" t="s">
        <v>92</v>
      </c>
      <c r="H75" s="70" t="s">
        <v>430</v>
      </c>
      <c r="I75" s="70" t="s">
        <v>997</v>
      </c>
      <c r="J75" s="70" t="s">
        <v>440</v>
      </c>
      <c r="K75" s="70" t="s">
        <v>417</v>
      </c>
      <c r="L75" s="70"/>
      <c r="M75" s="70"/>
      <c r="N75" s="63"/>
      <c r="O75" s="63"/>
      <c r="P75" s="63"/>
      <c r="Q75" s="70"/>
      <c r="R75" s="96"/>
      <c r="S75" s="70"/>
      <c r="T75" s="63"/>
      <c r="U75" s="70"/>
      <c r="V75" s="96"/>
      <c r="W75" s="70"/>
      <c r="X75" s="63"/>
      <c r="Y75" s="63" t="str">
        <f>IF(AND(Table14[[#This Row],[Pre-Feasibility]]=0,Table14[[#This Row],[Pre-Feasibility 2]]=0, Table14[[#This Row],[Feasibility]]=0, Table14[[#This Row],[Feasibility 2]]=0), "No", "Yes")</f>
        <v>No</v>
      </c>
      <c r="Z75" s="63"/>
      <c r="AA75" s="63"/>
      <c r="AB75" s="70"/>
      <c r="AC75" s="70"/>
      <c r="AD75" s="70"/>
      <c r="AE75" s="70" t="s">
        <v>180</v>
      </c>
      <c r="AF75" s="70"/>
      <c r="AG75" s="70" t="s">
        <v>180</v>
      </c>
      <c r="AH75" s="70" t="s">
        <v>180</v>
      </c>
      <c r="AI75" s="70" t="s">
        <v>180</v>
      </c>
      <c r="AJ75" s="70" t="s">
        <v>180</v>
      </c>
      <c r="AK75" s="70" t="s">
        <v>180</v>
      </c>
      <c r="AL75" s="250" t="str" cm="1">
        <f t="array" ref="AL75">IFERROR(_xlfn.STDEV.P(IF(Table14[[#This Row],[Website Area (Acres)]:[PEZ Other Source (Acre)]]&lt;&gt;0, Table14[[#This Row],[Website Area (Acres)]:[PEZ Other Source (Acre)]], ""))/AVERAGE(IF(Table14[[#This Row],[Website Area (Acres)]:[PEZ Other Source (Acre)]]&lt;&gt;0, Table14[[#This Row],[Website Area (Acres)]:[PEZ Other Source (Acre)]], "")), "")</f>
        <v/>
      </c>
      <c r="AM75" s="70" t="s">
        <v>837</v>
      </c>
      <c r="AN75" s="70" t="s">
        <v>837</v>
      </c>
      <c r="AO75" s="70" t="s">
        <v>1010</v>
      </c>
      <c r="AP75" s="148">
        <v>170.49</v>
      </c>
      <c r="AQ75" s="148">
        <v>170.49</v>
      </c>
      <c r="AR75" s="70" t="s">
        <v>455</v>
      </c>
      <c r="AS75" s="70" t="s">
        <v>444</v>
      </c>
      <c r="AT75" s="71"/>
      <c r="AU75" s="71"/>
      <c r="AV75" s="71"/>
      <c r="AW75" s="71"/>
      <c r="AX75" s="71"/>
      <c r="AY75" s="71"/>
      <c r="AZ75" s="71"/>
      <c r="BA75" s="71"/>
      <c r="BB75" s="70"/>
      <c r="BC75" s="75"/>
      <c r="BD75" s="70"/>
      <c r="BE75" s="70"/>
      <c r="BF75" s="70"/>
      <c r="BG75" s="70"/>
      <c r="BH75" s="70"/>
      <c r="BI75" s="70"/>
      <c r="BJ75" s="70"/>
      <c r="BK75" s="70"/>
      <c r="BL75" s="70"/>
      <c r="BM75" s="71"/>
      <c r="BN75" s="71"/>
      <c r="BO75" s="71"/>
      <c r="BP75" s="71"/>
      <c r="BQ75" s="71"/>
      <c r="BR75" s="71"/>
      <c r="BS75" s="71"/>
      <c r="BT75" s="71"/>
      <c r="BU75" s="71"/>
      <c r="BV75" s="71"/>
      <c r="BW75" s="71"/>
      <c r="BX75" s="71"/>
      <c r="BY75" s="71"/>
      <c r="BZ75" s="71"/>
      <c r="CA75" s="71"/>
      <c r="CB75" s="71"/>
    </row>
    <row r="76" spans="2:80" ht="40" customHeight="1" x14ac:dyDescent="0.35">
      <c r="B76" s="70">
        <v>73</v>
      </c>
      <c r="C76" s="71" t="s">
        <v>161</v>
      </c>
      <c r="D76" s="70" t="s">
        <v>104</v>
      </c>
      <c r="E76" s="70" t="s">
        <v>104</v>
      </c>
      <c r="F76" s="70" t="s">
        <v>110</v>
      </c>
      <c r="G76" s="70" t="s">
        <v>92</v>
      </c>
      <c r="H76" s="70" t="s">
        <v>410</v>
      </c>
      <c r="I76" s="70" t="s">
        <v>1002</v>
      </c>
      <c r="J76" s="70" t="s">
        <v>440</v>
      </c>
      <c r="K76" s="70" t="s">
        <v>417</v>
      </c>
      <c r="L76" s="70"/>
      <c r="M76" s="70"/>
      <c r="N76" s="63"/>
      <c r="O76" s="63"/>
      <c r="P76" s="63"/>
      <c r="Q76" s="70"/>
      <c r="R76" s="96"/>
      <c r="S76" s="70"/>
      <c r="T76" s="63"/>
      <c r="U76" s="70"/>
      <c r="V76" s="96"/>
      <c r="W76" s="70"/>
      <c r="X76" s="63"/>
      <c r="Y76" s="63" t="str">
        <f>IF(AND(Table14[[#This Row],[Pre-Feasibility]]=0,Table14[[#This Row],[Pre-Feasibility 2]]=0, Table14[[#This Row],[Feasibility]]=0, Table14[[#This Row],[Feasibility 2]]=0), "No", "Yes")</f>
        <v>No</v>
      </c>
      <c r="Z76" s="63"/>
      <c r="AA76" s="63"/>
      <c r="AB76" s="70"/>
      <c r="AC76" s="70"/>
      <c r="AD76" s="70"/>
      <c r="AE76" s="70" t="s">
        <v>180</v>
      </c>
      <c r="AF76" s="70"/>
      <c r="AG76" s="70" t="s">
        <v>180</v>
      </c>
      <c r="AH76" s="70" t="s">
        <v>180</v>
      </c>
      <c r="AI76" s="70" t="s">
        <v>180</v>
      </c>
      <c r="AJ76" s="70" t="s">
        <v>180</v>
      </c>
      <c r="AK76" s="70">
        <v>110</v>
      </c>
      <c r="AL76" s="250" cm="1">
        <f t="array" ref="AL76">IFERROR(_xlfn.STDEV.P(IF(Table14[[#This Row],[Website Area (Acres)]:[PEZ Other Source (Acre)]]&lt;&gt;0, Table14[[#This Row],[Website Area (Acres)]:[PEZ Other Source (Acre)]], ""))/AVERAGE(IF(Table14[[#This Row],[Website Area (Acres)]:[PEZ Other Source (Acre)]]&lt;&gt;0, Table14[[#This Row],[Website Area (Acres)]:[PEZ Other Source (Acre)]], "")), "")</f>
        <v>0</v>
      </c>
      <c r="AM76" s="70" t="s">
        <v>418</v>
      </c>
      <c r="AN76" s="70"/>
      <c r="AO76" s="70"/>
      <c r="AP76" s="148">
        <v>110</v>
      </c>
      <c r="AQ76" s="148">
        <v>100</v>
      </c>
      <c r="AR76" s="70" t="s">
        <v>455</v>
      </c>
      <c r="AS76" s="70" t="s">
        <v>444</v>
      </c>
      <c r="AT76" s="71"/>
      <c r="AU76" s="71"/>
      <c r="AV76" s="71"/>
      <c r="AW76" s="71"/>
      <c r="AX76" s="71"/>
      <c r="AY76" s="71"/>
      <c r="AZ76" s="71"/>
      <c r="BA76" s="71"/>
      <c r="BB76" s="70"/>
      <c r="BC76" s="75"/>
      <c r="BD76" s="70" t="s">
        <v>848</v>
      </c>
      <c r="BE76" s="70"/>
      <c r="BF76" s="70"/>
      <c r="BG76" s="70"/>
      <c r="BH76" s="70"/>
      <c r="BI76" s="70"/>
      <c r="BJ76" s="70"/>
      <c r="BK76" s="70"/>
      <c r="BL76" s="70"/>
      <c r="BM76" s="71"/>
      <c r="BN76" s="71"/>
      <c r="BO76" s="71"/>
      <c r="BP76" s="71"/>
      <c r="BQ76" s="71"/>
      <c r="BR76" s="71"/>
      <c r="BS76" s="71"/>
      <c r="BT76" s="71"/>
      <c r="BU76" s="71"/>
      <c r="BV76" s="71"/>
      <c r="BW76" s="71"/>
      <c r="BX76" s="71"/>
      <c r="BY76" s="71"/>
      <c r="BZ76" s="71"/>
      <c r="CA76" s="71"/>
      <c r="CB76" s="71"/>
    </row>
    <row r="77" spans="2:80" ht="40" customHeight="1" x14ac:dyDescent="0.35">
      <c r="B77" s="70">
        <v>74</v>
      </c>
      <c r="C77" s="71" t="s">
        <v>193</v>
      </c>
      <c r="D77" s="70" t="s">
        <v>68</v>
      </c>
      <c r="E77" s="70" t="s">
        <v>100</v>
      </c>
      <c r="F77" s="70" t="s">
        <v>194</v>
      </c>
      <c r="G77" s="70" t="s">
        <v>92</v>
      </c>
      <c r="H77" s="70" t="s">
        <v>430</v>
      </c>
      <c r="I77" s="70" t="s">
        <v>997</v>
      </c>
      <c r="J77" s="70" t="s">
        <v>440</v>
      </c>
      <c r="K77" s="70" t="s">
        <v>417</v>
      </c>
      <c r="L77" s="70"/>
      <c r="M77" s="70"/>
      <c r="N77" s="63"/>
      <c r="O77" s="63"/>
      <c r="P77" s="63"/>
      <c r="Q77" s="70"/>
      <c r="R77" s="96"/>
      <c r="S77" s="70"/>
      <c r="T77" s="63"/>
      <c r="U77" s="70"/>
      <c r="V77" s="96"/>
      <c r="W77" s="70"/>
      <c r="X77" s="63"/>
      <c r="Y77" s="63" t="str">
        <f>IF(AND(Table14[[#This Row],[Pre-Feasibility]]=0,Table14[[#This Row],[Pre-Feasibility 2]]=0, Table14[[#This Row],[Feasibility]]=0, Table14[[#This Row],[Feasibility 2]]=0), "No", "Yes")</f>
        <v>No</v>
      </c>
      <c r="Z77" s="63"/>
      <c r="AA77" s="63"/>
      <c r="AB77" s="70"/>
      <c r="AC77" s="70"/>
      <c r="AD77" s="70"/>
      <c r="AE77" s="70" t="s">
        <v>180</v>
      </c>
      <c r="AF77" s="70"/>
      <c r="AG77" s="70" t="s">
        <v>180</v>
      </c>
      <c r="AH77" s="70" t="s">
        <v>180</v>
      </c>
      <c r="AI77" s="70" t="s">
        <v>180</v>
      </c>
      <c r="AJ77" s="70" t="s">
        <v>180</v>
      </c>
      <c r="AK77" s="70" t="s">
        <v>180</v>
      </c>
      <c r="AL77" s="250" t="str" cm="1">
        <f t="array" ref="AL77">IFERROR(_xlfn.STDEV.P(IF(Table14[[#This Row],[Website Area (Acres)]:[PEZ Other Source (Acre)]]&lt;&gt;0, Table14[[#This Row],[Website Area (Acres)]:[PEZ Other Source (Acre)]], ""))/AVERAGE(IF(Table14[[#This Row],[Website Area (Acres)]:[PEZ Other Source (Acre)]]&lt;&gt;0, Table14[[#This Row],[Website Area (Acres)]:[PEZ Other Source (Acre)]], "")), "")</f>
        <v/>
      </c>
      <c r="AM77" s="70" t="s">
        <v>837</v>
      </c>
      <c r="AN77" s="70" t="s">
        <v>837</v>
      </c>
      <c r="AO77" s="70" t="s">
        <v>1011</v>
      </c>
      <c r="AP77" s="148">
        <v>100</v>
      </c>
      <c r="AQ77" s="148">
        <v>100</v>
      </c>
      <c r="AR77" s="70" t="s">
        <v>455</v>
      </c>
      <c r="AS77" s="70" t="s">
        <v>444</v>
      </c>
      <c r="AT77" s="71"/>
      <c r="AU77" s="71"/>
      <c r="AV77" s="71"/>
      <c r="AW77" s="71"/>
      <c r="AX77" s="71"/>
      <c r="AY77" s="71"/>
      <c r="AZ77" s="71"/>
      <c r="BA77" s="71"/>
      <c r="BB77" s="70"/>
      <c r="BC77" s="75"/>
      <c r="BD77" s="70"/>
      <c r="BE77" s="70"/>
      <c r="BF77" s="70"/>
      <c r="BG77" s="70"/>
      <c r="BH77" s="70"/>
      <c r="BI77" s="70"/>
      <c r="BJ77" s="70"/>
      <c r="BK77" s="70"/>
      <c r="BL77" s="70"/>
      <c r="BM77" s="71"/>
      <c r="BN77" s="71"/>
      <c r="BO77" s="71"/>
      <c r="BP77" s="71"/>
      <c r="BQ77" s="71"/>
      <c r="BR77" s="71"/>
      <c r="BS77" s="71"/>
      <c r="BT77" s="71"/>
      <c r="BU77" s="71"/>
      <c r="BV77" s="71"/>
      <c r="BW77" s="71"/>
      <c r="BX77" s="71"/>
      <c r="BY77" s="71"/>
      <c r="BZ77" s="71"/>
      <c r="CA77" s="71"/>
      <c r="CB77" s="71"/>
    </row>
    <row r="78" spans="2:80" ht="40" customHeight="1" x14ac:dyDescent="0.35">
      <c r="B78" s="70">
        <v>75</v>
      </c>
      <c r="C78" s="71" t="s">
        <v>33</v>
      </c>
      <c r="D78" s="70" t="s">
        <v>76</v>
      </c>
      <c r="E78" s="70" t="s">
        <v>77</v>
      </c>
      <c r="F78" s="70" t="s">
        <v>93</v>
      </c>
      <c r="G78" s="70" t="s">
        <v>92</v>
      </c>
      <c r="H78" s="70" t="s">
        <v>410</v>
      </c>
      <c r="I78" s="70" t="s">
        <v>1007</v>
      </c>
      <c r="J78" s="70" t="s">
        <v>440</v>
      </c>
      <c r="K78" s="70" t="s">
        <v>417</v>
      </c>
      <c r="L78" s="109" t="s">
        <v>643</v>
      </c>
      <c r="M78" s="70"/>
      <c r="N78" s="63"/>
      <c r="O78" s="63"/>
      <c r="P78" s="63"/>
      <c r="Q78" s="70"/>
      <c r="R78" s="96"/>
      <c r="S78" s="70"/>
      <c r="T78" s="63"/>
      <c r="U78" s="70"/>
      <c r="V78" s="96"/>
      <c r="W78" s="70"/>
      <c r="X78" s="63"/>
      <c r="Y78" s="63" t="str">
        <f>IF(AND(Table14[[#This Row],[Pre-Feasibility]]=0,Table14[[#This Row],[Pre-Feasibility 2]]=0, Table14[[#This Row],[Feasibility]]=0, Table14[[#This Row],[Feasibility 2]]=0), "No", "Yes")</f>
        <v>No</v>
      </c>
      <c r="Z78" s="63" t="s">
        <v>417</v>
      </c>
      <c r="AA78" s="63" t="s">
        <v>417</v>
      </c>
      <c r="AB78" s="70"/>
      <c r="AC78" s="70"/>
      <c r="AD78" s="70"/>
      <c r="AE78" s="70" t="s">
        <v>180</v>
      </c>
      <c r="AF78" s="70"/>
      <c r="AG78" s="70" t="s">
        <v>180</v>
      </c>
      <c r="AH78" s="70" t="s">
        <v>180</v>
      </c>
      <c r="AI78" s="70">
        <v>83.139399999999995</v>
      </c>
      <c r="AJ78" s="70">
        <v>150</v>
      </c>
      <c r="AK78" s="70">
        <v>150</v>
      </c>
      <c r="AL78" s="250" cm="1">
        <f t="array" ref="AL78">IFERROR(_xlfn.STDEV.P(IF(Table14[[#This Row],[Website Area (Acres)]:[PEZ Other Source (Acre)]]&lt;&gt;0, Table14[[#This Row],[Website Area (Acres)]:[PEZ Other Source (Acre)]], ""))/AVERAGE(IF(Table14[[#This Row],[Website Area (Acres)]:[PEZ Other Source (Acre)]]&lt;&gt;0, Table14[[#This Row],[Website Area (Acres)]:[PEZ Other Source (Acre)]], "")), "")</f>
        <v>0.2467905083852053</v>
      </c>
      <c r="AM78" s="70" t="s">
        <v>417</v>
      </c>
      <c r="AN78" s="70"/>
      <c r="AO78" s="70" t="s">
        <v>1012</v>
      </c>
      <c r="AP78" s="148">
        <v>150</v>
      </c>
      <c r="AQ78" s="148">
        <v>150</v>
      </c>
      <c r="AR78" s="70" t="s">
        <v>411</v>
      </c>
      <c r="AS78" s="70" t="s">
        <v>412</v>
      </c>
      <c r="AT78" s="71"/>
      <c r="AU78" s="71"/>
      <c r="AV78" s="71"/>
      <c r="AW78" s="71"/>
      <c r="AX78" s="71"/>
      <c r="AY78" s="71"/>
      <c r="AZ78" s="71"/>
      <c r="BA78" s="71"/>
      <c r="BB78" s="70"/>
      <c r="BC78" s="75"/>
      <c r="BD78" s="70" t="s">
        <v>1013</v>
      </c>
      <c r="BE78" s="70" t="s">
        <v>1014</v>
      </c>
      <c r="BF78" s="70" t="s">
        <v>1004</v>
      </c>
      <c r="BG78" s="70" t="s">
        <v>1015</v>
      </c>
      <c r="BH78" s="70" t="s">
        <v>1016</v>
      </c>
      <c r="BI78" s="70" t="s">
        <v>1017</v>
      </c>
      <c r="BJ78" s="70" t="s">
        <v>852</v>
      </c>
      <c r="BK78" s="70" t="s">
        <v>1018</v>
      </c>
      <c r="BL78" s="70" t="s">
        <v>1006</v>
      </c>
      <c r="BM78" s="71"/>
      <c r="BN78" s="71"/>
      <c r="BO78" s="71"/>
      <c r="BP78" s="71"/>
      <c r="BQ78" s="71"/>
      <c r="BR78" s="71"/>
      <c r="BS78" s="71"/>
      <c r="BT78" s="71"/>
      <c r="BU78" s="71"/>
      <c r="BV78" s="71"/>
      <c r="BW78" s="71"/>
      <c r="BX78" s="71"/>
      <c r="BY78" s="71"/>
      <c r="BZ78" s="71"/>
      <c r="CA78" s="71"/>
      <c r="CB78" s="71"/>
    </row>
    <row r="79" spans="2:80" ht="40" customHeight="1" x14ac:dyDescent="0.35">
      <c r="B79" s="70">
        <v>76</v>
      </c>
      <c r="C79" s="71" t="s">
        <v>159</v>
      </c>
      <c r="D79" s="70" t="s">
        <v>76</v>
      </c>
      <c r="E79" s="70" t="s">
        <v>117</v>
      </c>
      <c r="F79" s="70" t="s">
        <v>118</v>
      </c>
      <c r="G79" s="70" t="s">
        <v>92</v>
      </c>
      <c r="H79" s="70" t="s">
        <v>430</v>
      </c>
      <c r="I79" s="70" t="s">
        <v>997</v>
      </c>
      <c r="J79" s="70" t="s">
        <v>440</v>
      </c>
      <c r="K79" s="70" t="s">
        <v>417</v>
      </c>
      <c r="L79" s="70"/>
      <c r="M79" s="70"/>
      <c r="N79" s="63"/>
      <c r="O79" s="63"/>
      <c r="P79" s="63"/>
      <c r="Q79" s="70"/>
      <c r="R79" s="96"/>
      <c r="S79" s="70"/>
      <c r="T79" s="63"/>
      <c r="U79" s="70"/>
      <c r="V79" s="96"/>
      <c r="W79" s="70"/>
      <c r="X79" s="63"/>
      <c r="Y79" s="63" t="str">
        <f>IF(AND(Table14[[#This Row],[Pre-Feasibility]]=0,Table14[[#This Row],[Pre-Feasibility 2]]=0, Table14[[#This Row],[Feasibility]]=0, Table14[[#This Row],[Feasibility 2]]=0), "No", "Yes")</f>
        <v>No</v>
      </c>
      <c r="Z79" s="63"/>
      <c r="AA79" s="63"/>
      <c r="AB79" s="70"/>
      <c r="AC79" s="70"/>
      <c r="AD79" s="70"/>
      <c r="AE79" s="70" t="s">
        <v>180</v>
      </c>
      <c r="AF79" s="70"/>
      <c r="AG79" s="70" t="s">
        <v>180</v>
      </c>
      <c r="AH79" s="70" t="s">
        <v>180</v>
      </c>
      <c r="AI79" s="70" t="s">
        <v>180</v>
      </c>
      <c r="AJ79" s="70" t="s">
        <v>180</v>
      </c>
      <c r="AK79" s="70" t="s">
        <v>180</v>
      </c>
      <c r="AL79" s="250" t="str" cm="1">
        <f t="array" ref="AL79">IFERROR(_xlfn.STDEV.P(IF(Table14[[#This Row],[Website Area (Acres)]:[PEZ Other Source (Acre)]]&lt;&gt;0, Table14[[#This Row],[Website Area (Acres)]:[PEZ Other Source (Acre)]], ""))/AVERAGE(IF(Table14[[#This Row],[Website Area (Acres)]:[PEZ Other Source (Acre)]]&lt;&gt;0, Table14[[#This Row],[Website Area (Acres)]:[PEZ Other Source (Acre)]], "")), "")</f>
        <v/>
      </c>
      <c r="AM79" s="70" t="s">
        <v>837</v>
      </c>
      <c r="AN79" s="70" t="s">
        <v>837</v>
      </c>
      <c r="AO79" s="70" t="s">
        <v>1019</v>
      </c>
      <c r="AP79" s="148">
        <v>110</v>
      </c>
      <c r="AQ79" s="148">
        <v>110</v>
      </c>
      <c r="AR79" s="70" t="s">
        <v>462</v>
      </c>
      <c r="AS79" s="70" t="s">
        <v>435</v>
      </c>
      <c r="AT79" s="71"/>
      <c r="AU79" s="71"/>
      <c r="AV79" s="71"/>
      <c r="AW79" s="71"/>
      <c r="AX79" s="71"/>
      <c r="AY79" s="71"/>
      <c r="AZ79" s="71"/>
      <c r="BA79" s="71"/>
      <c r="BB79" s="70"/>
      <c r="BC79" s="75"/>
      <c r="BD79" s="70"/>
      <c r="BE79" s="70"/>
      <c r="BF79" s="70"/>
      <c r="BG79" s="70"/>
      <c r="BH79" s="70"/>
      <c r="BI79" s="70"/>
      <c r="BJ79" s="70"/>
      <c r="BK79" s="70"/>
      <c r="BL79" s="70"/>
      <c r="BM79" s="71"/>
      <c r="BN79" s="71"/>
      <c r="BO79" s="71"/>
      <c r="BP79" s="71"/>
      <c r="BQ79" s="71"/>
      <c r="BR79" s="71"/>
      <c r="BS79" s="71"/>
      <c r="BT79" s="71"/>
      <c r="BU79" s="71"/>
      <c r="BV79" s="71"/>
      <c r="BW79" s="71"/>
      <c r="BX79" s="71"/>
      <c r="BY79" s="71"/>
      <c r="BZ79" s="71"/>
      <c r="CA79" s="71"/>
      <c r="CB79" s="71"/>
    </row>
    <row r="80" spans="2:80" ht="40" customHeight="1" x14ac:dyDescent="0.35">
      <c r="B80" s="70">
        <v>77</v>
      </c>
      <c r="C80" s="71" t="s">
        <v>143</v>
      </c>
      <c r="D80" s="70" t="s">
        <v>76</v>
      </c>
      <c r="E80" s="70" t="s">
        <v>76</v>
      </c>
      <c r="F80" s="70" t="s">
        <v>144</v>
      </c>
      <c r="G80" s="70" t="s">
        <v>92</v>
      </c>
      <c r="H80" s="70" t="s">
        <v>410</v>
      </c>
      <c r="I80" s="70" t="s">
        <v>1002</v>
      </c>
      <c r="J80" s="70" t="s">
        <v>440</v>
      </c>
      <c r="K80" s="70" t="s">
        <v>417</v>
      </c>
      <c r="L80" s="70"/>
      <c r="M80" s="70"/>
      <c r="N80" s="63"/>
      <c r="O80" s="63"/>
      <c r="P80" s="63"/>
      <c r="Q80" s="70"/>
      <c r="R80" s="96"/>
      <c r="S80" s="70"/>
      <c r="T80" s="63"/>
      <c r="U80" s="70"/>
      <c r="V80" s="96"/>
      <c r="W80" s="70"/>
      <c r="X80" s="63"/>
      <c r="Y80" s="63" t="str">
        <f>IF(AND(Table14[[#This Row],[Pre-Feasibility]]=0,Table14[[#This Row],[Pre-Feasibility 2]]=0, Table14[[#This Row],[Feasibility]]=0, Table14[[#This Row],[Feasibility 2]]=0), "No", "Yes")</f>
        <v>No</v>
      </c>
      <c r="Z80" s="63"/>
      <c r="AA80" s="63"/>
      <c r="AB80" s="70"/>
      <c r="AC80" s="70"/>
      <c r="AD80" s="70"/>
      <c r="AE80" s="70" t="s">
        <v>180</v>
      </c>
      <c r="AF80" s="70"/>
      <c r="AG80" s="70" t="s">
        <v>180</v>
      </c>
      <c r="AH80" s="70" t="s">
        <v>180</v>
      </c>
      <c r="AI80" s="70" t="s">
        <v>180</v>
      </c>
      <c r="AJ80" s="70" t="s">
        <v>180</v>
      </c>
      <c r="AK80" s="70">
        <v>50.8</v>
      </c>
      <c r="AL80" s="250" cm="1">
        <f t="array" ref="AL80">IFERROR(_xlfn.STDEV.P(IF(Table14[[#This Row],[Website Area (Acres)]:[PEZ Other Source (Acre)]]&lt;&gt;0, Table14[[#This Row],[Website Area (Acres)]:[PEZ Other Source (Acre)]], ""))/AVERAGE(IF(Table14[[#This Row],[Website Area (Acres)]:[PEZ Other Source (Acre)]]&lt;&gt;0, Table14[[#This Row],[Website Area (Acres)]:[PEZ Other Source (Acre)]], "")), "")</f>
        <v>0</v>
      </c>
      <c r="AM80" s="70" t="s">
        <v>418</v>
      </c>
      <c r="AN80" s="70"/>
      <c r="AO80" s="70"/>
      <c r="AP80" s="148">
        <v>50.8</v>
      </c>
      <c r="AQ80" s="148">
        <v>84.95</v>
      </c>
      <c r="AR80" s="70" t="s">
        <v>462</v>
      </c>
      <c r="AS80" s="70" t="s">
        <v>435</v>
      </c>
      <c r="AT80" s="71"/>
      <c r="AU80" s="71"/>
      <c r="AV80" s="71"/>
      <c r="AW80" s="71"/>
      <c r="AX80" s="71"/>
      <c r="AY80" s="71"/>
      <c r="AZ80" s="71"/>
      <c r="BA80" s="71"/>
      <c r="BB80" s="70"/>
      <c r="BC80" s="75"/>
      <c r="BD80" s="70" t="s">
        <v>865</v>
      </c>
      <c r="BE80" s="70" t="s">
        <v>1020</v>
      </c>
      <c r="BF80" s="70" t="s">
        <v>1021</v>
      </c>
      <c r="BG80" s="70" t="s">
        <v>1022</v>
      </c>
      <c r="BH80" s="70" t="s">
        <v>1014</v>
      </c>
      <c r="BI80" s="70" t="s">
        <v>1006</v>
      </c>
      <c r="BJ80" s="70" t="s">
        <v>1023</v>
      </c>
      <c r="BK80" s="70" t="s">
        <v>1009</v>
      </c>
      <c r="BL80" s="70"/>
      <c r="BM80" s="71"/>
      <c r="BN80" s="71"/>
      <c r="BO80" s="71"/>
      <c r="BP80" s="71"/>
      <c r="BQ80" s="71"/>
      <c r="BR80" s="71"/>
      <c r="BS80" s="71"/>
      <c r="BT80" s="71"/>
      <c r="BU80" s="71"/>
      <c r="BV80" s="71"/>
      <c r="BW80" s="71"/>
      <c r="BX80" s="71"/>
      <c r="BY80" s="71"/>
      <c r="BZ80" s="71"/>
      <c r="CA80" s="71"/>
      <c r="CB80" s="71"/>
    </row>
    <row r="81" spans="2:80" ht="40" customHeight="1" x14ac:dyDescent="0.35">
      <c r="B81" s="70">
        <v>78</v>
      </c>
      <c r="C81" s="71" t="s">
        <v>142</v>
      </c>
      <c r="D81" s="70" t="s">
        <v>76</v>
      </c>
      <c r="E81" s="70" t="s">
        <v>76</v>
      </c>
      <c r="F81" s="70" t="s">
        <v>87</v>
      </c>
      <c r="G81" s="70" t="s">
        <v>92</v>
      </c>
      <c r="H81" s="70" t="s">
        <v>410</v>
      </c>
      <c r="I81" s="70" t="s">
        <v>1002</v>
      </c>
      <c r="J81" s="70" t="s">
        <v>440</v>
      </c>
      <c r="K81" s="70" t="s">
        <v>417</v>
      </c>
      <c r="L81" s="70"/>
      <c r="M81" s="70"/>
      <c r="N81" s="63"/>
      <c r="O81" s="63"/>
      <c r="P81" s="63"/>
      <c r="Q81" s="70"/>
      <c r="R81" s="96"/>
      <c r="S81" s="70"/>
      <c r="T81" s="63"/>
      <c r="U81" s="70"/>
      <c r="V81" s="96"/>
      <c r="W81" s="70"/>
      <c r="X81" s="63"/>
      <c r="Y81" s="63" t="str">
        <f>IF(AND(Table14[[#This Row],[Pre-Feasibility]]=0,Table14[[#This Row],[Pre-Feasibility 2]]=0, Table14[[#This Row],[Feasibility]]=0, Table14[[#This Row],[Feasibility 2]]=0), "No", "Yes")</f>
        <v>No</v>
      </c>
      <c r="Z81" s="63"/>
      <c r="AA81" s="63"/>
      <c r="AB81" s="70"/>
      <c r="AC81" s="70"/>
      <c r="AD81" s="70"/>
      <c r="AE81" s="70" t="s">
        <v>180</v>
      </c>
      <c r="AF81" s="70"/>
      <c r="AG81" s="70" t="s">
        <v>180</v>
      </c>
      <c r="AH81" s="70" t="s">
        <v>180</v>
      </c>
      <c r="AI81" s="70" t="s">
        <v>180</v>
      </c>
      <c r="AJ81" s="70" t="s">
        <v>180</v>
      </c>
      <c r="AK81" s="70" t="s">
        <v>180</v>
      </c>
      <c r="AL81" s="250" t="str" cm="1">
        <f t="array" ref="AL81">IFERROR(_xlfn.STDEV.P(IF(Table14[[#This Row],[Website Area (Acres)]:[PEZ Other Source (Acre)]]&lt;&gt;0, Table14[[#This Row],[Website Area (Acres)]:[PEZ Other Source (Acre)]], ""))/AVERAGE(IF(Table14[[#This Row],[Website Area (Acres)]:[PEZ Other Source (Acre)]]&lt;&gt;0, Table14[[#This Row],[Website Area (Acres)]:[PEZ Other Source (Acre)]], "")), "")</f>
        <v/>
      </c>
      <c r="AM81" s="70" t="s">
        <v>837</v>
      </c>
      <c r="AN81" s="70" t="s">
        <v>837</v>
      </c>
      <c r="AO81" s="70" t="s">
        <v>1024</v>
      </c>
      <c r="AP81" s="148">
        <v>56</v>
      </c>
      <c r="AQ81" s="148">
        <v>56.082000000000001</v>
      </c>
      <c r="AR81" s="70" t="s">
        <v>455</v>
      </c>
      <c r="AS81" s="70" t="s">
        <v>444</v>
      </c>
      <c r="AT81" s="71"/>
      <c r="AU81" s="71"/>
      <c r="AV81" s="71"/>
      <c r="AW81" s="71"/>
      <c r="AX81" s="71"/>
      <c r="AY81" s="71"/>
      <c r="AZ81" s="71"/>
      <c r="BA81" s="71"/>
      <c r="BB81" s="70"/>
      <c r="BC81" s="75"/>
      <c r="BD81" s="70"/>
      <c r="BE81" s="70"/>
      <c r="BF81" s="70"/>
      <c r="BG81" s="70"/>
      <c r="BH81" s="70"/>
      <c r="BI81" s="70"/>
      <c r="BJ81" s="70"/>
      <c r="BK81" s="70"/>
      <c r="BL81" s="70"/>
      <c r="BM81" s="71"/>
      <c r="BN81" s="71"/>
      <c r="BO81" s="71"/>
      <c r="BP81" s="71"/>
      <c r="BQ81" s="71"/>
      <c r="BR81" s="71"/>
      <c r="BS81" s="71"/>
      <c r="BT81" s="71"/>
      <c r="BU81" s="71"/>
      <c r="BV81" s="71"/>
      <c r="BW81" s="71"/>
      <c r="BX81" s="71"/>
      <c r="BY81" s="71"/>
      <c r="BZ81" s="71"/>
      <c r="CA81" s="71"/>
      <c r="CB81" s="71"/>
    </row>
    <row r="82" spans="2:80" ht="40" customHeight="1" x14ac:dyDescent="0.35">
      <c r="B82" s="70">
        <v>79</v>
      </c>
      <c r="C82" s="71" t="s">
        <v>44</v>
      </c>
      <c r="D82" s="70" t="s">
        <v>76</v>
      </c>
      <c r="E82" s="70" t="s">
        <v>107</v>
      </c>
      <c r="F82" s="70" t="s">
        <v>108</v>
      </c>
      <c r="G82" s="70" t="s">
        <v>92</v>
      </c>
      <c r="H82" s="70" t="s">
        <v>410</v>
      </c>
      <c r="I82" s="70" t="s">
        <v>1007</v>
      </c>
      <c r="J82" s="70" t="s">
        <v>440</v>
      </c>
      <c r="K82" s="70" t="s">
        <v>417</v>
      </c>
      <c r="L82" s="109" t="s">
        <v>643</v>
      </c>
      <c r="M82" s="70"/>
      <c r="N82" s="63"/>
      <c r="O82" s="63"/>
      <c r="P82" s="63"/>
      <c r="Q82" s="70"/>
      <c r="R82" s="96"/>
      <c r="S82" s="70"/>
      <c r="T82" s="63"/>
      <c r="U82" s="70"/>
      <c r="V82" s="96"/>
      <c r="W82" s="70"/>
      <c r="X82" s="63"/>
      <c r="Y82" s="63" t="str">
        <f>IF(AND(Table14[[#This Row],[Pre-Feasibility]]=0,Table14[[#This Row],[Pre-Feasibility 2]]=0, Table14[[#This Row],[Feasibility]]=0, Table14[[#This Row],[Feasibility 2]]=0), "No", "Yes")</f>
        <v>No</v>
      </c>
      <c r="Z82" s="63" t="s">
        <v>417</v>
      </c>
      <c r="AA82" s="63" t="s">
        <v>417</v>
      </c>
      <c r="AB82" s="70"/>
      <c r="AC82" s="70"/>
      <c r="AD82" s="70"/>
      <c r="AE82" s="70" t="s">
        <v>180</v>
      </c>
      <c r="AF82" s="70"/>
      <c r="AG82" s="70" t="s">
        <v>180</v>
      </c>
      <c r="AH82" s="70" t="s">
        <v>180</v>
      </c>
      <c r="AI82" s="70">
        <v>350077</v>
      </c>
      <c r="AJ82" s="70">
        <v>60</v>
      </c>
      <c r="AK82" s="70">
        <v>65</v>
      </c>
      <c r="AL82" s="250" cm="1">
        <f t="array" ref="AL82">IFERROR(_xlfn.STDEV.P(IF(Table14[[#This Row],[Website Area (Acres)]:[PEZ Other Source (Acre)]]&lt;&gt;0, Table14[[#This Row],[Website Area (Acres)]:[PEZ Other Source (Acre)]], ""))/AVERAGE(IF(Table14[[#This Row],[Website Area (Acres)]:[PEZ Other Source (Acre)]]&lt;&gt;0, Table14[[#This Row],[Website Area (Acres)]:[PEZ Other Source (Acre)]], "")), "")</f>
        <v>1.4134563850723778</v>
      </c>
      <c r="AM82" s="70" t="s">
        <v>417</v>
      </c>
      <c r="AN82" s="70" t="s">
        <v>1025</v>
      </c>
      <c r="AO82" s="70" t="s">
        <v>1026</v>
      </c>
      <c r="AP82" s="148">
        <v>65</v>
      </c>
      <c r="AQ82" s="148">
        <v>65</v>
      </c>
      <c r="AR82" s="70" t="s">
        <v>411</v>
      </c>
      <c r="AS82" s="70" t="s">
        <v>412</v>
      </c>
      <c r="AT82" s="71"/>
      <c r="AU82" s="71"/>
      <c r="AV82" s="71"/>
      <c r="AW82" s="71"/>
      <c r="AX82" s="71"/>
      <c r="AY82" s="71"/>
      <c r="AZ82" s="71"/>
      <c r="BA82" s="71"/>
      <c r="BB82" s="70"/>
      <c r="BC82" s="75"/>
      <c r="BD82" s="70" t="s">
        <v>1027</v>
      </c>
      <c r="BE82" s="70" t="s">
        <v>1028</v>
      </c>
      <c r="BF82" s="70" t="s">
        <v>1004</v>
      </c>
      <c r="BG82" s="70" t="s">
        <v>1006</v>
      </c>
      <c r="BH82" s="70" t="s">
        <v>848</v>
      </c>
      <c r="BI82" s="70" t="s">
        <v>1003</v>
      </c>
      <c r="BJ82" s="70" t="s">
        <v>1029</v>
      </c>
      <c r="BK82" s="70"/>
      <c r="BL82" s="70"/>
      <c r="BM82" s="71"/>
      <c r="BN82" s="71"/>
      <c r="BO82" s="71"/>
      <c r="BP82" s="71"/>
      <c r="BQ82" s="71"/>
      <c r="BR82" s="71"/>
      <c r="BS82" s="71"/>
      <c r="BT82" s="71"/>
      <c r="BU82" s="71"/>
      <c r="BV82" s="71"/>
      <c r="BW82" s="71"/>
      <c r="BX82" s="71"/>
      <c r="BY82" s="71"/>
      <c r="BZ82" s="71"/>
      <c r="CA82" s="71"/>
      <c r="CB82" s="71"/>
    </row>
    <row r="83" spans="2:80" ht="40" customHeight="1" x14ac:dyDescent="0.35">
      <c r="B83" s="70">
        <v>80</v>
      </c>
      <c r="C83" s="71" t="s">
        <v>201</v>
      </c>
      <c r="D83" s="70" t="s">
        <v>94</v>
      </c>
      <c r="E83" s="70" t="s">
        <v>202</v>
      </c>
      <c r="F83" s="70" t="s">
        <v>203</v>
      </c>
      <c r="G83" s="70" t="s">
        <v>92</v>
      </c>
      <c r="H83" s="70" t="s">
        <v>430</v>
      </c>
      <c r="I83" s="70" t="s">
        <v>997</v>
      </c>
      <c r="J83" s="70" t="s">
        <v>440</v>
      </c>
      <c r="K83" s="70" t="s">
        <v>417</v>
      </c>
      <c r="L83" s="70"/>
      <c r="M83" s="70"/>
      <c r="N83" s="63"/>
      <c r="O83" s="63"/>
      <c r="P83" s="63"/>
      <c r="Q83" s="70"/>
      <c r="R83" s="96"/>
      <c r="S83" s="70"/>
      <c r="T83" s="63"/>
      <c r="U83" s="70"/>
      <c r="V83" s="96"/>
      <c r="W83" s="70"/>
      <c r="X83" s="63"/>
      <c r="Y83" s="63" t="str">
        <f>IF(AND(Table14[[#This Row],[Pre-Feasibility]]=0,Table14[[#This Row],[Pre-Feasibility 2]]=0, Table14[[#This Row],[Feasibility]]=0, Table14[[#This Row],[Feasibility 2]]=0), "No", "Yes")</f>
        <v>No</v>
      </c>
      <c r="Z83" s="63"/>
      <c r="AA83" s="63"/>
      <c r="AB83" s="70"/>
      <c r="AC83" s="70"/>
      <c r="AD83" s="70"/>
      <c r="AE83" s="70" t="s">
        <v>180</v>
      </c>
      <c r="AF83" s="70"/>
      <c r="AG83" s="70" t="s">
        <v>180</v>
      </c>
      <c r="AH83" s="70" t="s">
        <v>180</v>
      </c>
      <c r="AI83" s="70" t="s">
        <v>180</v>
      </c>
      <c r="AJ83" s="70" t="s">
        <v>180</v>
      </c>
      <c r="AK83" s="70" t="s">
        <v>180</v>
      </c>
      <c r="AL83" s="250" t="str" cm="1">
        <f t="array" ref="AL83">IFERROR(_xlfn.STDEV.P(IF(Table14[[#This Row],[Website Area (Acres)]:[PEZ Other Source (Acre)]]&lt;&gt;0, Table14[[#This Row],[Website Area (Acres)]:[PEZ Other Source (Acre)]], ""))/AVERAGE(IF(Table14[[#This Row],[Website Area (Acres)]:[PEZ Other Source (Acre)]]&lt;&gt;0, Table14[[#This Row],[Website Area (Acres)]:[PEZ Other Source (Acre)]], "")), "")</f>
        <v/>
      </c>
      <c r="AM83" s="70" t="s">
        <v>837</v>
      </c>
      <c r="AN83" s="70" t="s">
        <v>837</v>
      </c>
      <c r="AO83" s="70" t="s">
        <v>1030</v>
      </c>
      <c r="AP83" s="148">
        <v>138.6</v>
      </c>
      <c r="AQ83" s="148">
        <v>138.63999999999999</v>
      </c>
      <c r="AR83" s="70" t="s">
        <v>455</v>
      </c>
      <c r="AS83" s="70" t="s">
        <v>444</v>
      </c>
      <c r="AT83" s="71"/>
      <c r="AU83" s="71"/>
      <c r="AV83" s="71"/>
      <c r="AW83" s="71"/>
      <c r="AX83" s="71"/>
      <c r="AY83" s="71"/>
      <c r="AZ83" s="71"/>
      <c r="BA83" s="71"/>
      <c r="BB83" s="70"/>
      <c r="BC83" s="75"/>
      <c r="BD83" s="70"/>
      <c r="BE83" s="70"/>
      <c r="BF83" s="70"/>
      <c r="BG83" s="70"/>
      <c r="BH83" s="70"/>
      <c r="BI83" s="70"/>
      <c r="BJ83" s="70"/>
      <c r="BK83" s="70"/>
      <c r="BL83" s="70"/>
      <c r="BM83" s="71"/>
      <c r="BN83" s="71"/>
      <c r="BO83" s="71"/>
      <c r="BP83" s="71"/>
      <c r="BQ83" s="71"/>
      <c r="BR83" s="71"/>
      <c r="BS83" s="71"/>
      <c r="BT83" s="71"/>
      <c r="BU83" s="71"/>
      <c r="BV83" s="71"/>
      <c r="BW83" s="71"/>
      <c r="BX83" s="71"/>
      <c r="BY83" s="71"/>
      <c r="BZ83" s="71"/>
      <c r="CA83" s="71"/>
      <c r="CB83" s="71"/>
    </row>
    <row r="84" spans="2:80" ht="40" customHeight="1" x14ac:dyDescent="0.35">
      <c r="B84" s="70">
        <v>81</v>
      </c>
      <c r="C84" s="71" t="s">
        <v>38</v>
      </c>
      <c r="D84" s="70" t="s">
        <v>76</v>
      </c>
      <c r="E84" s="70" t="s">
        <v>77</v>
      </c>
      <c r="F84" s="70" t="s">
        <v>99</v>
      </c>
      <c r="G84" s="70" t="s">
        <v>92</v>
      </c>
      <c r="H84" s="70" t="s">
        <v>410</v>
      </c>
      <c r="I84" s="70" t="s">
        <v>1007</v>
      </c>
      <c r="J84" s="70" t="s">
        <v>440</v>
      </c>
      <c r="K84" s="70" t="s">
        <v>417</v>
      </c>
      <c r="L84" s="70"/>
      <c r="M84" s="70"/>
      <c r="N84" s="63"/>
      <c r="O84" s="63"/>
      <c r="P84" s="63"/>
      <c r="Q84" s="70"/>
      <c r="R84" s="96"/>
      <c r="S84" s="70"/>
      <c r="T84" s="63"/>
      <c r="U84" s="70"/>
      <c r="V84" s="96"/>
      <c r="W84" s="70"/>
      <c r="X84" s="63"/>
      <c r="Y84" s="63" t="str">
        <f>IF(AND(Table14[[#This Row],[Pre-Feasibility]]=0,Table14[[#This Row],[Pre-Feasibility 2]]=0, Table14[[#This Row],[Feasibility]]=0, Table14[[#This Row],[Feasibility 2]]=0), "No", "Yes")</f>
        <v>No</v>
      </c>
      <c r="Z84" s="63" t="s">
        <v>417</v>
      </c>
      <c r="AA84" s="63" t="s">
        <v>417</v>
      </c>
      <c r="AB84" s="70"/>
      <c r="AC84" s="70"/>
      <c r="AD84" s="70"/>
      <c r="AE84" s="70" t="s">
        <v>180</v>
      </c>
      <c r="AF84" s="70"/>
      <c r="AG84" s="70" t="s">
        <v>180</v>
      </c>
      <c r="AH84" s="70" t="s">
        <v>180</v>
      </c>
      <c r="AI84" s="70">
        <v>77.965500000000006</v>
      </c>
      <c r="AJ84" s="70">
        <v>78</v>
      </c>
      <c r="AK84" s="70">
        <v>77.959999999999994</v>
      </c>
      <c r="AL84" s="250" cm="1">
        <f t="array" ref="AL84">IFERROR(_xlfn.STDEV.P(IF(Table14[[#This Row],[Website Area (Acres)]:[PEZ Other Source (Acre)]]&lt;&gt;0, Table14[[#This Row],[Website Area (Acres)]:[PEZ Other Source (Acre)]], ""))/AVERAGE(IF(Table14[[#This Row],[Website Area (Acres)]:[PEZ Other Source (Acre)]]&lt;&gt;0, Table14[[#This Row],[Website Area (Acres)]:[PEZ Other Source (Acre)]], "")), "")</f>
        <v>2.2703116912481568E-4</v>
      </c>
      <c r="AM84" s="70" t="s">
        <v>418</v>
      </c>
      <c r="AN84" s="70" t="s">
        <v>1031</v>
      </c>
      <c r="AO84" s="70" t="s">
        <v>1032</v>
      </c>
      <c r="AP84" s="148">
        <v>77.959999999999994</v>
      </c>
      <c r="AQ84" s="148">
        <v>91.214100000000002</v>
      </c>
      <c r="AR84" s="70" t="s">
        <v>411</v>
      </c>
      <c r="AS84" s="70" t="s">
        <v>412</v>
      </c>
      <c r="AT84" s="71"/>
      <c r="AU84" s="71"/>
      <c r="AV84" s="71"/>
      <c r="AW84" s="71"/>
      <c r="AX84" s="71"/>
      <c r="AY84" s="71"/>
      <c r="AZ84" s="71"/>
      <c r="BA84" s="71"/>
      <c r="BB84" s="70"/>
      <c r="BC84" s="75"/>
      <c r="BD84" s="70" t="s">
        <v>1028</v>
      </c>
      <c r="BE84" s="70" t="s">
        <v>1033</v>
      </c>
      <c r="BF84" s="70"/>
      <c r="BG84" s="70"/>
      <c r="BH84" s="70"/>
      <c r="BI84" s="70"/>
      <c r="BJ84" s="70"/>
      <c r="BK84" s="70"/>
      <c r="BL84" s="70"/>
      <c r="BM84" s="71"/>
      <c r="BN84" s="71"/>
      <c r="BO84" s="71"/>
      <c r="BP84" s="71"/>
      <c r="BQ84" s="71"/>
      <c r="BR84" s="71"/>
      <c r="BS84" s="71"/>
      <c r="BT84" s="71"/>
      <c r="BU84" s="71"/>
      <c r="BV84" s="71"/>
      <c r="BW84" s="71"/>
      <c r="BX84" s="71"/>
      <c r="BY84" s="71"/>
      <c r="BZ84" s="71"/>
      <c r="CA84" s="71"/>
      <c r="CB84" s="71"/>
    </row>
    <row r="85" spans="2:80" ht="40" customHeight="1" x14ac:dyDescent="0.35">
      <c r="B85" s="70">
        <v>82</v>
      </c>
      <c r="C85" s="71" t="s">
        <v>48</v>
      </c>
      <c r="D85" s="70" t="s">
        <v>76</v>
      </c>
      <c r="E85" s="70" t="s">
        <v>76</v>
      </c>
      <c r="F85" s="70" t="s">
        <v>112</v>
      </c>
      <c r="G85" s="70" t="s">
        <v>92</v>
      </c>
      <c r="H85" s="70" t="s">
        <v>410</v>
      </c>
      <c r="I85" s="70" t="s">
        <v>997</v>
      </c>
      <c r="J85" s="70" t="s">
        <v>440</v>
      </c>
      <c r="K85" s="70" t="s">
        <v>417</v>
      </c>
      <c r="L85" s="70"/>
      <c r="M85" s="70"/>
      <c r="N85" s="63"/>
      <c r="O85" s="63"/>
      <c r="P85" s="63"/>
      <c r="Q85" s="70"/>
      <c r="R85" s="96"/>
      <c r="S85" s="70"/>
      <c r="T85" s="63"/>
      <c r="U85" s="70"/>
      <c r="V85" s="96"/>
      <c r="W85" s="70"/>
      <c r="X85" s="63"/>
      <c r="Y85" s="63" t="str">
        <f>IF(AND(Table14[[#This Row],[Pre-Feasibility]]=0,Table14[[#This Row],[Pre-Feasibility 2]]=0, Table14[[#This Row],[Feasibility]]=0, Table14[[#This Row],[Feasibility 2]]=0), "No", "Yes")</f>
        <v>No</v>
      </c>
      <c r="Z85" s="63"/>
      <c r="AA85" s="63"/>
      <c r="AB85" s="70"/>
      <c r="AC85" s="70"/>
      <c r="AD85" s="70"/>
      <c r="AE85" s="70" t="s">
        <v>180</v>
      </c>
      <c r="AF85" s="70"/>
      <c r="AG85" s="70" t="s">
        <v>180</v>
      </c>
      <c r="AH85" s="70" t="s">
        <v>180</v>
      </c>
      <c r="AI85" s="70" t="s">
        <v>180</v>
      </c>
      <c r="AJ85" s="70" t="s">
        <v>180</v>
      </c>
      <c r="AK85" s="70" t="s">
        <v>180</v>
      </c>
      <c r="AL85" s="250" t="str" cm="1">
        <f t="array" ref="AL85">IFERROR(_xlfn.STDEV.P(IF(Table14[[#This Row],[Website Area (Acres)]:[PEZ Other Source (Acre)]]&lt;&gt;0, Table14[[#This Row],[Website Area (Acres)]:[PEZ Other Source (Acre)]], ""))/AVERAGE(IF(Table14[[#This Row],[Website Area (Acres)]:[PEZ Other Source (Acre)]]&lt;&gt;0, Table14[[#This Row],[Website Area (Acres)]:[PEZ Other Source (Acre)]], "")), "")</f>
        <v/>
      </c>
      <c r="AM85" s="70" t="s">
        <v>837</v>
      </c>
      <c r="AN85" s="70" t="s">
        <v>837</v>
      </c>
      <c r="AO85" s="70" t="s">
        <v>1034</v>
      </c>
      <c r="AP85" s="148">
        <v>115.6</v>
      </c>
      <c r="AQ85" s="148">
        <v>115.8685</v>
      </c>
      <c r="AR85" s="70" t="s">
        <v>447</v>
      </c>
      <c r="AS85" s="70" t="s">
        <v>435</v>
      </c>
      <c r="AT85" s="71"/>
      <c r="AU85" s="71"/>
      <c r="AV85" s="71"/>
      <c r="AW85" s="71"/>
      <c r="AX85" s="71"/>
      <c r="AY85" s="71"/>
      <c r="AZ85" s="71"/>
      <c r="BA85" s="71"/>
      <c r="BB85" s="70"/>
      <c r="BC85" s="75"/>
      <c r="BD85" s="70"/>
      <c r="BE85" s="70"/>
      <c r="BF85" s="70"/>
      <c r="BG85" s="70"/>
      <c r="BH85" s="70"/>
      <c r="BI85" s="70"/>
      <c r="BJ85" s="70"/>
      <c r="BK85" s="70"/>
      <c r="BL85" s="70"/>
      <c r="BM85" s="71"/>
      <c r="BN85" s="71"/>
      <c r="BO85" s="71"/>
      <c r="BP85" s="71"/>
      <c r="BQ85" s="71"/>
      <c r="BR85" s="71"/>
      <c r="BS85" s="71"/>
      <c r="BT85" s="71"/>
      <c r="BU85" s="71"/>
      <c r="BV85" s="71"/>
      <c r="BW85" s="71"/>
      <c r="BX85" s="71"/>
      <c r="BY85" s="71"/>
      <c r="BZ85" s="71"/>
      <c r="CA85" s="71"/>
      <c r="CB85" s="71"/>
    </row>
    <row r="86" spans="2:80" ht="40" customHeight="1" x14ac:dyDescent="0.35">
      <c r="B86" s="70">
        <v>83</v>
      </c>
      <c r="C86" s="71" t="s">
        <v>40</v>
      </c>
      <c r="D86" s="70" t="s">
        <v>68</v>
      </c>
      <c r="E86" s="70" t="s">
        <v>100</v>
      </c>
      <c r="F86" s="70" t="s">
        <v>101</v>
      </c>
      <c r="G86" s="70" t="s">
        <v>92</v>
      </c>
      <c r="H86" s="70" t="s">
        <v>410</v>
      </c>
      <c r="I86" s="70" t="s">
        <v>1007</v>
      </c>
      <c r="J86" s="70" t="s">
        <v>440</v>
      </c>
      <c r="K86" s="70" t="s">
        <v>417</v>
      </c>
      <c r="L86" s="113" t="s">
        <v>643</v>
      </c>
      <c r="M86" s="70"/>
      <c r="N86" s="63"/>
      <c r="O86" s="63"/>
      <c r="P86" s="63"/>
      <c r="Q86" s="70"/>
      <c r="R86" s="96"/>
      <c r="S86" s="70"/>
      <c r="T86" s="63"/>
      <c r="U86" s="70"/>
      <c r="V86" s="96"/>
      <c r="W86" s="70"/>
      <c r="X86" s="63"/>
      <c r="Y86" s="63" t="str">
        <f>IF(AND(Table14[[#This Row],[Pre-Feasibility]]=0,Table14[[#This Row],[Pre-Feasibility 2]]=0, Table14[[#This Row],[Feasibility]]=0, Table14[[#This Row],[Feasibility 2]]=0), "No", "Yes")</f>
        <v>No</v>
      </c>
      <c r="Z86" s="63" t="s">
        <v>417</v>
      </c>
      <c r="AA86" s="63"/>
      <c r="AB86" s="70"/>
      <c r="AC86" s="70"/>
      <c r="AD86" s="70">
        <v>272</v>
      </c>
      <c r="AE86" s="70" t="s">
        <v>180</v>
      </c>
      <c r="AF86" s="70"/>
      <c r="AG86" s="70" t="s">
        <v>180</v>
      </c>
      <c r="AH86" s="70" t="s">
        <v>180</v>
      </c>
      <c r="AI86" s="70">
        <v>2463515</v>
      </c>
      <c r="AJ86" s="70" t="s">
        <v>180</v>
      </c>
      <c r="AK86" s="70">
        <v>301</v>
      </c>
      <c r="AL86" s="250" cm="1">
        <f t="array" ref="AL86">IFERROR(_xlfn.STDEV.P(IF(Table14[[#This Row],[Website Area (Acres)]:[PEZ Other Source (Acre)]]&lt;&gt;0, Table14[[#This Row],[Website Area (Acres)]:[PEZ Other Source (Acre)]], ""))/AVERAGE(IF(Table14[[#This Row],[Website Area (Acres)]:[PEZ Other Source (Acre)]]&lt;&gt;0, Table14[[#This Row],[Website Area (Acres)]:[PEZ Other Source (Acre)]], "")), "")</f>
        <v>1.4137202697732392</v>
      </c>
      <c r="AM86" s="70" t="s">
        <v>417</v>
      </c>
      <c r="AN86" s="70" t="s">
        <v>1025</v>
      </c>
      <c r="AO86" s="70" t="s">
        <v>1035</v>
      </c>
      <c r="AP86" s="148">
        <v>272</v>
      </c>
      <c r="AQ86" s="148">
        <v>272</v>
      </c>
      <c r="AR86" s="70" t="s">
        <v>426</v>
      </c>
      <c r="AS86" s="70" t="s">
        <v>412</v>
      </c>
      <c r="AT86" s="71"/>
      <c r="AU86" s="71"/>
      <c r="AV86" s="71"/>
      <c r="AW86" s="71"/>
      <c r="AX86" s="71"/>
      <c r="AY86" s="71"/>
      <c r="AZ86" s="71"/>
      <c r="BA86" s="71"/>
      <c r="BB86" s="70"/>
      <c r="BC86" s="75"/>
      <c r="BD86" s="70" t="s">
        <v>1000</v>
      </c>
      <c r="BE86" s="70" t="s">
        <v>1036</v>
      </c>
      <c r="BF86" s="70" t="s">
        <v>1037</v>
      </c>
      <c r="BG86" s="70" t="s">
        <v>1004</v>
      </c>
      <c r="BH86" s="70" t="s">
        <v>839</v>
      </c>
      <c r="BI86" s="70" t="s">
        <v>1038</v>
      </c>
      <c r="BJ86" s="70" t="s">
        <v>1005</v>
      </c>
      <c r="BK86" s="70" t="s">
        <v>848</v>
      </c>
      <c r="BL86" s="70" t="s">
        <v>1039</v>
      </c>
      <c r="BM86" s="71"/>
      <c r="BN86" s="71"/>
      <c r="BO86" s="71"/>
      <c r="BP86" s="71"/>
      <c r="BQ86" s="71"/>
      <c r="BR86" s="71"/>
      <c r="BS86" s="71"/>
      <c r="BT86" s="71"/>
      <c r="BU86" s="71"/>
      <c r="BV86" s="71"/>
      <c r="BW86" s="71"/>
      <c r="BX86" s="71"/>
      <c r="BY86" s="71"/>
      <c r="BZ86" s="71"/>
      <c r="CA86" s="71"/>
      <c r="CB86" s="71"/>
    </row>
    <row r="87" spans="2:80" ht="40" customHeight="1" x14ac:dyDescent="0.35">
      <c r="B87" s="70">
        <v>84</v>
      </c>
      <c r="C87" s="71" t="s">
        <v>184</v>
      </c>
      <c r="D87" s="70" t="s">
        <v>94</v>
      </c>
      <c r="E87" s="70" t="s">
        <v>152</v>
      </c>
      <c r="F87" s="70" t="s">
        <v>185</v>
      </c>
      <c r="G87" s="70" t="s">
        <v>92</v>
      </c>
      <c r="H87" s="70" t="s">
        <v>430</v>
      </c>
      <c r="I87" s="70" t="s">
        <v>997</v>
      </c>
      <c r="J87" s="70" t="s">
        <v>440</v>
      </c>
      <c r="K87" s="70" t="s">
        <v>417</v>
      </c>
      <c r="L87" s="70"/>
      <c r="M87" s="70"/>
      <c r="N87" s="63"/>
      <c r="O87" s="63"/>
      <c r="P87" s="63"/>
      <c r="Q87" s="70"/>
      <c r="R87" s="96"/>
      <c r="S87" s="70"/>
      <c r="T87" s="63"/>
      <c r="U87" s="70"/>
      <c r="V87" s="96"/>
      <c r="W87" s="70"/>
      <c r="X87" s="63"/>
      <c r="Y87" s="63" t="str">
        <f>IF(AND(Table14[[#This Row],[Pre-Feasibility]]=0,Table14[[#This Row],[Pre-Feasibility 2]]=0, Table14[[#This Row],[Feasibility]]=0, Table14[[#This Row],[Feasibility 2]]=0), "No", "Yes")</f>
        <v>No</v>
      </c>
      <c r="Z87" s="63"/>
      <c r="AA87" s="63"/>
      <c r="AB87" s="70"/>
      <c r="AC87" s="70"/>
      <c r="AD87" s="70"/>
      <c r="AE87" s="70" t="s">
        <v>180</v>
      </c>
      <c r="AF87" s="70"/>
      <c r="AG87" s="70" t="s">
        <v>180</v>
      </c>
      <c r="AH87" s="70" t="s">
        <v>180</v>
      </c>
      <c r="AI87" s="70" t="s">
        <v>180</v>
      </c>
      <c r="AJ87" s="70" t="s">
        <v>180</v>
      </c>
      <c r="AK87" s="70" t="s">
        <v>180</v>
      </c>
      <c r="AL87" s="250" t="str" cm="1">
        <f t="array" ref="AL87">IFERROR(_xlfn.STDEV.P(IF(Table14[[#This Row],[Website Area (Acres)]:[PEZ Other Source (Acre)]]&lt;&gt;0, Table14[[#This Row],[Website Area (Acres)]:[PEZ Other Source (Acre)]], ""))/AVERAGE(IF(Table14[[#This Row],[Website Area (Acres)]:[PEZ Other Source (Acre)]]&lt;&gt;0, Table14[[#This Row],[Website Area (Acres)]:[PEZ Other Source (Acre)]], "")), "")</f>
        <v/>
      </c>
      <c r="AM87" s="70" t="s">
        <v>837</v>
      </c>
      <c r="AN87" s="70" t="s">
        <v>837</v>
      </c>
      <c r="AO87" s="70" t="s">
        <v>1012</v>
      </c>
      <c r="AP87" s="148">
        <v>150</v>
      </c>
      <c r="AQ87" s="148">
        <v>150</v>
      </c>
      <c r="AR87" s="70" t="s">
        <v>455</v>
      </c>
      <c r="AS87" s="70" t="s">
        <v>444</v>
      </c>
      <c r="AT87" s="71"/>
      <c r="AU87" s="71"/>
      <c r="AV87" s="71"/>
      <c r="AW87" s="71"/>
      <c r="AX87" s="71"/>
      <c r="AY87" s="71"/>
      <c r="AZ87" s="71"/>
      <c r="BA87" s="71"/>
      <c r="BB87" s="70"/>
      <c r="BC87" s="75"/>
      <c r="BD87" s="70"/>
      <c r="BE87" s="70"/>
      <c r="BF87" s="70"/>
      <c r="BG87" s="70"/>
      <c r="BH87" s="70"/>
      <c r="BI87" s="70"/>
      <c r="BJ87" s="70"/>
      <c r="BK87" s="70"/>
      <c r="BL87" s="70"/>
      <c r="BM87" s="71"/>
      <c r="BN87" s="71"/>
      <c r="BO87" s="71"/>
      <c r="BP87" s="71"/>
      <c r="BQ87" s="71"/>
      <c r="BR87" s="71"/>
      <c r="BS87" s="71"/>
      <c r="BT87" s="71"/>
      <c r="BU87" s="71"/>
      <c r="BV87" s="71"/>
      <c r="BW87" s="71"/>
      <c r="BX87" s="71"/>
      <c r="BY87" s="71"/>
      <c r="BZ87" s="71"/>
      <c r="CA87" s="71"/>
      <c r="CB87" s="71"/>
    </row>
    <row r="88" spans="2:80" ht="40" customHeight="1" x14ac:dyDescent="0.35">
      <c r="B88" s="70">
        <v>85</v>
      </c>
      <c r="C88" s="71" t="s">
        <v>34</v>
      </c>
      <c r="D88" s="70" t="s">
        <v>76</v>
      </c>
      <c r="E88" s="70" t="s">
        <v>76</v>
      </c>
      <c r="F88" s="70" t="s">
        <v>87</v>
      </c>
      <c r="G88" s="70" t="s">
        <v>92</v>
      </c>
      <c r="H88" s="70" t="s">
        <v>410</v>
      </c>
      <c r="I88" s="70" t="s">
        <v>1007</v>
      </c>
      <c r="J88" s="70" t="s">
        <v>440</v>
      </c>
      <c r="K88" s="70" t="s">
        <v>417</v>
      </c>
      <c r="L88" s="113" t="s">
        <v>643</v>
      </c>
      <c r="M88" s="70"/>
      <c r="N88" s="63"/>
      <c r="O88" s="63"/>
      <c r="P88" s="63"/>
      <c r="Q88" s="70"/>
      <c r="R88" s="96"/>
      <c r="S88" s="70"/>
      <c r="T88" s="63"/>
      <c r="U88" s="70"/>
      <c r="V88" s="96"/>
      <c r="W88" s="70"/>
      <c r="X88" s="63"/>
      <c r="Y88" s="63" t="str">
        <f>IF(AND(Table14[[#This Row],[Pre-Feasibility]]=0,Table14[[#This Row],[Pre-Feasibility 2]]=0, Table14[[#This Row],[Feasibility]]=0, Table14[[#This Row],[Feasibility 2]]=0), "No", "Yes")</f>
        <v>No</v>
      </c>
      <c r="Z88" s="63" t="s">
        <v>417</v>
      </c>
      <c r="AA88" s="63"/>
      <c r="AB88" s="70"/>
      <c r="AC88" s="70"/>
      <c r="AD88" s="70"/>
      <c r="AE88" s="70" t="s">
        <v>180</v>
      </c>
      <c r="AF88" s="70"/>
      <c r="AG88" s="70" t="s">
        <v>180</v>
      </c>
      <c r="AH88" s="70" t="s">
        <v>180</v>
      </c>
      <c r="AI88" s="70">
        <v>1026992</v>
      </c>
      <c r="AJ88" s="70" t="s">
        <v>180</v>
      </c>
      <c r="AK88" s="70">
        <v>102.69</v>
      </c>
      <c r="AL88" s="250" cm="1">
        <f t="array" ref="AL88">IFERROR(_xlfn.STDEV.P(IF(Table14[[#This Row],[Website Area (Acres)]:[PEZ Other Source (Acre)]]&lt;&gt;0, Table14[[#This Row],[Website Area (Acres)]:[PEZ Other Source (Acre)]], ""))/AVERAGE(IF(Table14[[#This Row],[Website Area (Acres)]:[PEZ Other Source (Acre)]]&lt;&gt;0, Table14[[#This Row],[Website Area (Acres)]:[PEZ Other Source (Acre)]], "")), "")</f>
        <v>0.99980003791081828</v>
      </c>
      <c r="AM88" s="70" t="s">
        <v>418</v>
      </c>
      <c r="AN88" s="70" t="s">
        <v>1025</v>
      </c>
      <c r="AO88" s="70" t="s">
        <v>1040</v>
      </c>
      <c r="AP88" s="148">
        <v>53.8</v>
      </c>
      <c r="AQ88" s="148">
        <v>53.872700000000002</v>
      </c>
      <c r="AR88" s="70" t="s">
        <v>411</v>
      </c>
      <c r="AS88" s="70" t="s">
        <v>412</v>
      </c>
      <c r="AT88" s="71"/>
      <c r="AU88" s="71"/>
      <c r="AV88" s="71"/>
      <c r="AW88" s="71"/>
      <c r="AX88" s="71"/>
      <c r="AY88" s="71"/>
      <c r="AZ88" s="71"/>
      <c r="BA88" s="71"/>
      <c r="BB88" s="70"/>
      <c r="BC88" s="75"/>
      <c r="BD88" s="70" t="s">
        <v>1028</v>
      </c>
      <c r="BE88" s="70" t="s">
        <v>1041</v>
      </c>
      <c r="BF88" s="70" t="s">
        <v>1042</v>
      </c>
      <c r="BG88" s="70" t="s">
        <v>1043</v>
      </c>
      <c r="BH88" s="70" t="s">
        <v>1044</v>
      </c>
      <c r="BI88" s="70" t="s">
        <v>1005</v>
      </c>
      <c r="BJ88" s="70"/>
      <c r="BK88" s="70"/>
      <c r="BL88" s="70"/>
      <c r="BM88" s="71"/>
      <c r="BN88" s="71"/>
      <c r="BO88" s="71"/>
      <c r="BP88" s="71"/>
      <c r="BQ88" s="71"/>
      <c r="BR88" s="71"/>
      <c r="BS88" s="71"/>
      <c r="BT88" s="71"/>
      <c r="BU88" s="71"/>
      <c r="BV88" s="71"/>
      <c r="BW88" s="71"/>
      <c r="BX88" s="71"/>
      <c r="BY88" s="71"/>
      <c r="BZ88" s="71"/>
      <c r="CA88" s="71"/>
      <c r="CB88" s="71"/>
    </row>
    <row r="89" spans="2:80" ht="40" customHeight="1" x14ac:dyDescent="0.35">
      <c r="B89" s="70">
        <v>86</v>
      </c>
      <c r="C89" s="71" t="s">
        <v>213</v>
      </c>
      <c r="D89" s="70" t="s">
        <v>84</v>
      </c>
      <c r="E89" s="70" t="s">
        <v>97</v>
      </c>
      <c r="F89" s="70" t="s">
        <v>214</v>
      </c>
      <c r="G89" s="70" t="s">
        <v>92</v>
      </c>
      <c r="H89" s="70" t="s">
        <v>430</v>
      </c>
      <c r="I89" s="70" t="s">
        <v>997</v>
      </c>
      <c r="J89" s="70" t="s">
        <v>440</v>
      </c>
      <c r="K89" s="70" t="s">
        <v>417</v>
      </c>
      <c r="L89" s="70"/>
      <c r="M89" s="70"/>
      <c r="N89" s="63"/>
      <c r="O89" s="63"/>
      <c r="P89" s="63"/>
      <c r="Q89" s="70"/>
      <c r="R89" s="96"/>
      <c r="S89" s="70"/>
      <c r="T89" s="63"/>
      <c r="U89" s="70"/>
      <c r="V89" s="96"/>
      <c r="W89" s="70"/>
      <c r="X89" s="63"/>
      <c r="Y89" s="63" t="str">
        <f>IF(AND(Table14[[#This Row],[Pre-Feasibility]]=0,Table14[[#This Row],[Pre-Feasibility 2]]=0, Table14[[#This Row],[Feasibility]]=0, Table14[[#This Row],[Feasibility 2]]=0), "No", "Yes")</f>
        <v>No</v>
      </c>
      <c r="Z89" s="63"/>
      <c r="AA89" s="63"/>
      <c r="AB89" s="70"/>
      <c r="AC89" s="70"/>
      <c r="AD89" s="70"/>
      <c r="AE89" s="70" t="s">
        <v>180</v>
      </c>
      <c r="AF89" s="70"/>
      <c r="AG89" s="70" t="s">
        <v>180</v>
      </c>
      <c r="AH89" s="70" t="s">
        <v>180</v>
      </c>
      <c r="AI89" s="70" t="s">
        <v>180</v>
      </c>
      <c r="AJ89" s="70" t="s">
        <v>180</v>
      </c>
      <c r="AK89" s="70" t="s">
        <v>180</v>
      </c>
      <c r="AL89" s="250" t="str" cm="1">
        <f t="array" ref="AL89">IFERROR(_xlfn.STDEV.P(IF(Table14[[#This Row],[Website Area (Acres)]:[PEZ Other Source (Acre)]]&lt;&gt;0, Table14[[#This Row],[Website Area (Acres)]:[PEZ Other Source (Acre)]], ""))/AVERAGE(IF(Table14[[#This Row],[Website Area (Acres)]:[PEZ Other Source (Acre)]]&lt;&gt;0, Table14[[#This Row],[Website Area (Acres)]:[PEZ Other Source (Acre)]], "")), "")</f>
        <v/>
      </c>
      <c r="AM89" s="70" t="s">
        <v>837</v>
      </c>
      <c r="AN89" s="70" t="s">
        <v>837</v>
      </c>
      <c r="AO89" s="70" t="s">
        <v>1045</v>
      </c>
      <c r="AP89" s="148">
        <v>80.650000000000006</v>
      </c>
      <c r="AQ89" s="148">
        <v>80.650000000000006</v>
      </c>
      <c r="AR89" s="70" t="s">
        <v>455</v>
      </c>
      <c r="AS89" s="70" t="s">
        <v>444</v>
      </c>
      <c r="AT89" s="71"/>
      <c r="AU89" s="71"/>
      <c r="AV89" s="71"/>
      <c r="AW89" s="71"/>
      <c r="AX89" s="71"/>
      <c r="AY89" s="71"/>
      <c r="AZ89" s="71"/>
      <c r="BA89" s="71"/>
      <c r="BB89" s="70"/>
      <c r="BC89" s="75"/>
      <c r="BD89" s="70"/>
      <c r="BE89" s="70"/>
      <c r="BF89" s="70"/>
      <c r="BG89" s="70"/>
      <c r="BH89" s="70"/>
      <c r="BI89" s="70"/>
      <c r="BJ89" s="70"/>
      <c r="BK89" s="70"/>
      <c r="BL89" s="70"/>
      <c r="BM89" s="71"/>
      <c r="BN89" s="71"/>
      <c r="BO89" s="71"/>
      <c r="BP89" s="71"/>
      <c r="BQ89" s="71"/>
      <c r="BR89" s="71"/>
      <c r="BS89" s="71"/>
      <c r="BT89" s="71"/>
      <c r="BU89" s="71"/>
      <c r="BV89" s="71"/>
      <c r="BW89" s="71"/>
      <c r="BX89" s="71"/>
      <c r="BY89" s="71"/>
      <c r="BZ89" s="71"/>
      <c r="CA89" s="71"/>
      <c r="CB89" s="71"/>
    </row>
    <row r="90" spans="2:80" ht="40" customHeight="1" x14ac:dyDescent="0.35">
      <c r="B90" s="70">
        <v>87</v>
      </c>
      <c r="C90" s="71" t="s">
        <v>46</v>
      </c>
      <c r="D90" s="70" t="s">
        <v>104</v>
      </c>
      <c r="E90" s="70" t="s">
        <v>104</v>
      </c>
      <c r="F90" s="70" t="s">
        <v>110</v>
      </c>
      <c r="G90" s="70" t="s">
        <v>92</v>
      </c>
      <c r="H90" s="70" t="s">
        <v>430</v>
      </c>
      <c r="I90" s="70" t="s">
        <v>997</v>
      </c>
      <c r="J90" s="70" t="s">
        <v>440</v>
      </c>
      <c r="K90" s="70" t="s">
        <v>417</v>
      </c>
      <c r="L90" s="70"/>
      <c r="M90" s="70"/>
      <c r="N90" s="63"/>
      <c r="O90" s="63"/>
      <c r="P90" s="63"/>
      <c r="Q90" s="70"/>
      <c r="R90" s="96"/>
      <c r="S90" s="70"/>
      <c r="T90" s="63"/>
      <c r="U90" s="70"/>
      <c r="V90" s="96"/>
      <c r="W90" s="70"/>
      <c r="X90" s="63"/>
      <c r="Y90" s="63" t="str">
        <f>IF(AND(Table14[[#This Row],[Pre-Feasibility]]=0,Table14[[#This Row],[Pre-Feasibility 2]]=0, Table14[[#This Row],[Feasibility]]=0, Table14[[#This Row],[Feasibility 2]]=0), "No", "Yes")</f>
        <v>No</v>
      </c>
      <c r="Z90" s="63"/>
      <c r="AA90" s="63"/>
      <c r="AB90" s="70"/>
      <c r="AC90" s="70"/>
      <c r="AD90" s="70"/>
      <c r="AE90" s="70" t="s">
        <v>180</v>
      </c>
      <c r="AF90" s="70"/>
      <c r="AG90" s="70" t="s">
        <v>180</v>
      </c>
      <c r="AH90" s="70" t="s">
        <v>180</v>
      </c>
      <c r="AI90" s="70" t="s">
        <v>180</v>
      </c>
      <c r="AJ90" s="70" t="s">
        <v>180</v>
      </c>
      <c r="AK90" s="70">
        <v>153</v>
      </c>
      <c r="AL90" s="250" cm="1">
        <f t="array" ref="AL90">IFERROR(_xlfn.STDEV.P(IF(Table14[[#This Row],[Website Area (Acres)]:[PEZ Other Source (Acre)]]&lt;&gt;0, Table14[[#This Row],[Website Area (Acres)]:[PEZ Other Source (Acre)]], ""))/AVERAGE(IF(Table14[[#This Row],[Website Area (Acres)]:[PEZ Other Source (Acre)]]&lt;&gt;0, Table14[[#This Row],[Website Area (Acres)]:[PEZ Other Source (Acre)]], "")), "")</f>
        <v>0</v>
      </c>
      <c r="AM90" s="70" t="s">
        <v>418</v>
      </c>
      <c r="AN90" s="70"/>
      <c r="AO90" s="70"/>
      <c r="AP90" s="148">
        <v>153</v>
      </c>
      <c r="AQ90" s="148">
        <v>153</v>
      </c>
      <c r="AR90" s="70" t="s">
        <v>447</v>
      </c>
      <c r="AS90" s="70" t="s">
        <v>435</v>
      </c>
      <c r="AT90" s="71"/>
      <c r="AU90" s="71"/>
      <c r="AV90" s="71"/>
      <c r="AW90" s="71"/>
      <c r="AX90" s="71"/>
      <c r="AY90" s="71"/>
      <c r="AZ90" s="71"/>
      <c r="BA90" s="71"/>
      <c r="BB90" s="70"/>
      <c r="BC90" s="75"/>
      <c r="BD90" s="70" t="s">
        <v>1028</v>
      </c>
      <c r="BE90" s="70" t="s">
        <v>852</v>
      </c>
      <c r="BF90" s="70" t="s">
        <v>1046</v>
      </c>
      <c r="BG90" s="70" t="s">
        <v>1047</v>
      </c>
      <c r="BH90" s="70" t="s">
        <v>1048</v>
      </c>
      <c r="BI90" s="70"/>
      <c r="BJ90" s="70"/>
      <c r="BK90" s="70"/>
      <c r="BL90" s="70"/>
      <c r="BM90" s="71"/>
      <c r="BN90" s="71"/>
      <c r="BO90" s="71"/>
      <c r="BP90" s="71"/>
      <c r="BQ90" s="71"/>
      <c r="BR90" s="71"/>
      <c r="BS90" s="71"/>
      <c r="BT90" s="71"/>
      <c r="BU90" s="71"/>
      <c r="BV90" s="71"/>
      <c r="BW90" s="71"/>
      <c r="BX90" s="71"/>
      <c r="BY90" s="71"/>
      <c r="BZ90" s="71"/>
      <c r="CA90" s="71"/>
      <c r="CB90" s="71"/>
    </row>
    <row r="91" spans="2:80" ht="40" customHeight="1" x14ac:dyDescent="0.35">
      <c r="B91" s="70">
        <v>88</v>
      </c>
      <c r="C91" s="71" t="s">
        <v>54</v>
      </c>
      <c r="D91" s="70" t="s">
        <v>76</v>
      </c>
      <c r="E91" s="70" t="s">
        <v>117</v>
      </c>
      <c r="F91" s="70" t="s">
        <v>118</v>
      </c>
      <c r="G91" s="70" t="s">
        <v>92</v>
      </c>
      <c r="H91" s="70" t="s">
        <v>410</v>
      </c>
      <c r="I91" s="70" t="s">
        <v>1007</v>
      </c>
      <c r="J91" s="70" t="s">
        <v>440</v>
      </c>
      <c r="K91" s="70" t="s">
        <v>417</v>
      </c>
      <c r="L91" s="70"/>
      <c r="M91" s="70"/>
      <c r="N91" s="63"/>
      <c r="O91" s="63"/>
      <c r="P91" s="63"/>
      <c r="Q91" s="70"/>
      <c r="R91" s="96"/>
      <c r="S91" s="70"/>
      <c r="T91" s="63"/>
      <c r="U91" s="70"/>
      <c r="V91" s="96"/>
      <c r="W91" s="70"/>
      <c r="X91" s="63"/>
      <c r="Y91" s="63" t="str">
        <f>IF(AND(Table14[[#This Row],[Pre-Feasibility]]=0,Table14[[#This Row],[Pre-Feasibility 2]]=0, Table14[[#This Row],[Feasibility]]=0, Table14[[#This Row],[Feasibility 2]]=0), "No", "Yes")</f>
        <v>No</v>
      </c>
      <c r="Z91" s="63" t="s">
        <v>417</v>
      </c>
      <c r="AA91" s="63"/>
      <c r="AB91" s="70"/>
      <c r="AC91" s="70"/>
      <c r="AD91" s="70"/>
      <c r="AE91" s="70" t="s">
        <v>180</v>
      </c>
      <c r="AF91" s="70"/>
      <c r="AG91" s="70" t="s">
        <v>180</v>
      </c>
      <c r="AH91" s="70" t="s">
        <v>180</v>
      </c>
      <c r="AI91" s="70">
        <v>108057</v>
      </c>
      <c r="AJ91" s="70" t="s">
        <v>180</v>
      </c>
      <c r="AK91" s="70">
        <v>108</v>
      </c>
      <c r="AL91" s="250" cm="1">
        <f t="array" ref="AL91">IFERROR(_xlfn.STDEV.P(IF(Table14[[#This Row],[Website Area (Acres)]:[PEZ Other Source (Acre)]]&lt;&gt;0, Table14[[#This Row],[Website Area (Acres)]:[PEZ Other Source (Acre)]], ""))/AVERAGE(IF(Table14[[#This Row],[Website Area (Acres)]:[PEZ Other Source (Acre)]]&lt;&gt;0, Table14[[#This Row],[Website Area (Acres)]:[PEZ Other Source (Acre)]], "")), "")</f>
        <v>0.99800305089446684</v>
      </c>
      <c r="AM91" s="70" t="s">
        <v>418</v>
      </c>
      <c r="AN91" s="70" t="s">
        <v>1025</v>
      </c>
      <c r="AO91" s="70" t="s">
        <v>1049</v>
      </c>
      <c r="AP91" s="148">
        <v>75.47</v>
      </c>
      <c r="AQ91" s="148">
        <v>75.47</v>
      </c>
      <c r="AR91" s="70" t="s">
        <v>411</v>
      </c>
      <c r="AS91" s="70" t="s">
        <v>412</v>
      </c>
      <c r="AT91" s="71"/>
      <c r="AU91" s="71"/>
      <c r="AV91" s="71"/>
      <c r="AW91" s="71"/>
      <c r="AX91" s="71"/>
      <c r="AY91" s="71"/>
      <c r="AZ91" s="71"/>
      <c r="BA91" s="71"/>
      <c r="BB91" s="70"/>
      <c r="BC91" s="75"/>
      <c r="BD91" s="70" t="s">
        <v>848</v>
      </c>
      <c r="BE91" s="70" t="s">
        <v>1050</v>
      </c>
      <c r="BF91" s="70" t="s">
        <v>1051</v>
      </c>
      <c r="BG91" s="70" t="s">
        <v>1052</v>
      </c>
      <c r="BH91" s="70" t="s">
        <v>940</v>
      </c>
      <c r="BI91" s="70" t="s">
        <v>852</v>
      </c>
      <c r="BJ91" s="70" t="s">
        <v>1009</v>
      </c>
      <c r="BK91" s="70" t="s">
        <v>1053</v>
      </c>
      <c r="BL91" s="70"/>
      <c r="BM91" s="71"/>
      <c r="BN91" s="71"/>
      <c r="BO91" s="71"/>
      <c r="BP91" s="71"/>
      <c r="BQ91" s="71"/>
      <c r="BR91" s="71"/>
      <c r="BS91" s="71"/>
      <c r="BT91" s="71"/>
      <c r="BU91" s="71"/>
      <c r="BV91" s="71"/>
      <c r="BW91" s="71"/>
      <c r="BX91" s="71"/>
      <c r="BY91" s="71"/>
      <c r="BZ91" s="71"/>
      <c r="CA91" s="71"/>
      <c r="CB91" s="71"/>
    </row>
    <row r="92" spans="2:80" ht="40" customHeight="1" x14ac:dyDescent="0.35">
      <c r="B92" s="70">
        <v>89</v>
      </c>
      <c r="C92" s="71" t="s">
        <v>32</v>
      </c>
      <c r="D92" s="70" t="s">
        <v>68</v>
      </c>
      <c r="E92" s="70" t="s">
        <v>68</v>
      </c>
      <c r="F92" s="70" t="s">
        <v>81</v>
      </c>
      <c r="G92" s="70" t="s">
        <v>92</v>
      </c>
      <c r="H92" s="70" t="s">
        <v>410</v>
      </c>
      <c r="I92" s="70" t="s">
        <v>1007</v>
      </c>
      <c r="J92" s="70" t="s">
        <v>440</v>
      </c>
      <c r="K92" s="70" t="s">
        <v>417</v>
      </c>
      <c r="L92" s="109" t="s">
        <v>643</v>
      </c>
      <c r="M92" s="70"/>
      <c r="N92" s="63"/>
      <c r="O92" s="63"/>
      <c r="P92" s="63"/>
      <c r="Q92" s="70"/>
      <c r="R92" s="96"/>
      <c r="S92" s="70"/>
      <c r="T92" s="63"/>
      <c r="U92" s="70"/>
      <c r="V92" s="96"/>
      <c r="W92" s="70"/>
      <c r="X92" s="63"/>
      <c r="Y92" s="63" t="str">
        <f>IF(AND(Table14[[#This Row],[Pre-Feasibility]]=0,Table14[[#This Row],[Pre-Feasibility 2]]=0, Table14[[#This Row],[Feasibility]]=0, Table14[[#This Row],[Feasibility 2]]=0), "No", "Yes")</f>
        <v>No</v>
      </c>
      <c r="Z92" s="63" t="s">
        <v>417</v>
      </c>
      <c r="AA92" s="63"/>
      <c r="AB92" s="70"/>
      <c r="AC92" s="70"/>
      <c r="AD92" s="70"/>
      <c r="AE92" s="70" t="s">
        <v>180</v>
      </c>
      <c r="AF92" s="70"/>
      <c r="AG92" s="70" t="s">
        <v>180</v>
      </c>
      <c r="AH92" s="70" t="s">
        <v>180</v>
      </c>
      <c r="AI92" s="70">
        <v>160861</v>
      </c>
      <c r="AJ92" s="70" t="s">
        <v>180</v>
      </c>
      <c r="AK92" s="70">
        <v>20.98</v>
      </c>
      <c r="AL92" s="250" cm="1">
        <f t="array" ref="AL92">IFERROR(_xlfn.STDEV.P(IF(Table14[[#This Row],[Website Area (Acres)]:[PEZ Other Source (Acre)]]&lt;&gt;0, Table14[[#This Row],[Website Area (Acres)]:[PEZ Other Source (Acre)]], ""))/AVERAGE(IF(Table14[[#This Row],[Website Area (Acres)]:[PEZ Other Source (Acre)]]&lt;&gt;0, Table14[[#This Row],[Website Area (Acres)]:[PEZ Other Source (Acre)]], "")), "")</f>
        <v>0.9997391876952284</v>
      </c>
      <c r="AM92" s="70" t="s">
        <v>418</v>
      </c>
      <c r="AN92" s="70" t="s">
        <v>1025</v>
      </c>
      <c r="AO92" s="70" t="s">
        <v>1054</v>
      </c>
      <c r="AP92" s="148">
        <v>65.239999999999995</v>
      </c>
      <c r="AQ92" s="148">
        <v>65.247799999999998</v>
      </c>
      <c r="AR92" s="70" t="s">
        <v>411</v>
      </c>
      <c r="AS92" s="70" t="s">
        <v>412</v>
      </c>
      <c r="AT92" s="71"/>
      <c r="AU92" s="71"/>
      <c r="AV92" s="71"/>
      <c r="AW92" s="71"/>
      <c r="AX92" s="71"/>
      <c r="AY92" s="71"/>
      <c r="AZ92" s="71"/>
      <c r="BA92" s="71"/>
      <c r="BB92" s="70"/>
      <c r="BC92" s="75"/>
      <c r="BD92" s="70" t="s">
        <v>1018</v>
      </c>
      <c r="BE92" s="70"/>
      <c r="BF92" s="70"/>
      <c r="BG92" s="70"/>
      <c r="BH92" s="70"/>
      <c r="BI92" s="70"/>
      <c r="BJ92" s="70"/>
      <c r="BK92" s="70"/>
      <c r="BL92" s="70"/>
      <c r="BM92" s="71"/>
      <c r="BN92" s="71"/>
      <c r="BO92" s="71"/>
      <c r="BP92" s="71"/>
      <c r="BQ92" s="71"/>
      <c r="BR92" s="71"/>
      <c r="BS92" s="71"/>
      <c r="BT92" s="71"/>
      <c r="BU92" s="71"/>
      <c r="BV92" s="71"/>
      <c r="BW92" s="71"/>
      <c r="BX92" s="71"/>
      <c r="BY92" s="71"/>
      <c r="BZ92" s="71"/>
      <c r="CA92" s="71"/>
      <c r="CB92" s="71"/>
    </row>
    <row r="93" spans="2:80" ht="40" customHeight="1" x14ac:dyDescent="0.35">
      <c r="B93" s="70">
        <v>90</v>
      </c>
      <c r="C93" s="71" t="s">
        <v>47</v>
      </c>
      <c r="D93" s="70" t="s">
        <v>68</v>
      </c>
      <c r="E93" s="70" t="s">
        <v>68</v>
      </c>
      <c r="F93" s="70" t="s">
        <v>111</v>
      </c>
      <c r="G93" s="70" t="s">
        <v>92</v>
      </c>
      <c r="H93" s="70" t="s">
        <v>430</v>
      </c>
      <c r="I93" s="70" t="s">
        <v>997</v>
      </c>
      <c r="J93" s="70" t="s">
        <v>440</v>
      </c>
      <c r="K93" s="70" t="s">
        <v>417</v>
      </c>
      <c r="L93" s="70"/>
      <c r="M93" s="70"/>
      <c r="N93" s="63"/>
      <c r="O93" s="63"/>
      <c r="P93" s="63"/>
      <c r="Q93" s="70"/>
      <c r="R93" s="96"/>
      <c r="S93" s="70"/>
      <c r="T93" s="63"/>
      <c r="U93" s="70"/>
      <c r="V93" s="96"/>
      <c r="W93" s="70"/>
      <c r="X93" s="63"/>
      <c r="Y93" s="63" t="str">
        <f>IF(AND(Table14[[#This Row],[Pre-Feasibility]]=0,Table14[[#This Row],[Pre-Feasibility 2]]=0, Table14[[#This Row],[Feasibility]]=0, Table14[[#This Row],[Feasibility 2]]=0), "No", "Yes")</f>
        <v>No</v>
      </c>
      <c r="Z93" s="63"/>
      <c r="AA93" s="63"/>
      <c r="AB93" s="70"/>
      <c r="AC93" s="70"/>
      <c r="AD93" s="70"/>
      <c r="AE93" s="70" t="s">
        <v>180</v>
      </c>
      <c r="AF93" s="70"/>
      <c r="AG93" s="70" t="s">
        <v>180</v>
      </c>
      <c r="AH93" s="70" t="s">
        <v>180</v>
      </c>
      <c r="AI93" s="70" t="s">
        <v>180</v>
      </c>
      <c r="AJ93" s="70" t="s">
        <v>180</v>
      </c>
      <c r="AK93" s="70" t="s">
        <v>180</v>
      </c>
      <c r="AL93" s="250" t="str" cm="1">
        <f t="array" ref="AL93">IFERROR(_xlfn.STDEV.P(IF(Table14[[#This Row],[Website Area (Acres)]:[PEZ Other Source (Acre)]]&lt;&gt;0, Table14[[#This Row],[Website Area (Acres)]:[PEZ Other Source (Acre)]], ""))/AVERAGE(IF(Table14[[#This Row],[Website Area (Acres)]:[PEZ Other Source (Acre)]]&lt;&gt;0, Table14[[#This Row],[Website Area (Acres)]:[PEZ Other Source (Acre)]], "")), "")</f>
        <v/>
      </c>
      <c r="AM93" s="70" t="s">
        <v>837</v>
      </c>
      <c r="AN93" s="70" t="s">
        <v>837</v>
      </c>
      <c r="AO93" s="70" t="s">
        <v>1055</v>
      </c>
      <c r="AP93" s="148">
        <v>130.6</v>
      </c>
      <c r="AQ93" s="148">
        <v>130.62530000000001</v>
      </c>
      <c r="AR93" s="70" t="s">
        <v>447</v>
      </c>
      <c r="AS93" s="70" t="s">
        <v>435</v>
      </c>
      <c r="AT93" s="71"/>
      <c r="AU93" s="71"/>
      <c r="AV93" s="71"/>
      <c r="AW93" s="71"/>
      <c r="AX93" s="71"/>
      <c r="AY93" s="71"/>
      <c r="AZ93" s="71"/>
      <c r="BA93" s="71"/>
      <c r="BB93" s="70"/>
      <c r="BC93" s="75"/>
      <c r="BD93" s="70"/>
      <c r="BE93" s="70"/>
      <c r="BF93" s="70"/>
      <c r="BG93" s="70"/>
      <c r="BH93" s="70"/>
      <c r="BI93" s="70"/>
      <c r="BJ93" s="70"/>
      <c r="BK93" s="70"/>
      <c r="BL93" s="70"/>
      <c r="BM93" s="71"/>
      <c r="BN93" s="71"/>
      <c r="BO93" s="71"/>
      <c r="BP93" s="71"/>
      <c r="BQ93" s="71"/>
      <c r="BR93" s="71"/>
      <c r="BS93" s="71"/>
      <c r="BT93" s="71"/>
      <c r="BU93" s="71"/>
      <c r="BV93" s="71"/>
      <c r="BW93" s="71"/>
      <c r="BX93" s="71"/>
      <c r="BY93" s="71"/>
      <c r="BZ93" s="71"/>
      <c r="CA93" s="71"/>
      <c r="CB93" s="71"/>
    </row>
    <row r="94" spans="2:80" ht="40" customHeight="1" x14ac:dyDescent="0.35">
      <c r="B94" s="70">
        <v>91</v>
      </c>
      <c r="C94" s="71" t="s">
        <v>188</v>
      </c>
      <c r="D94" s="70" t="s">
        <v>76</v>
      </c>
      <c r="E94" s="70" t="s">
        <v>189</v>
      </c>
      <c r="F94" s="70" t="s">
        <v>190</v>
      </c>
      <c r="G94" s="70" t="s">
        <v>92</v>
      </c>
      <c r="H94" s="70" t="s">
        <v>410</v>
      </c>
      <c r="I94" s="70" t="s">
        <v>1007</v>
      </c>
      <c r="J94" s="70" t="s">
        <v>440</v>
      </c>
      <c r="K94" s="70" t="s">
        <v>417</v>
      </c>
      <c r="L94" s="109" t="s">
        <v>643</v>
      </c>
      <c r="M94" s="70"/>
      <c r="N94" s="63"/>
      <c r="O94" s="63"/>
      <c r="P94" s="63"/>
      <c r="Q94" s="70"/>
      <c r="R94" s="96"/>
      <c r="S94" s="70"/>
      <c r="T94" s="63"/>
      <c r="U94" s="70"/>
      <c r="V94" s="96"/>
      <c r="W94" s="70"/>
      <c r="X94" s="63"/>
      <c r="Y94" s="63" t="str">
        <f>IF(AND(Table14[[#This Row],[Pre-Feasibility]]=0,Table14[[#This Row],[Pre-Feasibility 2]]=0, Table14[[#This Row],[Feasibility]]=0, Table14[[#This Row],[Feasibility 2]]=0), "No", "Yes")</f>
        <v>No</v>
      </c>
      <c r="Z94" s="63" t="s">
        <v>417</v>
      </c>
      <c r="AA94" s="63"/>
      <c r="AB94" s="70"/>
      <c r="AC94" s="70"/>
      <c r="AD94" s="70"/>
      <c r="AE94" s="70" t="s">
        <v>180</v>
      </c>
      <c r="AF94" s="70"/>
      <c r="AG94" s="70" t="s">
        <v>180</v>
      </c>
      <c r="AH94" s="70" t="s">
        <v>180</v>
      </c>
      <c r="AI94" s="70">
        <v>91.63</v>
      </c>
      <c r="AJ94" s="70" t="s">
        <v>180</v>
      </c>
      <c r="AK94" s="70">
        <v>91.63</v>
      </c>
      <c r="AL94" s="250" cm="1">
        <f t="array" ref="AL94">IFERROR(_xlfn.STDEV.P(IF(Table14[[#This Row],[Website Area (Acres)]:[PEZ Other Source (Acre)]]&lt;&gt;0, Table14[[#This Row],[Website Area (Acres)]:[PEZ Other Source (Acre)]], ""))/AVERAGE(IF(Table14[[#This Row],[Website Area (Acres)]:[PEZ Other Source (Acre)]]&lt;&gt;0, Table14[[#This Row],[Website Area (Acres)]:[PEZ Other Source (Acre)]], "")), "")</f>
        <v>0</v>
      </c>
      <c r="AM94" s="70" t="s">
        <v>418</v>
      </c>
      <c r="AN94" s="70"/>
      <c r="AO94" s="70"/>
      <c r="AP94" s="148">
        <v>91.63</v>
      </c>
      <c r="AQ94" s="148">
        <v>92</v>
      </c>
      <c r="AR94" s="70" t="s">
        <v>463</v>
      </c>
      <c r="AS94" s="70" t="s">
        <v>412</v>
      </c>
      <c r="AT94" s="71"/>
      <c r="AU94" s="71"/>
      <c r="AV94" s="71"/>
      <c r="AW94" s="71"/>
      <c r="AX94" s="71"/>
      <c r="AY94" s="71"/>
      <c r="AZ94" s="71"/>
      <c r="BA94" s="71"/>
      <c r="BB94" s="70"/>
      <c r="BC94" s="75"/>
      <c r="BD94" s="70" t="s">
        <v>1009</v>
      </c>
      <c r="BE94" s="70"/>
      <c r="BF94" s="70"/>
      <c r="BG94" s="70"/>
      <c r="BH94" s="70"/>
      <c r="BI94" s="70"/>
      <c r="BJ94" s="70"/>
      <c r="BK94" s="70"/>
      <c r="BL94" s="70"/>
      <c r="BM94" s="71"/>
      <c r="BN94" s="71"/>
      <c r="BO94" s="71"/>
      <c r="BP94" s="71"/>
      <c r="BQ94" s="71"/>
      <c r="BR94" s="71"/>
      <c r="BS94" s="71"/>
      <c r="BT94" s="71"/>
      <c r="BU94" s="71"/>
      <c r="BV94" s="71"/>
      <c r="BW94" s="71"/>
      <c r="BX94" s="71"/>
      <c r="BY94" s="71"/>
      <c r="BZ94" s="71"/>
      <c r="CA94" s="71"/>
      <c r="CB94" s="71"/>
    </row>
    <row r="95" spans="2:80" ht="40" customHeight="1" x14ac:dyDescent="0.35">
      <c r="B95" s="70">
        <v>92</v>
      </c>
      <c r="C95" s="71" t="s">
        <v>39</v>
      </c>
      <c r="D95" s="70" t="s">
        <v>76</v>
      </c>
      <c r="E95" s="70" t="s">
        <v>77</v>
      </c>
      <c r="F95" s="70" t="s">
        <v>93</v>
      </c>
      <c r="G95" s="70" t="s">
        <v>92</v>
      </c>
      <c r="H95" s="70" t="s">
        <v>410</v>
      </c>
      <c r="I95" s="70" t="s">
        <v>1007</v>
      </c>
      <c r="J95" s="70" t="s">
        <v>440</v>
      </c>
      <c r="K95" s="70" t="s">
        <v>417</v>
      </c>
      <c r="L95" s="109" t="s">
        <v>643</v>
      </c>
      <c r="M95" s="70"/>
      <c r="N95" s="63"/>
      <c r="O95" s="63"/>
      <c r="P95" s="63"/>
      <c r="Q95" s="70"/>
      <c r="R95" s="96"/>
      <c r="S95" s="70"/>
      <c r="T95" s="63"/>
      <c r="U95" s="70"/>
      <c r="V95" s="96"/>
      <c r="W95" s="70"/>
      <c r="X95" s="63"/>
      <c r="Y95" s="63" t="str">
        <f>IF(AND(Table14[[#This Row],[Pre-Feasibility]]=0,Table14[[#This Row],[Pre-Feasibility 2]]=0, Table14[[#This Row],[Feasibility]]=0, Table14[[#This Row],[Feasibility 2]]=0), "No", "Yes")</f>
        <v>No</v>
      </c>
      <c r="Z95" s="63" t="s">
        <v>417</v>
      </c>
      <c r="AA95" s="63"/>
      <c r="AB95" s="70"/>
      <c r="AC95" s="70"/>
      <c r="AD95" s="70"/>
      <c r="AE95" s="70" t="s">
        <v>180</v>
      </c>
      <c r="AF95" s="70"/>
      <c r="AG95" s="70" t="s">
        <v>180</v>
      </c>
      <c r="AH95" s="70" t="s">
        <v>180</v>
      </c>
      <c r="AI95" s="70">
        <v>67.916300000000007</v>
      </c>
      <c r="AJ95" s="70" t="s">
        <v>180</v>
      </c>
      <c r="AK95" s="70">
        <v>67.92</v>
      </c>
      <c r="AL95" s="250" cm="1">
        <f t="array" ref="AL95">IFERROR(_xlfn.STDEV.P(IF(Table14[[#This Row],[Website Area (Acres)]:[PEZ Other Source (Acre)]]&lt;&gt;0, Table14[[#This Row],[Website Area (Acres)]:[PEZ Other Source (Acre)]], ""))/AVERAGE(IF(Table14[[#This Row],[Website Area (Acres)]:[PEZ Other Source (Acre)]]&lt;&gt;0, Table14[[#This Row],[Website Area (Acres)]:[PEZ Other Source (Acre)]], "")), "")</f>
        <v>2.7238668897746256E-5</v>
      </c>
      <c r="AM95" s="70" t="s">
        <v>418</v>
      </c>
      <c r="AN95" s="70"/>
      <c r="AO95" s="70"/>
      <c r="AP95" s="148">
        <v>67.92</v>
      </c>
      <c r="AQ95" s="148">
        <v>67.916300000000007</v>
      </c>
      <c r="AR95" s="70" t="s">
        <v>411</v>
      </c>
      <c r="AS95" s="70" t="s">
        <v>412</v>
      </c>
      <c r="AT95" s="71"/>
      <c r="AU95" s="71"/>
      <c r="AV95" s="71"/>
      <c r="AW95" s="71"/>
      <c r="AX95" s="71"/>
      <c r="AY95" s="71"/>
      <c r="AZ95" s="71"/>
      <c r="BA95" s="71"/>
      <c r="BB95" s="70"/>
      <c r="BC95" s="75"/>
      <c r="BD95" s="70" t="s">
        <v>1028</v>
      </c>
      <c r="BE95" s="70" t="s">
        <v>1056</v>
      </c>
      <c r="BF95" s="70" t="s">
        <v>1057</v>
      </c>
      <c r="BG95" s="70" t="s">
        <v>1005</v>
      </c>
      <c r="BH95" s="70" t="s">
        <v>1014</v>
      </c>
      <c r="BI95" s="70" t="s">
        <v>839</v>
      </c>
      <c r="BJ95" s="70" t="s">
        <v>848</v>
      </c>
      <c r="BK95" s="70"/>
      <c r="BL95" s="70"/>
      <c r="BM95" s="71"/>
      <c r="BN95" s="71"/>
      <c r="BO95" s="71"/>
      <c r="BP95" s="71"/>
      <c r="BQ95" s="71"/>
      <c r="BR95" s="71"/>
      <c r="BS95" s="71"/>
      <c r="BT95" s="71"/>
      <c r="BU95" s="71"/>
      <c r="BV95" s="71"/>
      <c r="BW95" s="71"/>
      <c r="BX95" s="71"/>
      <c r="BY95" s="71"/>
      <c r="BZ95" s="71"/>
      <c r="CA95" s="71"/>
      <c r="CB95" s="71"/>
    </row>
    <row r="96" spans="2:80" ht="40" customHeight="1" x14ac:dyDescent="0.35">
      <c r="B96" s="70">
        <v>93</v>
      </c>
      <c r="C96" s="71" t="s">
        <v>35</v>
      </c>
      <c r="D96" s="70" t="s">
        <v>76</v>
      </c>
      <c r="E96" s="70" t="s">
        <v>77</v>
      </c>
      <c r="F96" s="70" t="s">
        <v>93</v>
      </c>
      <c r="G96" s="70" t="s">
        <v>92</v>
      </c>
      <c r="H96" s="70" t="s">
        <v>410</v>
      </c>
      <c r="I96" s="70" t="s">
        <v>1007</v>
      </c>
      <c r="J96" s="70" t="s">
        <v>440</v>
      </c>
      <c r="K96" s="70" t="s">
        <v>417</v>
      </c>
      <c r="L96" s="109" t="s">
        <v>643</v>
      </c>
      <c r="M96" s="70"/>
      <c r="N96" s="63"/>
      <c r="O96" s="63"/>
      <c r="P96" s="63"/>
      <c r="Q96" s="70"/>
      <c r="R96" s="96"/>
      <c r="S96" s="70"/>
      <c r="T96" s="63"/>
      <c r="U96" s="70"/>
      <c r="V96" s="96"/>
      <c r="W96" s="70"/>
      <c r="X96" s="63"/>
      <c r="Y96" s="63" t="str">
        <f>IF(AND(Table14[[#This Row],[Pre-Feasibility]]=0,Table14[[#This Row],[Pre-Feasibility 2]]=0, Table14[[#This Row],[Feasibility]]=0, Table14[[#This Row],[Feasibility 2]]=0), "No", "Yes")</f>
        <v>No</v>
      </c>
      <c r="Z96" s="63" t="s">
        <v>417</v>
      </c>
      <c r="AA96" s="63" t="s">
        <v>417</v>
      </c>
      <c r="AB96" s="70"/>
      <c r="AC96" s="70"/>
      <c r="AD96" s="70"/>
      <c r="AE96" s="70" t="s">
        <v>180</v>
      </c>
      <c r="AF96" s="70"/>
      <c r="AG96" s="70" t="s">
        <v>180</v>
      </c>
      <c r="AH96" s="70" t="s">
        <v>180</v>
      </c>
      <c r="AI96" s="70">
        <v>892726</v>
      </c>
      <c r="AJ96" s="70">
        <v>96.98</v>
      </c>
      <c r="AK96" s="70">
        <v>110</v>
      </c>
      <c r="AL96" s="250" cm="1">
        <f t="array" ref="AL96">IFERROR(_xlfn.STDEV.P(IF(Table14[[#This Row],[Website Area (Acres)]:[PEZ Other Source (Acre)]]&lt;&gt;0, Table14[[#This Row],[Website Area (Acres)]:[PEZ Other Source (Acre)]], ""))/AVERAGE(IF(Table14[[#This Row],[Website Area (Acres)]:[PEZ Other Source (Acre)]]&lt;&gt;0, Table14[[#This Row],[Website Area (Acres)]:[PEZ Other Source (Acre)]], "")), "")</f>
        <v>1.4137218448603279</v>
      </c>
      <c r="AM96" s="70" t="s">
        <v>418</v>
      </c>
      <c r="AN96" s="70" t="s">
        <v>1025</v>
      </c>
      <c r="AO96" s="70" t="s">
        <v>1019</v>
      </c>
      <c r="AP96" s="148">
        <v>110</v>
      </c>
      <c r="AQ96" s="148">
        <v>80</v>
      </c>
      <c r="AR96" s="70" t="s">
        <v>411</v>
      </c>
      <c r="AS96" s="70" t="s">
        <v>412</v>
      </c>
      <c r="AT96" s="71"/>
      <c r="AU96" s="71"/>
      <c r="AV96" s="71"/>
      <c r="AW96" s="71"/>
      <c r="AX96" s="71"/>
      <c r="AY96" s="71"/>
      <c r="AZ96" s="71"/>
      <c r="BA96" s="71"/>
      <c r="BB96" s="70"/>
      <c r="BC96" s="75"/>
      <c r="BD96" s="70" t="s">
        <v>1058</v>
      </c>
      <c r="BE96" s="70" t="s">
        <v>1059</v>
      </c>
      <c r="BF96" s="70" t="s">
        <v>1004</v>
      </c>
      <c r="BG96" s="70" t="s">
        <v>1005</v>
      </c>
      <c r="BH96" s="70" t="s">
        <v>961</v>
      </c>
      <c r="BI96" s="70" t="s">
        <v>1041</v>
      </c>
      <c r="BJ96" s="70"/>
      <c r="BK96" s="70"/>
      <c r="BL96" s="70"/>
      <c r="BM96" s="71"/>
      <c r="BN96" s="71"/>
      <c r="BO96" s="71"/>
      <c r="BP96" s="71"/>
      <c r="BQ96" s="71"/>
      <c r="BR96" s="71"/>
      <c r="BS96" s="71"/>
      <c r="BT96" s="71"/>
      <c r="BU96" s="71"/>
      <c r="BV96" s="71"/>
      <c r="BW96" s="71"/>
      <c r="BX96" s="71"/>
      <c r="BY96" s="71"/>
      <c r="BZ96" s="71"/>
      <c r="CA96" s="71"/>
      <c r="CB96" s="71"/>
    </row>
    <row r="97" spans="2:80" ht="40" customHeight="1" x14ac:dyDescent="0.35">
      <c r="B97" s="70">
        <v>94</v>
      </c>
      <c r="C97" s="71" t="s">
        <v>145</v>
      </c>
      <c r="D97" s="70" t="s">
        <v>113</v>
      </c>
      <c r="E97" s="70" t="s">
        <v>146</v>
      </c>
      <c r="F97" s="70" t="s">
        <v>147</v>
      </c>
      <c r="G97" s="70" t="s">
        <v>92</v>
      </c>
      <c r="H97" s="70" t="s">
        <v>410</v>
      </c>
      <c r="I97" s="70" t="s">
        <v>1007</v>
      </c>
      <c r="J97" s="70" t="s">
        <v>440</v>
      </c>
      <c r="K97" s="70" t="s">
        <v>417</v>
      </c>
      <c r="L97" s="109" t="s">
        <v>643</v>
      </c>
      <c r="M97" s="70"/>
      <c r="N97" s="63"/>
      <c r="O97" s="63"/>
      <c r="P97" s="63"/>
      <c r="Q97" s="70"/>
      <c r="R97" s="96"/>
      <c r="S97" s="70"/>
      <c r="T97" s="63"/>
      <c r="U97" s="70"/>
      <c r="V97" s="96"/>
      <c r="W97" s="70"/>
      <c r="X97" s="63"/>
      <c r="Y97" s="63" t="str">
        <f>IF(AND(Table14[[#This Row],[Pre-Feasibility]]=0,Table14[[#This Row],[Pre-Feasibility 2]]=0, Table14[[#This Row],[Feasibility]]=0, Table14[[#This Row],[Feasibility 2]]=0), "No", "Yes")</f>
        <v>No</v>
      </c>
      <c r="Z97" s="63" t="s">
        <v>417</v>
      </c>
      <c r="AA97" s="63"/>
      <c r="AB97" s="70"/>
      <c r="AC97" s="70"/>
      <c r="AD97" s="70"/>
      <c r="AE97" s="70" t="s">
        <v>180</v>
      </c>
      <c r="AF97" s="70"/>
      <c r="AG97" s="70" t="s">
        <v>180</v>
      </c>
      <c r="AH97" s="70" t="s">
        <v>180</v>
      </c>
      <c r="AI97" s="70">
        <v>1035.93</v>
      </c>
      <c r="AJ97" s="70" t="s">
        <v>180</v>
      </c>
      <c r="AK97" s="70">
        <v>1035.93</v>
      </c>
      <c r="AL97" s="250" cm="1">
        <f t="array" ref="AL97">IFERROR(_xlfn.STDEV.P(IF(Table14[[#This Row],[Website Area (Acres)]:[PEZ Other Source (Acre)]]&lt;&gt;0, Table14[[#This Row],[Website Area (Acres)]:[PEZ Other Source (Acre)]], ""))/AVERAGE(IF(Table14[[#This Row],[Website Area (Acres)]:[PEZ Other Source (Acre)]]&lt;&gt;0, Table14[[#This Row],[Website Area (Acres)]:[PEZ Other Source (Acre)]], "")), "")</f>
        <v>0</v>
      </c>
      <c r="AM97" s="70" t="s">
        <v>418</v>
      </c>
      <c r="AN97" s="70" t="s">
        <v>1031</v>
      </c>
      <c r="AO97" s="70" t="s">
        <v>1060</v>
      </c>
      <c r="AP97" s="148">
        <v>1035.93</v>
      </c>
      <c r="AQ97" s="148">
        <v>1035.93</v>
      </c>
      <c r="AR97" s="70" t="s">
        <v>463</v>
      </c>
      <c r="AS97" s="70" t="s">
        <v>412</v>
      </c>
      <c r="AT97" s="71"/>
      <c r="AU97" s="71"/>
      <c r="AV97" s="71"/>
      <c r="AW97" s="71"/>
      <c r="AX97" s="71"/>
      <c r="AY97" s="71"/>
      <c r="AZ97" s="71"/>
      <c r="BA97" s="71"/>
      <c r="BB97" s="70"/>
      <c r="BC97" s="75"/>
      <c r="BD97" s="70" t="s">
        <v>1000</v>
      </c>
      <c r="BE97" s="70" t="s">
        <v>1028</v>
      </c>
      <c r="BF97" s="70" t="s">
        <v>839</v>
      </c>
      <c r="BG97" s="70" t="s">
        <v>1061</v>
      </c>
      <c r="BH97" s="70" t="s">
        <v>1062</v>
      </c>
      <c r="BI97" s="70" t="s">
        <v>1041</v>
      </c>
      <c r="BJ97" s="70" t="s">
        <v>1057</v>
      </c>
      <c r="BK97" s="70" t="s">
        <v>1018</v>
      </c>
      <c r="BL97" s="70"/>
      <c r="BM97" s="71"/>
      <c r="BN97" s="71"/>
      <c r="BO97" s="71"/>
      <c r="BP97" s="71"/>
      <c r="BQ97" s="71"/>
      <c r="BR97" s="71"/>
      <c r="BS97" s="71"/>
      <c r="BT97" s="71"/>
      <c r="BU97" s="71"/>
      <c r="BV97" s="71"/>
      <c r="BW97" s="71"/>
      <c r="BX97" s="71"/>
      <c r="BY97" s="71"/>
      <c r="BZ97" s="71"/>
      <c r="CA97" s="71"/>
      <c r="CB97" s="71"/>
    </row>
    <row r="98" spans="2:80" ht="40" customHeight="1" x14ac:dyDescent="0.35">
      <c r="B98" s="70">
        <v>95</v>
      </c>
      <c r="C98" s="71" t="s">
        <v>51</v>
      </c>
      <c r="D98" s="70" t="s">
        <v>76</v>
      </c>
      <c r="E98" s="70" t="s">
        <v>77</v>
      </c>
      <c r="F98" s="70" t="s">
        <v>93</v>
      </c>
      <c r="G98" s="70" t="s">
        <v>92</v>
      </c>
      <c r="H98" s="70" t="s">
        <v>410</v>
      </c>
      <c r="I98" s="70" t="s">
        <v>1002</v>
      </c>
      <c r="J98" s="70" t="s">
        <v>440</v>
      </c>
      <c r="K98" s="70" t="s">
        <v>417</v>
      </c>
      <c r="L98" s="70"/>
      <c r="M98" s="70"/>
      <c r="N98" s="63"/>
      <c r="O98" s="63"/>
      <c r="P98" s="63"/>
      <c r="Q98" s="70"/>
      <c r="R98" s="96"/>
      <c r="S98" s="70"/>
      <c r="T98" s="63"/>
      <c r="U98" s="70"/>
      <c r="V98" s="96"/>
      <c r="W98" s="70"/>
      <c r="X98" s="63"/>
      <c r="Y98" s="63" t="str">
        <f>IF(AND(Table14[[#This Row],[Pre-Feasibility]]=0,Table14[[#This Row],[Pre-Feasibility 2]]=0, Table14[[#This Row],[Feasibility]]=0, Table14[[#This Row],[Feasibility 2]]=0), "No", "Yes")</f>
        <v>No</v>
      </c>
      <c r="Z98" s="63"/>
      <c r="AA98" s="63"/>
      <c r="AB98" s="70"/>
      <c r="AC98" s="70"/>
      <c r="AD98" s="70"/>
      <c r="AE98" s="70" t="s">
        <v>180</v>
      </c>
      <c r="AF98" s="70"/>
      <c r="AG98" s="70" t="s">
        <v>180</v>
      </c>
      <c r="AH98" s="70" t="s">
        <v>180</v>
      </c>
      <c r="AI98" s="70" t="s">
        <v>180</v>
      </c>
      <c r="AJ98" s="70" t="s">
        <v>180</v>
      </c>
      <c r="AK98" s="70">
        <v>450</v>
      </c>
      <c r="AL98" s="250" cm="1">
        <f t="array" ref="AL98">IFERROR(_xlfn.STDEV.P(IF(Table14[[#This Row],[Website Area (Acres)]:[PEZ Other Source (Acre)]]&lt;&gt;0, Table14[[#This Row],[Website Area (Acres)]:[PEZ Other Source (Acre)]], ""))/AVERAGE(IF(Table14[[#This Row],[Website Area (Acres)]:[PEZ Other Source (Acre)]]&lt;&gt;0, Table14[[#This Row],[Website Area (Acres)]:[PEZ Other Source (Acre)]], "")), "")</f>
        <v>0</v>
      </c>
      <c r="AM98" s="70" t="s">
        <v>418</v>
      </c>
      <c r="AN98" s="70" t="s">
        <v>998</v>
      </c>
      <c r="AO98" s="70" t="s">
        <v>1063</v>
      </c>
      <c r="AP98" s="148">
        <v>450</v>
      </c>
      <c r="AQ98" s="148">
        <v>300</v>
      </c>
      <c r="AR98" s="70" t="s">
        <v>450</v>
      </c>
      <c r="AS98" s="70" t="s">
        <v>435</v>
      </c>
      <c r="AT98" s="71"/>
      <c r="AU98" s="71"/>
      <c r="AV98" s="71"/>
      <c r="AW98" s="71"/>
      <c r="AX98" s="71"/>
      <c r="AY98" s="71"/>
      <c r="AZ98" s="71"/>
      <c r="BA98" s="71"/>
      <c r="BB98" s="70"/>
      <c r="BC98" s="75"/>
      <c r="BD98" s="70"/>
      <c r="BE98" s="70"/>
      <c r="BF98" s="70"/>
      <c r="BG98" s="70"/>
      <c r="BH98" s="70"/>
      <c r="BI98" s="70"/>
      <c r="BJ98" s="70"/>
      <c r="BK98" s="70"/>
      <c r="BL98" s="70"/>
      <c r="BM98" s="71"/>
      <c r="BN98" s="71"/>
      <c r="BO98" s="71"/>
      <c r="BP98" s="71"/>
      <c r="BQ98" s="71"/>
      <c r="BR98" s="71"/>
      <c r="BS98" s="71"/>
      <c r="BT98" s="71"/>
      <c r="BU98" s="71"/>
      <c r="BV98" s="71"/>
      <c r="BW98" s="71"/>
      <c r="BX98" s="71"/>
      <c r="BY98" s="71"/>
      <c r="BZ98" s="71"/>
      <c r="CA98" s="71"/>
      <c r="CB98" s="71"/>
    </row>
    <row r="99" spans="2:80" ht="40" customHeight="1" x14ac:dyDescent="0.35">
      <c r="B99" s="70">
        <v>96</v>
      </c>
      <c r="C99" s="71" t="s">
        <v>160</v>
      </c>
      <c r="D99" s="70" t="s">
        <v>76</v>
      </c>
      <c r="E99" s="70" t="s">
        <v>117</v>
      </c>
      <c r="F99" s="70" t="s">
        <v>118</v>
      </c>
      <c r="G99" s="70" t="s">
        <v>92</v>
      </c>
      <c r="H99" s="70" t="s">
        <v>430</v>
      </c>
      <c r="I99" s="70" t="s">
        <v>997</v>
      </c>
      <c r="J99" s="70" t="s">
        <v>440</v>
      </c>
      <c r="K99" s="70" t="s">
        <v>417</v>
      </c>
      <c r="L99" s="70"/>
      <c r="M99" s="70"/>
      <c r="N99" s="63"/>
      <c r="O99" s="63"/>
      <c r="P99" s="63"/>
      <c r="Q99" s="70"/>
      <c r="R99" s="96"/>
      <c r="S99" s="70"/>
      <c r="T99" s="63"/>
      <c r="U99" s="70"/>
      <c r="V99" s="96"/>
      <c r="W99" s="70"/>
      <c r="X99" s="63"/>
      <c r="Y99" s="63" t="str">
        <f>IF(AND(Table14[[#This Row],[Pre-Feasibility]]=0,Table14[[#This Row],[Pre-Feasibility 2]]=0, Table14[[#This Row],[Feasibility]]=0, Table14[[#This Row],[Feasibility 2]]=0), "No", "Yes")</f>
        <v>No</v>
      </c>
      <c r="Z99" s="63"/>
      <c r="AA99" s="63"/>
      <c r="AB99" s="70"/>
      <c r="AC99" s="70"/>
      <c r="AD99" s="70"/>
      <c r="AE99" s="70" t="s">
        <v>180</v>
      </c>
      <c r="AF99" s="70"/>
      <c r="AG99" s="70" t="s">
        <v>180</v>
      </c>
      <c r="AH99" s="70" t="s">
        <v>180</v>
      </c>
      <c r="AI99" s="70" t="s">
        <v>180</v>
      </c>
      <c r="AJ99" s="70" t="s">
        <v>180</v>
      </c>
      <c r="AK99" s="70">
        <v>108</v>
      </c>
      <c r="AL99" s="250" cm="1">
        <f t="array" ref="AL99">IFERROR(_xlfn.STDEV.P(IF(Table14[[#This Row],[Website Area (Acres)]:[PEZ Other Source (Acre)]]&lt;&gt;0, Table14[[#This Row],[Website Area (Acres)]:[PEZ Other Source (Acre)]], ""))/AVERAGE(IF(Table14[[#This Row],[Website Area (Acres)]:[PEZ Other Source (Acre)]]&lt;&gt;0, Table14[[#This Row],[Website Area (Acres)]:[PEZ Other Source (Acre)]], "")), "")</f>
        <v>0</v>
      </c>
      <c r="AM99" s="70" t="s">
        <v>418</v>
      </c>
      <c r="AN99" s="70"/>
      <c r="AO99" s="70"/>
      <c r="AP99" s="148">
        <v>108</v>
      </c>
      <c r="AQ99" s="148">
        <v>140</v>
      </c>
      <c r="AR99" s="70" t="s">
        <v>447</v>
      </c>
      <c r="AS99" s="70" t="s">
        <v>435</v>
      </c>
      <c r="AT99" s="71"/>
      <c r="AU99" s="71"/>
      <c r="AV99" s="71"/>
      <c r="AW99" s="71"/>
      <c r="AX99" s="71"/>
      <c r="AY99" s="71"/>
      <c r="AZ99" s="71"/>
      <c r="BA99" s="71"/>
      <c r="BB99" s="70"/>
      <c r="BC99" s="75"/>
      <c r="BD99" s="70"/>
      <c r="BE99" s="70"/>
      <c r="BF99" s="70"/>
      <c r="BG99" s="70"/>
      <c r="BH99" s="70"/>
      <c r="BI99" s="70"/>
      <c r="BJ99" s="70"/>
      <c r="BK99" s="70"/>
      <c r="BL99" s="70"/>
      <c r="BM99" s="71"/>
      <c r="BN99" s="71"/>
      <c r="BO99" s="71"/>
      <c r="BP99" s="71"/>
      <c r="BQ99" s="71"/>
      <c r="BR99" s="71"/>
      <c r="BS99" s="71"/>
      <c r="BT99" s="71"/>
      <c r="BU99" s="71"/>
      <c r="BV99" s="71"/>
      <c r="BW99" s="71"/>
      <c r="BX99" s="71"/>
      <c r="BY99" s="71"/>
      <c r="BZ99" s="71"/>
      <c r="CA99" s="71"/>
      <c r="CB99" s="71"/>
    </row>
    <row r="100" spans="2:80" ht="40" customHeight="1" x14ac:dyDescent="0.35">
      <c r="B100" s="70">
        <v>97</v>
      </c>
      <c r="C100" s="71" t="s">
        <v>165</v>
      </c>
      <c r="D100" s="70" t="s">
        <v>76</v>
      </c>
      <c r="E100" s="70" t="s">
        <v>76</v>
      </c>
      <c r="F100" s="70" t="s">
        <v>166</v>
      </c>
      <c r="G100" s="70" t="s">
        <v>92</v>
      </c>
      <c r="H100" s="70" t="s">
        <v>410</v>
      </c>
      <c r="I100" s="70" t="s">
        <v>1002</v>
      </c>
      <c r="J100" s="70" t="s">
        <v>440</v>
      </c>
      <c r="K100" s="70" t="s">
        <v>417</v>
      </c>
      <c r="L100" s="70"/>
      <c r="M100" s="70"/>
      <c r="N100" s="63"/>
      <c r="O100" s="63"/>
      <c r="P100" s="63"/>
      <c r="Q100" s="70"/>
      <c r="R100" s="96"/>
      <c r="S100" s="70"/>
      <c r="T100" s="63"/>
      <c r="U100" s="70"/>
      <c r="V100" s="96"/>
      <c r="W100" s="70"/>
      <c r="X100" s="63"/>
      <c r="Y100" s="63" t="str">
        <f>IF(AND(Table14[[#This Row],[Pre-Feasibility]]=0,Table14[[#This Row],[Pre-Feasibility 2]]=0, Table14[[#This Row],[Feasibility]]=0, Table14[[#This Row],[Feasibility 2]]=0), "No", "Yes")</f>
        <v>No</v>
      </c>
      <c r="Z100" s="63"/>
      <c r="AA100" s="63"/>
      <c r="AB100" s="70"/>
      <c r="AC100" s="70"/>
      <c r="AD100" s="70"/>
      <c r="AE100" s="70" t="s">
        <v>180</v>
      </c>
      <c r="AF100" s="70"/>
      <c r="AG100" s="70" t="s">
        <v>180</v>
      </c>
      <c r="AH100" s="70" t="s">
        <v>180</v>
      </c>
      <c r="AI100" s="70" t="s">
        <v>180</v>
      </c>
      <c r="AJ100" s="70" t="s">
        <v>180</v>
      </c>
      <c r="AK100" s="70">
        <v>2.5</v>
      </c>
      <c r="AL100" s="250" cm="1">
        <f t="array" ref="AL100">IFERROR(_xlfn.STDEV.P(IF(Table14[[#This Row],[Website Area (Acres)]:[PEZ Other Source (Acre)]]&lt;&gt;0, Table14[[#This Row],[Website Area (Acres)]:[PEZ Other Source (Acre)]], ""))/AVERAGE(IF(Table14[[#This Row],[Website Area (Acres)]:[PEZ Other Source (Acre)]]&lt;&gt;0, Table14[[#This Row],[Website Area (Acres)]:[PEZ Other Source (Acre)]], "")), "")</f>
        <v>0</v>
      </c>
      <c r="AM100" s="70" t="s">
        <v>418</v>
      </c>
      <c r="AN100" s="70"/>
      <c r="AO100" s="70"/>
      <c r="AP100" s="148">
        <v>2.5</v>
      </c>
      <c r="AQ100" s="148">
        <v>2.4300000000000002</v>
      </c>
      <c r="AR100" s="70" t="s">
        <v>467</v>
      </c>
      <c r="AS100" s="70" t="s">
        <v>444</v>
      </c>
      <c r="AT100" s="71"/>
      <c r="AU100" s="71"/>
      <c r="AV100" s="71"/>
      <c r="AW100" s="71"/>
      <c r="AX100" s="71"/>
      <c r="AY100" s="71"/>
      <c r="AZ100" s="71"/>
      <c r="BA100" s="71"/>
      <c r="BB100" s="70"/>
      <c r="BC100" s="75"/>
      <c r="BD100" s="70" t="s">
        <v>1006</v>
      </c>
      <c r="BE100" s="70"/>
      <c r="BF100" s="70"/>
      <c r="BG100" s="70"/>
      <c r="BH100" s="70"/>
      <c r="BI100" s="70"/>
      <c r="BJ100" s="70"/>
      <c r="BK100" s="70"/>
      <c r="BL100" s="70"/>
      <c r="BM100" s="71"/>
      <c r="BN100" s="71"/>
      <c r="BO100" s="71"/>
      <c r="BP100" s="71"/>
      <c r="BQ100" s="71"/>
      <c r="BR100" s="71"/>
      <c r="BS100" s="71"/>
      <c r="BT100" s="71"/>
      <c r="BU100" s="71"/>
      <c r="BV100" s="71"/>
      <c r="BW100" s="71"/>
      <c r="BX100" s="71"/>
      <c r="BY100" s="71"/>
      <c r="BZ100" s="71"/>
      <c r="CA100" s="71"/>
      <c r="CB100" s="71"/>
    </row>
    <row r="101" spans="2:80" ht="40" customHeight="1" x14ac:dyDescent="0.35">
      <c r="B101" s="76" t="s">
        <v>245</v>
      </c>
      <c r="C101" s="77" t="s">
        <v>246</v>
      </c>
      <c r="D101" s="251" t="s">
        <v>68</v>
      </c>
      <c r="E101" s="76" t="s">
        <v>247</v>
      </c>
      <c r="F101" s="76" t="s">
        <v>180</v>
      </c>
      <c r="G101" s="76"/>
      <c r="H101" s="76"/>
      <c r="I101" s="76"/>
      <c r="J101" s="76" t="s">
        <v>443</v>
      </c>
      <c r="K101" s="76"/>
      <c r="L101" s="76"/>
      <c r="M101" s="76"/>
      <c r="N101" s="76"/>
      <c r="O101" s="76"/>
      <c r="P101" s="76"/>
      <c r="Q101" s="76"/>
      <c r="R101" s="76"/>
      <c r="S101" s="76"/>
      <c r="T101" s="76"/>
      <c r="U101" s="76"/>
      <c r="V101" s="76"/>
      <c r="W101" s="76"/>
      <c r="X101" s="76"/>
      <c r="Y101" s="76" t="str">
        <f>IF(AND(Table14[[#This Row],[Pre-Feasibility]]=0,Table14[[#This Row],[Pre-Feasibility 2]]=0, Table14[[#This Row],[Feasibility]]=0, Table14[[#This Row],[Feasibility 2]]=0), "No", "Yes")</f>
        <v>No</v>
      </c>
      <c r="Z101" s="76"/>
      <c r="AA101" s="76"/>
      <c r="AB101" s="76"/>
      <c r="AC101" s="76"/>
      <c r="AD101" s="76"/>
      <c r="AE101" s="76"/>
      <c r="AF101" s="76"/>
      <c r="AG101" s="76"/>
      <c r="AH101" s="76"/>
      <c r="AI101" s="76"/>
      <c r="AJ101" s="76"/>
      <c r="AK101" s="76"/>
      <c r="AL101" s="252" t="str" cm="1">
        <f t="array" ref="AL101">IFERROR(_xlfn.STDEV.P(IF(Table14[[#This Row],[Website Area (Acres)]:[PEZ Other Source (Acre)]]&lt;&gt;0, Table14[[#This Row],[Website Area (Acres)]:[PEZ Other Source (Acre)]], ""))/AVERAGE(IF(Table14[[#This Row],[Website Area (Acres)]:[PEZ Other Source (Acre)]]&lt;&gt;0, Table14[[#This Row],[Website Area (Acres)]:[PEZ Other Source (Acre)]], "")), "")</f>
        <v/>
      </c>
      <c r="AM101" s="76" t="s">
        <v>837</v>
      </c>
      <c r="AN101" s="76" t="s">
        <v>1064</v>
      </c>
      <c r="AO101" s="76" t="s">
        <v>1065</v>
      </c>
      <c r="AP101" s="76"/>
      <c r="AQ101" s="76"/>
      <c r="AR101" s="76"/>
      <c r="AS101" s="76" t="s">
        <v>180</v>
      </c>
      <c r="AT101" s="77"/>
      <c r="AU101" s="77"/>
      <c r="AV101" s="77"/>
      <c r="AW101" s="77"/>
      <c r="AX101" s="77"/>
      <c r="AY101" s="77"/>
      <c r="AZ101" s="77"/>
      <c r="BA101" s="77"/>
      <c r="BB101" s="76"/>
      <c r="BC101" s="78"/>
      <c r="BD101" s="76"/>
      <c r="BE101" s="76"/>
      <c r="BF101" s="76"/>
      <c r="BG101" s="76"/>
      <c r="BH101" s="76"/>
      <c r="BI101" s="76"/>
      <c r="BJ101" s="76"/>
      <c r="BK101" s="76"/>
      <c r="BL101" s="76"/>
      <c r="BM101" s="77"/>
      <c r="BN101" s="77"/>
      <c r="BO101" s="77"/>
      <c r="BP101" s="77"/>
      <c r="BQ101" s="77"/>
      <c r="BR101" s="77"/>
      <c r="BS101" s="77"/>
      <c r="BT101" s="77"/>
      <c r="BU101" s="77"/>
      <c r="BV101" s="77"/>
      <c r="BW101" s="77"/>
      <c r="BX101" s="77"/>
      <c r="BY101" s="77"/>
      <c r="BZ101" s="77"/>
      <c r="CA101" s="77"/>
      <c r="CB101" s="77"/>
    </row>
    <row r="102" spans="2:80" ht="40" customHeight="1" x14ac:dyDescent="0.35">
      <c r="B102" s="76" t="s">
        <v>229</v>
      </c>
      <c r="C102" s="77" t="s">
        <v>230</v>
      </c>
      <c r="D102" s="251" t="s">
        <v>84</v>
      </c>
      <c r="E102" s="76" t="s">
        <v>231</v>
      </c>
      <c r="F102" s="76" t="s">
        <v>180</v>
      </c>
      <c r="G102" s="76"/>
      <c r="H102" s="76"/>
      <c r="I102" s="76"/>
      <c r="J102" s="76" t="s">
        <v>443</v>
      </c>
      <c r="K102" s="76"/>
      <c r="L102" s="76"/>
      <c r="M102" s="76"/>
      <c r="N102" s="76"/>
      <c r="O102" s="76"/>
      <c r="P102" s="76"/>
      <c r="Q102" s="76"/>
      <c r="R102" s="76"/>
      <c r="S102" s="76"/>
      <c r="T102" s="76"/>
      <c r="U102" s="76"/>
      <c r="V102" s="76"/>
      <c r="W102" s="76"/>
      <c r="X102" s="76"/>
      <c r="Y102" s="76" t="str">
        <f>IF(AND(Table14[[#This Row],[Pre-Feasibility]]=0,Table14[[#This Row],[Pre-Feasibility 2]]=0, Table14[[#This Row],[Feasibility]]=0, Table14[[#This Row],[Feasibility 2]]=0), "No", "Yes")</f>
        <v>No</v>
      </c>
      <c r="Z102" s="76"/>
      <c r="AA102" s="76"/>
      <c r="AB102" s="76"/>
      <c r="AC102" s="76"/>
      <c r="AD102" s="76"/>
      <c r="AE102" s="76"/>
      <c r="AF102" s="76"/>
      <c r="AG102" s="76"/>
      <c r="AH102" s="76"/>
      <c r="AI102" s="76"/>
      <c r="AJ102" s="76"/>
      <c r="AK102" s="76"/>
      <c r="AL102" s="252" t="str" cm="1">
        <f t="array" ref="AL102">IFERROR(_xlfn.STDEV.P(IF(Table14[[#This Row],[Website Area (Acres)]:[PEZ Other Source (Acre)]]&lt;&gt;0, Table14[[#This Row],[Website Area (Acres)]:[PEZ Other Source (Acre)]], ""))/AVERAGE(IF(Table14[[#This Row],[Website Area (Acres)]:[PEZ Other Source (Acre)]]&lt;&gt;0, Table14[[#This Row],[Website Area (Acres)]:[PEZ Other Source (Acre)]], "")), "")</f>
        <v/>
      </c>
      <c r="AM102" s="76" t="s">
        <v>837</v>
      </c>
      <c r="AN102" s="76" t="s">
        <v>1064</v>
      </c>
      <c r="AO102" s="76" t="s">
        <v>1066</v>
      </c>
      <c r="AP102" s="76"/>
      <c r="AQ102" s="76"/>
      <c r="AR102" s="76" t="s">
        <v>454</v>
      </c>
      <c r="AS102" s="76" t="s">
        <v>444</v>
      </c>
      <c r="AT102" s="77"/>
      <c r="AU102" s="77"/>
      <c r="AV102" s="77"/>
      <c r="AW102" s="77"/>
      <c r="AX102" s="77"/>
      <c r="AY102" s="77"/>
      <c r="AZ102" s="77"/>
      <c r="BA102" s="77"/>
      <c r="BB102" s="76"/>
      <c r="BC102" s="78"/>
      <c r="BD102" s="76"/>
      <c r="BE102" s="76"/>
      <c r="BF102" s="76"/>
      <c r="BG102" s="76"/>
      <c r="BH102" s="76"/>
      <c r="BI102" s="76"/>
      <c r="BJ102" s="76"/>
      <c r="BK102" s="76"/>
      <c r="BL102" s="76"/>
      <c r="BM102" s="77"/>
      <c r="BN102" s="77"/>
      <c r="BO102" s="77"/>
      <c r="BP102" s="77"/>
      <c r="BQ102" s="77"/>
      <c r="BR102" s="77"/>
      <c r="BS102" s="77"/>
      <c r="BT102" s="77"/>
      <c r="BU102" s="77"/>
      <c r="BV102" s="77"/>
      <c r="BW102" s="77"/>
      <c r="BX102" s="77"/>
      <c r="BY102" s="77"/>
      <c r="BZ102" s="77"/>
      <c r="CA102" s="77"/>
      <c r="CB102" s="77"/>
    </row>
    <row r="103" spans="2:80" ht="40" customHeight="1" x14ac:dyDescent="0.35">
      <c r="B103" s="76" t="s">
        <v>177</v>
      </c>
      <c r="C103" s="77" t="s">
        <v>178</v>
      </c>
      <c r="D103" s="76" t="s">
        <v>84</v>
      </c>
      <c r="E103" s="76" t="s">
        <v>179</v>
      </c>
      <c r="F103" s="76" t="s">
        <v>180</v>
      </c>
      <c r="G103" s="76"/>
      <c r="H103" s="76"/>
      <c r="I103" s="76"/>
      <c r="J103" s="76" t="s">
        <v>443</v>
      </c>
      <c r="K103" s="76"/>
      <c r="L103" s="76"/>
      <c r="M103" s="76"/>
      <c r="N103" s="76"/>
      <c r="O103" s="76"/>
      <c r="P103" s="76"/>
      <c r="Q103" s="76"/>
      <c r="R103" s="76"/>
      <c r="S103" s="76"/>
      <c r="T103" s="76"/>
      <c r="U103" s="76"/>
      <c r="V103" s="76"/>
      <c r="W103" s="76"/>
      <c r="X103" s="76"/>
      <c r="Y103" s="76" t="str">
        <f>IF(AND(Table14[[#This Row],[Pre-Feasibility]]=0,Table14[[#This Row],[Pre-Feasibility 2]]=0, Table14[[#This Row],[Feasibility]]=0, Table14[[#This Row],[Feasibility 2]]=0), "No", "Yes")</f>
        <v>No</v>
      </c>
      <c r="Z103" s="76"/>
      <c r="AA103" s="76"/>
      <c r="AB103" s="76"/>
      <c r="AC103" s="76"/>
      <c r="AD103" s="76"/>
      <c r="AE103" s="76"/>
      <c r="AF103" s="76"/>
      <c r="AG103" s="76"/>
      <c r="AH103" s="76"/>
      <c r="AI103" s="76"/>
      <c r="AJ103" s="76"/>
      <c r="AK103" s="76"/>
      <c r="AL103" s="252" t="str" cm="1">
        <f t="array" ref="AL103">IFERROR(_xlfn.STDEV.P(IF(Table14[[#This Row],[Website Area (Acres)]:[PEZ Other Source (Acre)]]&lt;&gt;0, Table14[[#This Row],[Website Area (Acres)]:[PEZ Other Source (Acre)]], ""))/AVERAGE(IF(Table14[[#This Row],[Website Area (Acres)]:[PEZ Other Source (Acre)]]&lt;&gt;0, Table14[[#This Row],[Website Area (Acres)]:[PEZ Other Source (Acre)]], "")), "")</f>
        <v/>
      </c>
      <c r="AM103" s="76" t="s">
        <v>837</v>
      </c>
      <c r="AN103" s="76" t="s">
        <v>1064</v>
      </c>
      <c r="AO103" s="76" t="s">
        <v>1067</v>
      </c>
      <c r="AP103" s="76"/>
      <c r="AQ103" s="76"/>
      <c r="AR103" s="76" t="s">
        <v>454</v>
      </c>
      <c r="AS103" s="76" t="s">
        <v>435</v>
      </c>
      <c r="AT103" s="77"/>
      <c r="AU103" s="77"/>
      <c r="AV103" s="77"/>
      <c r="AW103" s="77"/>
      <c r="AX103" s="77"/>
      <c r="AY103" s="77"/>
      <c r="AZ103" s="77"/>
      <c r="BA103" s="77"/>
      <c r="BB103" s="76"/>
      <c r="BC103" s="78"/>
      <c r="BD103" s="76"/>
      <c r="BE103" s="76"/>
      <c r="BF103" s="76"/>
      <c r="BG103" s="76"/>
      <c r="BH103" s="76"/>
      <c r="BI103" s="76"/>
      <c r="BJ103" s="76"/>
      <c r="BK103" s="76"/>
      <c r="BL103" s="76"/>
      <c r="BM103" s="77"/>
      <c r="BN103" s="77"/>
      <c r="BO103" s="77"/>
      <c r="BP103" s="77"/>
      <c r="BQ103" s="77"/>
      <c r="BR103" s="77"/>
      <c r="BS103" s="77"/>
      <c r="BT103" s="77"/>
      <c r="BU103" s="77"/>
      <c r="BV103" s="77"/>
      <c r="BW103" s="77"/>
      <c r="BX103" s="77"/>
      <c r="BY103" s="77"/>
      <c r="BZ103" s="77"/>
      <c r="CA103" s="77"/>
      <c r="CB103" s="77"/>
    </row>
    <row r="104" spans="2:80" ht="40" customHeight="1" x14ac:dyDescent="0.35">
      <c r="B104" s="70" t="s">
        <v>225</v>
      </c>
      <c r="C104" s="71" t="s">
        <v>226</v>
      </c>
      <c r="D104" s="70" t="s">
        <v>180</v>
      </c>
      <c r="E104" s="70" t="s">
        <v>180</v>
      </c>
      <c r="F104" s="70" t="s">
        <v>180</v>
      </c>
      <c r="G104" s="70"/>
      <c r="H104" s="70"/>
      <c r="I104" s="70"/>
      <c r="J104" s="70" t="s">
        <v>180</v>
      </c>
      <c r="K104" s="70"/>
      <c r="L104" s="76"/>
      <c r="M104" s="70"/>
      <c r="N104" s="63"/>
      <c r="O104" s="76"/>
      <c r="P104" s="76"/>
      <c r="Q104" s="70"/>
      <c r="R104" s="96"/>
      <c r="S104" s="76"/>
      <c r="T104" s="63"/>
      <c r="U104" s="70"/>
      <c r="V104" s="96"/>
      <c r="W104" s="76"/>
      <c r="X104" s="63"/>
      <c r="Y104" s="76" t="str">
        <f>IF(AND(Table14[[#This Row],[Pre-Feasibility]]=0,Table14[[#This Row],[Pre-Feasibility 2]]=0, Table14[[#This Row],[Feasibility]]=0, Table14[[#This Row],[Feasibility 2]]=0), "No", "Yes")</f>
        <v>No</v>
      </c>
      <c r="Z104" s="70"/>
      <c r="AA104" s="70"/>
      <c r="AB104" s="76"/>
      <c r="AC104" s="70"/>
      <c r="AD104" s="70"/>
      <c r="AE104" s="70"/>
      <c r="AF104" s="76"/>
      <c r="AG104" s="71"/>
      <c r="AH104" s="70"/>
      <c r="AI104" s="76"/>
      <c r="AJ104" s="76"/>
      <c r="AK104" s="76"/>
      <c r="AL104" s="252" t="str" cm="1">
        <f t="array" ref="AL104">IFERROR(_xlfn.STDEV.P(IF(Table14[[#This Row],[Website Area (Acres)]:[PEZ Other Source (Acre)]]&lt;&gt;0, Table14[[#This Row],[Website Area (Acres)]:[PEZ Other Source (Acre)]], ""))/AVERAGE(IF(Table14[[#This Row],[Website Area (Acres)]:[PEZ Other Source (Acre)]]&lt;&gt;0, Table14[[#This Row],[Website Area (Acres)]:[PEZ Other Source (Acre)]], "")), "")</f>
        <v/>
      </c>
      <c r="AM104" s="76"/>
      <c r="AN104" s="70"/>
      <c r="AO104" s="76"/>
      <c r="AP104" s="76"/>
      <c r="AQ104" s="76">
        <v>20315.810000000001</v>
      </c>
      <c r="AR104" s="76"/>
      <c r="AS104" s="76" t="s">
        <v>180</v>
      </c>
      <c r="AT104" s="71"/>
      <c r="AU104" s="71"/>
      <c r="AV104" s="71"/>
      <c r="AW104" s="71"/>
      <c r="AX104" s="71"/>
      <c r="AY104" s="71"/>
      <c r="AZ104" s="71"/>
      <c r="BA104" s="137"/>
      <c r="BB104" s="70"/>
      <c r="BC104" s="75"/>
      <c r="BD104" s="70"/>
      <c r="BE104" s="70"/>
      <c r="BF104" s="70"/>
      <c r="BG104" s="70"/>
      <c r="BH104" s="70"/>
      <c r="BI104" s="70"/>
      <c r="BJ104" s="70"/>
      <c r="BK104" s="70"/>
      <c r="BL104" s="70"/>
      <c r="BM104" s="71"/>
      <c r="BN104" s="71"/>
      <c r="BO104" s="71"/>
      <c r="BP104" s="71"/>
      <c r="BQ104" s="71"/>
      <c r="BR104" s="71"/>
      <c r="BS104" s="71"/>
      <c r="BT104" s="71"/>
      <c r="BU104" s="71"/>
      <c r="BV104" s="71"/>
      <c r="BW104" s="71"/>
      <c r="BX104" s="71"/>
      <c r="BY104" s="71"/>
      <c r="BZ104" s="71"/>
      <c r="CA104" s="71"/>
      <c r="CB104" s="71"/>
    </row>
  </sheetData>
  <mergeCells count="4">
    <mergeCell ref="AT2:BA2"/>
    <mergeCell ref="BB2:BL2"/>
    <mergeCell ref="BM2:BP2"/>
    <mergeCell ref="BQ2:BU2"/>
  </mergeCells>
  <conditionalFormatting sqref="AD4:AK104">
    <cfRule type="expression" dxfId="748" priority="1">
      <formula>IF($AM4="Yes", TRUE, FALSE)</formula>
    </cfRule>
    <cfRule type="expression" dxfId="747" priority="2">
      <formula>IF($AM4="Area Not Found", TRUE, FALSE)</formula>
    </cfRule>
  </conditionalFormatting>
  <dataValidations count="5">
    <dataValidation type="list" allowBlank="1" showInputMessage="1" showErrorMessage="1" sqref="H100" xr:uid="{3A29B040-3BE8-42D2-8686-C3AC1F552A4A}">
      <formula1>"In-Principle Approval, Pre-Planning Stage, Planning Stage, Under Development"</formula1>
    </dataValidation>
    <dataValidation allowBlank="1" showInputMessage="1" showErrorMessage="1" sqref="I71 I74 I76 I78 I82 I84 I86 I88:I90 I92 I98" xr:uid="{6D4AEC5C-E4DA-428B-B7DF-68A803275897}"/>
    <dataValidation type="list" allowBlank="1" showInputMessage="1" showErrorMessage="1" sqref="H4:H99" xr:uid="{A483DAC9-D379-4D6A-AE14-F4660AAFC754}">
      <formula1>"In-Principle Approval,Pre-Planning Stage,Planning Stage,Under Development"</formula1>
    </dataValidation>
    <dataValidation type="list" allowBlank="1" showInputMessage="1" showErrorMessage="1" sqref="J4:J102" xr:uid="{48212A4C-62F3-4602-BEA3-402ABE54C0AA}">
      <formula1>"Priority 1,Priority 2,Priority 3, N/A"</formula1>
    </dataValidation>
    <dataValidation type="list" allowBlank="1" showInputMessage="1" showErrorMessage="1" sqref="D4:D102" xr:uid="{E2C72202-FA99-45EA-AF8F-79766EEB128D}">
      <formula1>"Barishal,Chattogram,Dhaka,Khulna,Mymensingh,Rajshahi,Rangpur,Sylhet"</formula1>
    </dataValidation>
  </dataValidations>
  <hyperlinks>
    <hyperlink ref="U37" r:id="rId1" xr:uid="{6712A2A9-E5EB-49B8-A15F-47D586B087A0}"/>
    <hyperlink ref="U68" r:id="rId2" xr:uid="{0BC52A3D-20A4-435A-B529-466996B980F2}"/>
    <hyperlink ref="U10" r:id="rId3" xr:uid="{5AFEE434-66B1-49E0-9BDA-CEE9E10FA909}"/>
    <hyperlink ref="U30" r:id="rId4" xr:uid="{F12387AB-6033-4FAE-B3B4-63714654EE82}"/>
    <hyperlink ref="U33" r:id="rId5" xr:uid="{C0CDDCDF-E6D2-4B2B-99A3-D6F8226D415D}"/>
    <hyperlink ref="U46" r:id="rId6" xr:uid="{E1FDBF64-E8D7-417A-8E33-3ABC4C669060}"/>
    <hyperlink ref="U55" r:id="rId7" xr:uid="{A81FC348-AFB5-468B-A388-EED1BE8D0FB5}"/>
    <hyperlink ref="U24" r:id="rId8" xr:uid="{8A6087AC-A30E-4CCC-847B-11389F875C4B}"/>
    <hyperlink ref="W30" r:id="rId9" xr:uid="{E046A7EF-77FB-40AA-B010-9E6C36BF881C}"/>
    <hyperlink ref="U36" r:id="rId10" xr:uid="{08E26B12-451A-4A75-AF16-ABBC33E00B4A}"/>
    <hyperlink ref="Q6" r:id="rId11" xr:uid="{1B91CDE2-371F-4E6B-9EFA-948D034BBB44}"/>
    <hyperlink ref="Q55" r:id="rId12" xr:uid="{1FD2584B-196F-453E-A30C-C694E3176159}"/>
    <hyperlink ref="Q16" r:id="rId13" xr:uid="{CCE613C5-3DB8-4231-8B24-94C3C3E901F4}"/>
    <hyperlink ref="Q19" r:id="rId14" xr:uid="{4C9A15CB-A08A-4923-A5D0-2C887D2ED784}"/>
    <hyperlink ref="Q21" r:id="rId15" xr:uid="{50322D6A-8400-4EDE-9994-0E451BD12A39}"/>
    <hyperlink ref="Q59" r:id="rId16" xr:uid="{0653FAB2-E194-4BC0-8C54-DA1D2ADD04BD}"/>
    <hyperlink ref="Q41" r:id="rId17" xr:uid="{45BDEBA3-99E6-46CE-8BD9-D2543526C0A5}"/>
    <hyperlink ref="S30" r:id="rId18" xr:uid="{62DFBF44-2315-4C8F-B699-95BDE8B97C8B}"/>
    <hyperlink ref="Q31" r:id="rId19" xr:uid="{7561F02D-3705-44ED-8E4C-4434B8612674}"/>
    <hyperlink ref="Q10" r:id="rId20" xr:uid="{61712BD9-0163-4667-806A-069939F7AF46}"/>
    <hyperlink ref="Q40" r:id="rId21" xr:uid="{F78486EF-FA68-4A35-9273-BF4F97ACD594}"/>
    <hyperlink ref="Q43" r:id="rId22" xr:uid="{4B901AA6-E01E-4CAB-8875-902DDFBBAFBD}"/>
    <hyperlink ref="Q69" r:id="rId23" xr:uid="{2AE9ED58-FF95-4A2C-8E2B-0870A5D98B7B}"/>
    <hyperlink ref="Q9" r:id="rId24" xr:uid="{C4DD5D78-98DE-4C38-9311-EE0D97FFE100}"/>
    <hyperlink ref="Q11" r:id="rId25" xr:uid="{9FC3290B-7407-4DD5-9A85-DB62DB23C4A3}"/>
    <hyperlink ref="M12" r:id="rId26" xr:uid="{C735182C-9D17-46B5-B608-39FADFF91C45}"/>
    <hyperlink ref="Q24" r:id="rId27" xr:uid="{E25EDEDE-5A37-4A3E-A85D-E615F02BA5BA}"/>
    <hyperlink ref="Q29" r:id="rId28" xr:uid="{3BBF46AD-82A3-49DC-9BD9-C137D2DDB6C2}"/>
    <hyperlink ref="Q45" r:id="rId29" xr:uid="{52DB1DD2-20DC-491F-80AD-FD2A3F516D7B}"/>
    <hyperlink ref="Q47" r:id="rId30" xr:uid="{21429921-7B2E-4F8C-9B74-22B00EBDA2CC}"/>
    <hyperlink ref="Q51" r:id="rId31" xr:uid="{01209B31-97F7-4D69-8A3B-B17E7C5D5549}"/>
    <hyperlink ref="Q63" r:id="rId32" xr:uid="{603790F6-B5B4-47DD-94BB-1E5E7B7E138B}"/>
    <hyperlink ref="Q66" r:id="rId33" xr:uid="{3C9ABB48-F605-48B8-A53B-CF2A46A3759C}"/>
    <hyperlink ref="Q67" r:id="rId34" xr:uid="{106BE5F0-F655-4DB4-A013-4C04B0E50CCC}"/>
    <hyperlink ref="L95" r:id="rId35" xr:uid="{4E3C794B-7E0F-40A7-B0C5-9C00B5208808}"/>
    <hyperlink ref="L97" r:id="rId36" xr:uid="{3D786ACA-016D-4BA2-A388-0E83BAF947E7}"/>
    <hyperlink ref="L74" r:id="rId37" xr:uid="{921FDA5A-2834-47A5-B99A-2402B89DAA07}"/>
    <hyperlink ref="L78" r:id="rId38" xr:uid="{30DE9B0B-1359-496A-B0EC-B3D3E10251A9}"/>
    <hyperlink ref="L69" r:id="rId39" xr:uid="{37108705-5A83-4960-8D77-205B79FD5A02}"/>
    <hyperlink ref="L82" r:id="rId40" xr:uid="{582BE9CD-336B-4CF6-AF74-E3523100B7D3}"/>
    <hyperlink ref="L68" r:id="rId41" xr:uid="{441C2EEC-6FEF-4454-8CFF-B4C1E718BDFC}"/>
    <hyperlink ref="L86" r:id="rId42" xr:uid="{A8767BF2-E208-49EC-B755-69D5149CD134}"/>
    <hyperlink ref="L16" r:id="rId43" xr:uid="{09E866B3-036C-42FB-BD4D-0155E92DF69B}"/>
    <hyperlink ref="L88" r:id="rId44" xr:uid="{6C34D799-B9C3-4CC2-A7E6-459775C5BE92}"/>
    <hyperlink ref="L61" r:id="rId45" xr:uid="{CBA264F0-2B24-4B53-B5F7-A2AB99EE3215}"/>
    <hyperlink ref="L40" r:id="rId46" xr:uid="{632BE68B-54EB-4566-BE2D-B33EC55378E3}"/>
    <hyperlink ref="L55" r:id="rId47" xr:uid="{0C93DA37-C491-49A6-82D0-A593F48A0C8E}"/>
    <hyperlink ref="L73" r:id="rId48" xr:uid="{E9ED48BA-A8E8-401F-A396-60691C272FCA}"/>
    <hyperlink ref="L70" r:id="rId49" xr:uid="{1730DE2D-B490-41E8-8A6B-F4C3FC36C540}"/>
    <hyperlink ref="L71" r:id="rId50" xr:uid="{38544934-011C-4EE8-AC8A-0129E96FFC24}"/>
    <hyperlink ref="L24" r:id="rId51" xr:uid="{1936BA58-B090-4100-8320-C8DE8B78AF8A}"/>
    <hyperlink ref="L92" r:id="rId52" xr:uid="{978B3531-B9FC-44F5-ABBB-CF5C98D6D6F7}"/>
    <hyperlink ref="L94" r:id="rId53" xr:uid="{235EED0A-1812-4223-9D2E-7C00BFB739B6}"/>
    <hyperlink ref="L96" r:id="rId54" xr:uid="{AB7231FD-D5C7-4791-B290-6B8ED0349688}"/>
    <hyperlink ref="L30" r:id="rId55" xr:uid="{465348AF-0871-48B2-AD6E-7BC05015B0A0}"/>
    <hyperlink ref="L33" r:id="rId56" xr:uid="{CBE9CFC8-CADF-4807-A41C-54E0BA42AEE2}"/>
    <hyperlink ref="L37" r:id="rId57" xr:uid="{0EA70AF3-6405-4824-A064-1D9EAA891C66}"/>
    <hyperlink ref="L36" r:id="rId58" xr:uid="{B69ECFEE-3E94-442E-830B-3244FF8DE880}"/>
    <hyperlink ref="L6" r:id="rId59" xr:uid="{D2863B49-426E-43A2-A586-FDC40C92DF28}"/>
    <hyperlink ref="AD2" r:id="rId60" xr:uid="{6B120C8C-AF8E-4F2A-8CEC-DB12FE4E7CE1}"/>
    <hyperlink ref="C2" r:id="rId61" xr:uid="{2C3854CE-F8A5-4D02-9E56-64BC0A51D140}"/>
    <hyperlink ref="O6" r:id="rId62" xr:uid="{EA1F4227-FCC0-4515-B978-CEC9E06A47EA}"/>
    <hyperlink ref="O16" r:id="rId63" xr:uid="{353FF772-2A8D-44ED-88FE-D1E266248E96}"/>
    <hyperlink ref="O41" r:id="rId64" xr:uid="{D712B12F-4767-42B5-ACFD-8DA8FBBC7E9C}"/>
    <hyperlink ref="O51" r:id="rId65" xr:uid="{174D6ABB-4F04-43ED-A6DC-59312D6027BA}"/>
    <hyperlink ref="O55" r:id="rId66" xr:uid="{738E81C8-2DBE-41B3-8D8A-4C8AA8F1EC0C}"/>
    <hyperlink ref="O15" r:id="rId67" xr:uid="{7F4F76D5-CA23-4FB1-9D73-AF6A285CFC88}"/>
    <hyperlink ref="O9" r:id="rId68" xr:uid="{2F0E7FA0-8C09-4C7C-854B-D0F5100F223D}"/>
    <hyperlink ref="O70" r:id="rId69" xr:uid="{C91C5EFD-8602-45B2-B1BB-E840297B1042}"/>
    <hyperlink ref="O47" r:id="rId70" xr:uid="{21812819-E232-44C2-9B53-456732D6359E}"/>
    <hyperlink ref="O29" r:id="rId71" xr:uid="{7D03C755-B1B3-45A5-9660-7994D8B2F389}"/>
    <hyperlink ref="O58" r:id="rId72" xr:uid="{34BFF265-4FB1-42D3-8FDF-FB32C1117E96}"/>
    <hyperlink ref="O40" r:id="rId73" xr:uid="{780E6834-5A18-41BE-949C-CC7622F70BE9}"/>
    <hyperlink ref="M13" r:id="rId74" xr:uid="{12D40136-CD3B-419E-9394-9357FEC3383C}"/>
    <hyperlink ref="M15" r:id="rId75" xr:uid="{7339FF35-0688-4A55-A04B-913FA2ADB54B}"/>
    <hyperlink ref="M25" r:id="rId76" xr:uid="{EED03C0C-D6DA-488D-B3C9-C980264AFE9B}"/>
    <hyperlink ref="M28" r:id="rId77" xr:uid="{F73A8799-F196-461C-8A99-E405F7A76489}"/>
    <hyperlink ref="M30" r:id="rId78" xr:uid="{D42FF073-1185-4E43-9A75-77A91F3019D8}"/>
    <hyperlink ref="M38" r:id="rId79" xr:uid="{42D8567B-0F20-4965-A94F-4C9C2B3E44C2}"/>
    <hyperlink ref="M42" r:id="rId80" xr:uid="{892F5751-44B9-491F-A5AD-42A42299A1E0}"/>
    <hyperlink ref="M41" r:id="rId81" xr:uid="{F72603DA-2D16-42C4-8C09-3EA6E3AAC8ED}"/>
    <hyperlink ref="M45" r:id="rId82" xr:uid="{FA365424-1545-4DDE-BE56-706AF68B44C6}"/>
    <hyperlink ref="M48" r:id="rId83" xr:uid="{EFFAD74A-66EB-47C3-975B-AD8C40FF2245}"/>
    <hyperlink ref="M58" r:id="rId84" xr:uid="{4C438552-2BDE-45B2-AE87-7ADB817AFDFF}"/>
    <hyperlink ref="M67" r:id="rId85" xr:uid="{09EA0206-0B85-46EF-94C4-CD636C7F7CDF}"/>
    <hyperlink ref="M70" r:id="rId86" xr:uid="{A201F42C-8E31-4B49-8AE8-94DA17D936EB}"/>
    <hyperlink ref="U4" r:id="rId87" xr:uid="{2AF3A7FE-1C8E-4912-B372-952743DDCA0D}"/>
  </hyperlinks>
  <pageMargins left="0.7" right="0.7" top="0.75" bottom="0.75" header="0.3" footer="0.3"/>
  <pageSetup orientation="portrait" r:id="rId88"/>
  <legacyDrawing r:id="rId89"/>
  <tableParts count="1">
    <tablePart r:id="rId90"/>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EB058-541F-4A3B-9B9E-14C3596FF5CA}">
  <sheetPr>
    <tabColor rgb="FF7030A0"/>
  </sheetPr>
  <dimension ref="B1:W103"/>
  <sheetViews>
    <sheetView workbookViewId="0"/>
  </sheetViews>
  <sheetFormatPr defaultRowHeight="14.5" x14ac:dyDescent="0.35"/>
  <cols>
    <col min="1" max="1" width="3.453125" customWidth="1"/>
    <col min="2" max="2" width="3.81640625" bestFit="1" customWidth="1"/>
    <col min="3" max="3" width="30.81640625" customWidth="1"/>
    <col min="4" max="4" width="13.81640625" bestFit="1" customWidth="1"/>
    <col min="5" max="5" width="23.81640625" bestFit="1" customWidth="1"/>
    <col min="6" max="6" width="26.81640625" bestFit="1" customWidth="1"/>
    <col min="7" max="7" width="20.81640625" customWidth="1"/>
    <col min="8" max="8" width="26.81640625" bestFit="1" customWidth="1"/>
    <col min="9" max="9" width="21.453125" bestFit="1" customWidth="1"/>
    <col min="10" max="10" width="28.54296875" bestFit="1" customWidth="1"/>
    <col min="11" max="11" width="33.1796875" bestFit="1" customWidth="1"/>
    <col min="12" max="12" width="23" bestFit="1" customWidth="1"/>
    <col min="13" max="13" width="32.1796875" bestFit="1" customWidth="1"/>
    <col min="14" max="14" width="23" bestFit="1" customWidth="1"/>
    <col min="15" max="15" width="27.453125" bestFit="1" customWidth="1"/>
    <col min="16" max="19" width="33.1796875" bestFit="1" customWidth="1"/>
    <col min="20" max="20" width="13.81640625" bestFit="1" customWidth="1"/>
    <col min="21" max="21" width="20.453125" bestFit="1" customWidth="1"/>
    <col min="22" max="22" width="22.54296875" bestFit="1" customWidth="1"/>
    <col min="23" max="23" width="19.1796875" bestFit="1" customWidth="1"/>
  </cols>
  <sheetData>
    <row r="1" spans="2:23" ht="15" thickBot="1" x14ac:dyDescent="0.4"/>
    <row r="2" spans="2:23" ht="54.5" thickBot="1" x14ac:dyDescent="0.4">
      <c r="B2" s="136" t="s">
        <v>4</v>
      </c>
      <c r="C2" s="136" t="s">
        <v>5</v>
      </c>
      <c r="D2" s="136" t="s">
        <v>6</v>
      </c>
      <c r="E2" s="136" t="s">
        <v>7</v>
      </c>
      <c r="F2" s="136" t="s">
        <v>8</v>
      </c>
      <c r="G2" s="136" t="s">
        <v>9</v>
      </c>
      <c r="H2" s="406" t="s">
        <v>301</v>
      </c>
      <c r="I2" s="407" t="s">
        <v>261</v>
      </c>
      <c r="J2" s="408" t="s">
        <v>307</v>
      </c>
      <c r="K2" s="407" t="s">
        <v>308</v>
      </c>
      <c r="L2" s="407" t="s">
        <v>263</v>
      </c>
      <c r="M2" s="409" t="s">
        <v>1068</v>
      </c>
      <c r="N2" s="408" t="s">
        <v>310</v>
      </c>
      <c r="O2" s="407" t="s">
        <v>311</v>
      </c>
      <c r="P2" s="407" t="s">
        <v>265</v>
      </c>
      <c r="Q2" s="409" t="s">
        <v>1069</v>
      </c>
      <c r="R2" s="408" t="s">
        <v>313</v>
      </c>
      <c r="S2" s="407" t="s">
        <v>314</v>
      </c>
      <c r="T2" s="410" t="s">
        <v>299</v>
      </c>
      <c r="U2" s="410" t="s">
        <v>16</v>
      </c>
      <c r="V2" s="411" t="s">
        <v>408</v>
      </c>
      <c r="W2" s="411" t="s">
        <v>409</v>
      </c>
    </row>
    <row r="3" spans="2:23" x14ac:dyDescent="0.35">
      <c r="B3" s="217">
        <v>66</v>
      </c>
      <c r="C3" s="218" t="s">
        <v>21</v>
      </c>
      <c r="D3" s="217" t="s">
        <v>76</v>
      </c>
      <c r="E3" s="217" t="s">
        <v>77</v>
      </c>
      <c r="F3" s="217" t="s">
        <v>78</v>
      </c>
      <c r="G3" s="217" t="s">
        <v>79</v>
      </c>
      <c r="H3" s="217" t="s">
        <v>410</v>
      </c>
      <c r="I3" s="219">
        <v>1010.9</v>
      </c>
      <c r="J3" s="219">
        <v>4</v>
      </c>
      <c r="K3" s="219">
        <v>0.6</v>
      </c>
      <c r="L3" s="219" t="s">
        <v>427</v>
      </c>
      <c r="M3" s="219"/>
      <c r="N3" s="219">
        <v>2</v>
      </c>
      <c r="O3" s="219">
        <v>0.4</v>
      </c>
      <c r="P3" s="219" t="s">
        <v>414</v>
      </c>
      <c r="Q3" s="219"/>
      <c r="R3" s="219">
        <v>4</v>
      </c>
      <c r="S3" s="219">
        <v>0.6</v>
      </c>
      <c r="T3" s="412">
        <v>3.4029600000000002</v>
      </c>
      <c r="U3" s="413">
        <v>1</v>
      </c>
      <c r="V3" s="414" t="s">
        <v>418</v>
      </c>
      <c r="W3" s="414">
        <v>2</v>
      </c>
    </row>
    <row r="4" spans="2:23" x14ac:dyDescent="0.35">
      <c r="B4" s="220">
        <v>52</v>
      </c>
      <c r="C4" s="221" t="s">
        <v>20</v>
      </c>
      <c r="D4" s="220" t="s">
        <v>68</v>
      </c>
      <c r="E4" s="220" t="s">
        <v>74</v>
      </c>
      <c r="F4" s="220" t="s">
        <v>75</v>
      </c>
      <c r="G4" s="220" t="s">
        <v>70</v>
      </c>
      <c r="H4" s="220" t="s">
        <v>410</v>
      </c>
      <c r="I4" s="222">
        <v>965.36</v>
      </c>
      <c r="J4" s="222">
        <v>4</v>
      </c>
      <c r="K4" s="222">
        <v>0.6</v>
      </c>
      <c r="L4" s="222" t="s">
        <v>414</v>
      </c>
      <c r="M4" s="222"/>
      <c r="N4" s="222">
        <v>1</v>
      </c>
      <c r="O4" s="222">
        <v>0.2</v>
      </c>
      <c r="P4" s="222" t="s">
        <v>413</v>
      </c>
      <c r="Q4" s="222"/>
      <c r="R4" s="222">
        <v>1</v>
      </c>
      <c r="S4" s="222">
        <v>0.15</v>
      </c>
      <c r="T4" s="415">
        <v>3.3939599999999999</v>
      </c>
      <c r="U4" s="416">
        <v>2</v>
      </c>
      <c r="V4" s="417" t="s">
        <v>418</v>
      </c>
      <c r="W4" s="417">
        <v>2</v>
      </c>
    </row>
    <row r="5" spans="2:23" x14ac:dyDescent="0.35">
      <c r="B5" s="217">
        <v>27</v>
      </c>
      <c r="C5" s="286" t="s">
        <v>17</v>
      </c>
      <c r="D5" s="217" t="s">
        <v>68</v>
      </c>
      <c r="E5" s="217" t="s">
        <v>68</v>
      </c>
      <c r="F5" s="217" t="s">
        <v>71</v>
      </c>
      <c r="G5" s="217" t="s">
        <v>70</v>
      </c>
      <c r="H5" s="217" t="s">
        <v>410</v>
      </c>
      <c r="I5" s="219">
        <v>11004.665000000001</v>
      </c>
      <c r="J5" s="219">
        <v>4</v>
      </c>
      <c r="K5" s="219">
        <v>0.6</v>
      </c>
      <c r="L5" s="219" t="s">
        <v>414</v>
      </c>
      <c r="M5" s="219"/>
      <c r="N5" s="219">
        <v>1</v>
      </c>
      <c r="O5" s="219">
        <v>0.2</v>
      </c>
      <c r="P5" s="219" t="s">
        <v>413</v>
      </c>
      <c r="Q5" s="219"/>
      <c r="R5" s="219">
        <v>1</v>
      </c>
      <c r="S5" s="219">
        <v>0.15</v>
      </c>
      <c r="T5" s="412">
        <v>3.3389600000000002</v>
      </c>
      <c r="U5" s="413">
        <v>3</v>
      </c>
      <c r="V5" s="414" t="s">
        <v>418</v>
      </c>
      <c r="W5" s="414">
        <v>2</v>
      </c>
    </row>
    <row r="6" spans="2:23" x14ac:dyDescent="0.35">
      <c r="B6" s="220">
        <v>42</v>
      </c>
      <c r="C6" s="284" t="s">
        <v>22</v>
      </c>
      <c r="D6" s="220" t="s">
        <v>76</v>
      </c>
      <c r="E6" s="220" t="s">
        <v>76</v>
      </c>
      <c r="F6" s="220" t="s">
        <v>80</v>
      </c>
      <c r="G6" s="220" t="s">
        <v>70</v>
      </c>
      <c r="H6" s="220" t="s">
        <v>422</v>
      </c>
      <c r="I6" s="222">
        <v>880.04200000000003</v>
      </c>
      <c r="J6" s="222">
        <v>4</v>
      </c>
      <c r="K6" s="222">
        <v>0.6</v>
      </c>
      <c r="L6" s="222" t="s">
        <v>427</v>
      </c>
      <c r="M6" s="222"/>
      <c r="N6" s="222">
        <v>2</v>
      </c>
      <c r="O6" s="222">
        <v>0.4</v>
      </c>
      <c r="P6" s="222" t="s">
        <v>413</v>
      </c>
      <c r="Q6" s="222"/>
      <c r="R6" s="222">
        <v>1</v>
      </c>
      <c r="S6" s="222">
        <v>0.15</v>
      </c>
      <c r="T6" s="415">
        <v>3.3109600000000001</v>
      </c>
      <c r="U6" s="416">
        <v>4</v>
      </c>
      <c r="V6" s="417" t="s">
        <v>418</v>
      </c>
      <c r="W6" s="417">
        <v>2</v>
      </c>
    </row>
    <row r="7" spans="2:23" x14ac:dyDescent="0.35">
      <c r="B7" s="217">
        <v>30</v>
      </c>
      <c r="C7" s="418" t="s">
        <v>27</v>
      </c>
      <c r="D7" s="217" t="s">
        <v>68</v>
      </c>
      <c r="E7" s="217" t="s">
        <v>74</v>
      </c>
      <c r="F7" s="217" t="s">
        <v>88</v>
      </c>
      <c r="G7" s="217" t="s">
        <v>70</v>
      </c>
      <c r="H7" s="217" t="s">
        <v>422</v>
      </c>
      <c r="I7" s="219">
        <v>1240.72</v>
      </c>
      <c r="J7" s="219">
        <v>4</v>
      </c>
      <c r="K7" s="219">
        <v>0.6</v>
      </c>
      <c r="L7" s="219" t="s">
        <v>427</v>
      </c>
      <c r="M7" s="219"/>
      <c r="N7" s="219">
        <v>2</v>
      </c>
      <c r="O7" s="219">
        <v>0.4</v>
      </c>
      <c r="P7" s="219" t="s">
        <v>413</v>
      </c>
      <c r="Q7" s="219"/>
      <c r="R7" s="219">
        <v>1</v>
      </c>
      <c r="S7" s="219">
        <v>0.15</v>
      </c>
      <c r="T7" s="412">
        <v>3.24064</v>
      </c>
      <c r="U7" s="413">
        <v>5</v>
      </c>
      <c r="V7" s="414" t="s">
        <v>418</v>
      </c>
      <c r="W7" s="414">
        <v>2</v>
      </c>
    </row>
    <row r="8" spans="2:23" ht="27" x14ac:dyDescent="0.35">
      <c r="B8" s="220">
        <v>18</v>
      </c>
      <c r="C8" s="221" t="s">
        <v>24</v>
      </c>
      <c r="D8" s="220" t="s">
        <v>76</v>
      </c>
      <c r="E8" s="220" t="s">
        <v>82</v>
      </c>
      <c r="F8" s="220" t="s">
        <v>83</v>
      </c>
      <c r="G8" s="220" t="s">
        <v>70</v>
      </c>
      <c r="H8" s="220" t="s">
        <v>430</v>
      </c>
      <c r="I8" s="222">
        <v>201.83</v>
      </c>
      <c r="J8" s="222">
        <v>3</v>
      </c>
      <c r="K8" s="222">
        <v>0.44999999999999996</v>
      </c>
      <c r="L8" s="222" t="s">
        <v>413</v>
      </c>
      <c r="M8" s="222" t="s">
        <v>1070</v>
      </c>
      <c r="N8" s="222">
        <v>4</v>
      </c>
      <c r="O8" s="222">
        <v>0.8</v>
      </c>
      <c r="P8" s="222" t="s">
        <v>427</v>
      </c>
      <c r="Q8" s="222"/>
      <c r="R8" s="222">
        <v>2</v>
      </c>
      <c r="S8" s="222">
        <v>0.3</v>
      </c>
      <c r="T8" s="415">
        <v>3.2373000000000003</v>
      </c>
      <c r="U8" s="416">
        <v>6</v>
      </c>
      <c r="V8" s="417" t="s">
        <v>418</v>
      </c>
      <c r="W8" s="417">
        <v>1</v>
      </c>
    </row>
    <row r="9" spans="2:23" x14ac:dyDescent="0.35">
      <c r="B9" s="217">
        <v>3</v>
      </c>
      <c r="C9" s="287" t="s">
        <v>42</v>
      </c>
      <c r="D9" s="288" t="s">
        <v>68</v>
      </c>
      <c r="E9" s="288" t="s">
        <v>68</v>
      </c>
      <c r="F9" s="288" t="s">
        <v>81</v>
      </c>
      <c r="G9" s="288" t="s">
        <v>70</v>
      </c>
      <c r="H9" s="288" t="s">
        <v>422</v>
      </c>
      <c r="I9" s="289">
        <v>634.9</v>
      </c>
      <c r="J9" s="289">
        <v>4</v>
      </c>
      <c r="K9" s="289">
        <v>0.6</v>
      </c>
      <c r="L9" s="289" t="s">
        <v>427</v>
      </c>
      <c r="M9" s="289"/>
      <c r="N9" s="289">
        <v>2</v>
      </c>
      <c r="O9" s="289">
        <v>0.4</v>
      </c>
      <c r="P9" s="289" t="s">
        <v>413</v>
      </c>
      <c r="Q9" s="289"/>
      <c r="R9" s="289">
        <v>1</v>
      </c>
      <c r="S9" s="289">
        <v>0.15</v>
      </c>
      <c r="T9" s="412">
        <v>3.2329599999999998</v>
      </c>
      <c r="U9" s="413">
        <v>7</v>
      </c>
      <c r="V9" s="414" t="s">
        <v>418</v>
      </c>
      <c r="W9" s="414">
        <v>2</v>
      </c>
    </row>
    <row r="10" spans="2:23" x14ac:dyDescent="0.35">
      <c r="B10" s="217">
        <v>13</v>
      </c>
      <c r="C10" s="287" t="s">
        <v>26</v>
      </c>
      <c r="D10" s="288" t="s">
        <v>76</v>
      </c>
      <c r="E10" s="288" t="s">
        <v>76</v>
      </c>
      <c r="F10" s="288" t="s">
        <v>87</v>
      </c>
      <c r="G10" s="288" t="s">
        <v>70</v>
      </c>
      <c r="H10" s="288" t="s">
        <v>422</v>
      </c>
      <c r="I10" s="289">
        <v>104.985</v>
      </c>
      <c r="J10" s="290">
        <v>3</v>
      </c>
      <c r="K10" s="289">
        <v>0.44999999999999996</v>
      </c>
      <c r="L10" s="289" t="s">
        <v>413</v>
      </c>
      <c r="M10" s="289"/>
      <c r="N10" s="289">
        <v>4</v>
      </c>
      <c r="O10" s="289">
        <v>0.8</v>
      </c>
      <c r="P10" s="289" t="s">
        <v>413</v>
      </c>
      <c r="Q10" s="289"/>
      <c r="R10" s="289">
        <v>1</v>
      </c>
      <c r="S10" s="289">
        <v>0.15</v>
      </c>
      <c r="T10" s="415">
        <v>3.2309600000000001</v>
      </c>
      <c r="U10" s="416">
        <v>8</v>
      </c>
      <c r="V10" s="417" t="s">
        <v>418</v>
      </c>
      <c r="W10" s="417">
        <v>2</v>
      </c>
    </row>
    <row r="11" spans="2:23" x14ac:dyDescent="0.35">
      <c r="B11" s="217">
        <v>33</v>
      </c>
      <c r="C11" s="284" t="s">
        <v>30</v>
      </c>
      <c r="D11" s="217" t="s">
        <v>68</v>
      </c>
      <c r="E11" s="217" t="s">
        <v>74</v>
      </c>
      <c r="F11" s="217" t="s">
        <v>88</v>
      </c>
      <c r="G11" s="217" t="s">
        <v>70</v>
      </c>
      <c r="H11" s="217" t="s">
        <v>410</v>
      </c>
      <c r="I11" s="219">
        <v>1000</v>
      </c>
      <c r="J11" s="219">
        <v>4</v>
      </c>
      <c r="K11" s="219">
        <v>0.6</v>
      </c>
      <c r="L11" s="219" t="s">
        <v>427</v>
      </c>
      <c r="M11" s="219"/>
      <c r="N11" s="219">
        <v>2</v>
      </c>
      <c r="O11" s="219">
        <v>0.4</v>
      </c>
      <c r="P11" s="219" t="s">
        <v>413</v>
      </c>
      <c r="Q11" s="219"/>
      <c r="R11" s="219">
        <v>1</v>
      </c>
      <c r="S11" s="219">
        <v>0.15</v>
      </c>
      <c r="T11" s="412">
        <v>3.2306400000000002</v>
      </c>
      <c r="U11" s="413">
        <v>9</v>
      </c>
      <c r="V11" s="414" t="s">
        <v>418</v>
      </c>
      <c r="W11" s="414">
        <v>2</v>
      </c>
    </row>
    <row r="12" spans="2:23" x14ac:dyDescent="0.35">
      <c r="B12" s="220">
        <v>34</v>
      </c>
      <c r="C12" s="284" t="s">
        <v>37</v>
      </c>
      <c r="D12" s="220" t="s">
        <v>84</v>
      </c>
      <c r="E12" s="220" t="s">
        <v>97</v>
      </c>
      <c r="F12" s="220" t="s">
        <v>98</v>
      </c>
      <c r="G12" s="220" t="s">
        <v>70</v>
      </c>
      <c r="H12" s="220" t="s">
        <v>422</v>
      </c>
      <c r="I12" s="222">
        <v>205.22</v>
      </c>
      <c r="J12" s="222">
        <v>3</v>
      </c>
      <c r="K12" s="222">
        <v>0.44999999999999996</v>
      </c>
      <c r="L12" s="222" t="s">
        <v>427</v>
      </c>
      <c r="M12" s="222"/>
      <c r="N12" s="222">
        <v>2</v>
      </c>
      <c r="O12" s="222">
        <v>0.4</v>
      </c>
      <c r="P12" s="222" t="s">
        <v>413</v>
      </c>
      <c r="Q12" s="222"/>
      <c r="R12" s="222">
        <v>1</v>
      </c>
      <c r="S12" s="222">
        <v>0.15</v>
      </c>
      <c r="T12" s="415">
        <v>3.0396400000000003</v>
      </c>
      <c r="U12" s="419">
        <v>13</v>
      </c>
      <c r="V12" s="417" t="s">
        <v>418</v>
      </c>
      <c r="W12" s="417">
        <v>2</v>
      </c>
    </row>
    <row r="13" spans="2:23" x14ac:dyDescent="0.35">
      <c r="B13" s="217">
        <v>58</v>
      </c>
      <c r="C13" s="218" t="s">
        <v>36</v>
      </c>
      <c r="D13" s="217" t="s">
        <v>94</v>
      </c>
      <c r="E13" s="217" t="s">
        <v>95</v>
      </c>
      <c r="F13" s="217" t="s">
        <v>96</v>
      </c>
      <c r="G13" s="217" t="s">
        <v>70</v>
      </c>
      <c r="H13" s="217" t="s">
        <v>410</v>
      </c>
      <c r="I13" s="219">
        <v>352.12</v>
      </c>
      <c r="J13" s="219">
        <v>3</v>
      </c>
      <c r="K13" s="219">
        <v>0.44999999999999996</v>
      </c>
      <c r="L13" s="219" t="s">
        <v>414</v>
      </c>
      <c r="M13" s="219"/>
      <c r="N13" s="219">
        <v>1</v>
      </c>
      <c r="O13" s="219">
        <v>0.2</v>
      </c>
      <c r="P13" s="219" t="s">
        <v>413</v>
      </c>
      <c r="Q13" s="219"/>
      <c r="R13" s="219">
        <v>1</v>
      </c>
      <c r="S13" s="219">
        <v>0.15</v>
      </c>
      <c r="T13" s="412">
        <v>2.9382999999999999</v>
      </c>
      <c r="U13" s="419">
        <v>17</v>
      </c>
      <c r="V13" s="414" t="s">
        <v>418</v>
      </c>
      <c r="W13" s="414">
        <v>2</v>
      </c>
    </row>
    <row r="14" spans="2:23" x14ac:dyDescent="0.35">
      <c r="B14" s="217">
        <v>7</v>
      </c>
      <c r="C14" s="284" t="s">
        <v>49</v>
      </c>
      <c r="D14" s="217" t="s">
        <v>113</v>
      </c>
      <c r="E14" s="217" t="s">
        <v>114</v>
      </c>
      <c r="F14" s="217" t="s">
        <v>115</v>
      </c>
      <c r="G14" s="217" t="s">
        <v>70</v>
      </c>
      <c r="H14" s="217" t="s">
        <v>422</v>
      </c>
      <c r="I14" s="219">
        <v>251.43</v>
      </c>
      <c r="J14" s="222">
        <v>3</v>
      </c>
      <c r="K14" s="219">
        <v>0.44999999999999996</v>
      </c>
      <c r="L14" s="219" t="s">
        <v>427</v>
      </c>
      <c r="M14" s="219"/>
      <c r="N14" s="219">
        <v>2</v>
      </c>
      <c r="O14" s="219">
        <v>0.4</v>
      </c>
      <c r="P14" s="219" t="s">
        <v>413</v>
      </c>
      <c r="Q14" s="219"/>
      <c r="R14" s="219">
        <v>1</v>
      </c>
      <c r="S14" s="219">
        <v>0.15</v>
      </c>
      <c r="T14" s="415">
        <v>2.9399600000000001</v>
      </c>
      <c r="U14" s="420">
        <v>16</v>
      </c>
      <c r="V14" s="417" t="s">
        <v>418</v>
      </c>
      <c r="W14" s="417">
        <v>2</v>
      </c>
    </row>
    <row r="15" spans="2:23" x14ac:dyDescent="0.35">
      <c r="B15" s="217">
        <v>21</v>
      </c>
      <c r="C15" s="218" t="s">
        <v>43</v>
      </c>
      <c r="D15" s="217" t="s">
        <v>104</v>
      </c>
      <c r="E15" s="217" t="s">
        <v>105</v>
      </c>
      <c r="F15" s="217" t="s">
        <v>106</v>
      </c>
      <c r="G15" s="217" t="s">
        <v>70</v>
      </c>
      <c r="H15" s="217" t="s">
        <v>410</v>
      </c>
      <c r="I15" s="219">
        <v>441.64</v>
      </c>
      <c r="J15" s="219">
        <v>3</v>
      </c>
      <c r="K15" s="219">
        <v>0.44999999999999996</v>
      </c>
      <c r="L15" s="219" t="s">
        <v>427</v>
      </c>
      <c r="M15" s="219"/>
      <c r="N15" s="219">
        <v>2</v>
      </c>
      <c r="O15" s="219">
        <v>0.4</v>
      </c>
      <c r="P15" s="219" t="s">
        <v>427</v>
      </c>
      <c r="Q15" s="219"/>
      <c r="R15" s="219">
        <v>2</v>
      </c>
      <c r="S15" s="219">
        <v>0.3</v>
      </c>
      <c r="T15" s="412">
        <v>2.8826400000000003</v>
      </c>
      <c r="U15" s="420">
        <v>18</v>
      </c>
      <c r="V15" s="414" t="s">
        <v>418</v>
      </c>
      <c r="W15" s="414">
        <v>2</v>
      </c>
    </row>
    <row r="16" spans="2:23" x14ac:dyDescent="0.35">
      <c r="B16" s="217">
        <v>1</v>
      </c>
      <c r="C16" s="285" t="s">
        <v>53</v>
      </c>
      <c r="D16" s="217" t="s">
        <v>119</v>
      </c>
      <c r="E16" s="217" t="s">
        <v>119</v>
      </c>
      <c r="F16" s="217" t="s">
        <v>120</v>
      </c>
      <c r="G16" s="217" t="s">
        <v>70</v>
      </c>
      <c r="H16" s="217" t="s">
        <v>422</v>
      </c>
      <c r="I16" s="219">
        <v>300</v>
      </c>
      <c r="J16" s="222">
        <v>3</v>
      </c>
      <c r="K16" s="219">
        <v>0.44999999999999996</v>
      </c>
      <c r="L16" s="222" t="s">
        <v>413</v>
      </c>
      <c r="M16" s="222"/>
      <c r="N16" s="219">
        <v>4</v>
      </c>
      <c r="O16" s="219">
        <v>0.8</v>
      </c>
      <c r="P16" s="222" t="s">
        <v>414</v>
      </c>
      <c r="Q16" s="222"/>
      <c r="R16" s="219">
        <v>4</v>
      </c>
      <c r="S16" s="219">
        <v>0.6</v>
      </c>
      <c r="T16" s="415">
        <v>2.8623000000000003</v>
      </c>
      <c r="U16" s="420">
        <v>19</v>
      </c>
      <c r="V16" s="417" t="s">
        <v>418</v>
      </c>
      <c r="W16" s="417">
        <v>2</v>
      </c>
    </row>
    <row r="17" spans="2:23" x14ac:dyDescent="0.35">
      <c r="B17" s="217">
        <v>44</v>
      </c>
      <c r="C17" s="218" t="s">
        <v>59</v>
      </c>
      <c r="D17" s="217" t="s">
        <v>121</v>
      </c>
      <c r="E17" s="217" t="s">
        <v>128</v>
      </c>
      <c r="F17" s="217" t="s">
        <v>129</v>
      </c>
      <c r="G17" s="217" t="s">
        <v>70</v>
      </c>
      <c r="H17" s="217" t="s">
        <v>422</v>
      </c>
      <c r="I17" s="219">
        <v>107.73</v>
      </c>
      <c r="J17" s="219">
        <v>3</v>
      </c>
      <c r="K17" s="219">
        <v>0.44999999999999996</v>
      </c>
      <c r="L17" s="219" t="s">
        <v>427</v>
      </c>
      <c r="M17" s="219"/>
      <c r="N17" s="219">
        <v>2</v>
      </c>
      <c r="O17" s="219">
        <v>0.4</v>
      </c>
      <c r="P17" s="219" t="s">
        <v>427</v>
      </c>
      <c r="Q17" s="219"/>
      <c r="R17" s="219">
        <v>2</v>
      </c>
      <c r="S17" s="219">
        <v>0.3</v>
      </c>
      <c r="T17" s="412">
        <v>2.66764</v>
      </c>
      <c r="U17" s="420">
        <v>41</v>
      </c>
      <c r="V17" s="414" t="s">
        <v>418</v>
      </c>
      <c r="W17" s="414">
        <v>2</v>
      </c>
    </row>
    <row r="18" spans="2:23" x14ac:dyDescent="0.35">
      <c r="B18" s="220">
        <v>38</v>
      </c>
      <c r="C18" s="287" t="s">
        <v>29</v>
      </c>
      <c r="D18" s="293" t="s">
        <v>76</v>
      </c>
      <c r="E18" s="293" t="s">
        <v>77</v>
      </c>
      <c r="F18" s="293" t="s">
        <v>89</v>
      </c>
      <c r="G18" s="293" t="s">
        <v>70</v>
      </c>
      <c r="H18" s="293" t="s">
        <v>431</v>
      </c>
      <c r="I18" s="290">
        <v>276.12</v>
      </c>
      <c r="J18" s="290">
        <v>3</v>
      </c>
      <c r="K18" s="290">
        <v>0.44999999999999996</v>
      </c>
      <c r="L18" s="290" t="s">
        <v>414</v>
      </c>
      <c r="M18" s="290"/>
      <c r="N18" s="290">
        <v>1</v>
      </c>
      <c r="O18" s="290">
        <v>0.2</v>
      </c>
      <c r="P18" s="290" t="s">
        <v>414</v>
      </c>
      <c r="Q18" s="290"/>
      <c r="R18" s="290">
        <v>4</v>
      </c>
      <c r="S18" s="290">
        <v>0.6</v>
      </c>
      <c r="T18" s="415">
        <v>3.1529600000000002</v>
      </c>
      <c r="U18" s="416">
        <v>10</v>
      </c>
      <c r="V18" s="417" t="s">
        <v>418</v>
      </c>
      <c r="W18" s="417">
        <v>2</v>
      </c>
    </row>
    <row r="19" spans="2:23" x14ac:dyDescent="0.35">
      <c r="B19" s="217">
        <v>60</v>
      </c>
      <c r="C19" s="284" t="s">
        <v>19</v>
      </c>
      <c r="D19" s="217" t="s">
        <v>68</v>
      </c>
      <c r="E19" s="217" t="s">
        <v>68</v>
      </c>
      <c r="F19" s="217" t="s">
        <v>69</v>
      </c>
      <c r="G19" s="217" t="s">
        <v>70</v>
      </c>
      <c r="H19" s="217" t="s">
        <v>422</v>
      </c>
      <c r="I19" s="219">
        <v>1918.807</v>
      </c>
      <c r="J19" s="219">
        <v>4</v>
      </c>
      <c r="K19" s="219">
        <v>0.6</v>
      </c>
      <c r="L19" s="219" t="s">
        <v>427</v>
      </c>
      <c r="M19" s="219"/>
      <c r="N19" s="219">
        <v>2</v>
      </c>
      <c r="O19" s="219">
        <v>0.4</v>
      </c>
      <c r="P19" s="219" t="s">
        <v>413</v>
      </c>
      <c r="Q19" s="219"/>
      <c r="R19" s="219">
        <v>1</v>
      </c>
      <c r="S19" s="219">
        <v>0.15</v>
      </c>
      <c r="T19" s="412">
        <v>3.1223000000000001</v>
      </c>
      <c r="U19" s="421">
        <v>11</v>
      </c>
      <c r="V19" s="414" t="s">
        <v>418</v>
      </c>
      <c r="W19" s="414">
        <v>2</v>
      </c>
    </row>
    <row r="20" spans="2:23" x14ac:dyDescent="0.35">
      <c r="B20" s="217">
        <v>37</v>
      </c>
      <c r="C20" s="218" t="s">
        <v>28</v>
      </c>
      <c r="D20" s="217" t="s">
        <v>68</v>
      </c>
      <c r="E20" s="217" t="s">
        <v>74</v>
      </c>
      <c r="F20" s="217" t="s">
        <v>75</v>
      </c>
      <c r="G20" s="217" t="s">
        <v>70</v>
      </c>
      <c r="H20" s="217" t="s">
        <v>410</v>
      </c>
      <c r="I20" s="219">
        <v>293.05</v>
      </c>
      <c r="J20" s="222">
        <v>3</v>
      </c>
      <c r="K20" s="219">
        <v>0.44999999999999996</v>
      </c>
      <c r="L20" s="219" t="s">
        <v>414</v>
      </c>
      <c r="M20" s="219"/>
      <c r="N20" s="219">
        <v>1</v>
      </c>
      <c r="O20" s="219">
        <v>0.2</v>
      </c>
      <c r="P20" s="219" t="s">
        <v>413</v>
      </c>
      <c r="Q20" s="219"/>
      <c r="R20" s="219">
        <v>1</v>
      </c>
      <c r="S20" s="219">
        <v>0.15</v>
      </c>
      <c r="T20" s="415">
        <v>3.0666400000000005</v>
      </c>
      <c r="U20" s="422">
        <v>12</v>
      </c>
      <c r="V20" s="417" t="s">
        <v>418</v>
      </c>
      <c r="W20" s="417">
        <v>2</v>
      </c>
    </row>
    <row r="21" spans="2:23" x14ac:dyDescent="0.35">
      <c r="B21" s="217">
        <v>16</v>
      </c>
      <c r="C21" s="218" t="s">
        <v>18</v>
      </c>
      <c r="D21" s="217" t="s">
        <v>68</v>
      </c>
      <c r="E21" s="217" t="s">
        <v>72</v>
      </c>
      <c r="F21" s="217" t="s">
        <v>73</v>
      </c>
      <c r="G21" s="217" t="s">
        <v>70</v>
      </c>
      <c r="H21" s="217" t="s">
        <v>422</v>
      </c>
      <c r="I21" s="219">
        <v>9549.5499999999993</v>
      </c>
      <c r="J21" s="219">
        <v>4</v>
      </c>
      <c r="K21" s="219">
        <v>0.6</v>
      </c>
      <c r="L21" s="219" t="s">
        <v>414</v>
      </c>
      <c r="M21" s="219"/>
      <c r="N21" s="219">
        <v>1</v>
      </c>
      <c r="O21" s="219">
        <v>0.2</v>
      </c>
      <c r="P21" s="219" t="s">
        <v>413</v>
      </c>
      <c r="Q21" s="219"/>
      <c r="R21" s="219">
        <v>1</v>
      </c>
      <c r="S21" s="219">
        <v>0.15</v>
      </c>
      <c r="T21" s="412">
        <v>3.0253000000000001</v>
      </c>
      <c r="U21" s="413">
        <v>14</v>
      </c>
      <c r="V21" s="414" t="s">
        <v>418</v>
      </c>
      <c r="W21" s="414">
        <v>2</v>
      </c>
    </row>
    <row r="22" spans="2:23" ht="27" x14ac:dyDescent="0.35">
      <c r="B22" s="220">
        <v>12</v>
      </c>
      <c r="C22" s="221" t="s">
        <v>45</v>
      </c>
      <c r="D22" s="220" t="s">
        <v>76</v>
      </c>
      <c r="E22" s="220" t="s">
        <v>76</v>
      </c>
      <c r="F22" s="220" t="s">
        <v>109</v>
      </c>
      <c r="G22" s="220" t="s">
        <v>70</v>
      </c>
      <c r="H22" s="220" t="s">
        <v>431</v>
      </c>
      <c r="I22" s="222">
        <v>316.35000000000002</v>
      </c>
      <c r="J22" s="222">
        <v>3</v>
      </c>
      <c r="K22" s="222">
        <v>0.44999999999999996</v>
      </c>
      <c r="L22" s="222" t="s">
        <v>440</v>
      </c>
      <c r="M22" s="222"/>
      <c r="N22" s="222">
        <v>1</v>
      </c>
      <c r="O22" s="222">
        <v>0.2</v>
      </c>
      <c r="P22" s="222" t="s">
        <v>440</v>
      </c>
      <c r="Q22" s="222"/>
      <c r="R22" s="222">
        <v>1</v>
      </c>
      <c r="S22" s="222">
        <v>0.15</v>
      </c>
      <c r="T22" s="423">
        <v>2.8609600000000004</v>
      </c>
      <c r="U22" s="424">
        <v>20</v>
      </c>
      <c r="V22" s="417" t="s">
        <v>418</v>
      </c>
      <c r="W22" s="417">
        <v>2</v>
      </c>
    </row>
    <row r="23" spans="2:23" x14ac:dyDescent="0.35">
      <c r="B23" s="217">
        <v>67</v>
      </c>
      <c r="C23" s="218" t="s">
        <v>25</v>
      </c>
      <c r="D23" s="217" t="s">
        <v>84</v>
      </c>
      <c r="E23" s="217" t="s">
        <v>85</v>
      </c>
      <c r="F23" s="217" t="s">
        <v>86</v>
      </c>
      <c r="G23" s="217" t="s">
        <v>79</v>
      </c>
      <c r="H23" s="217" t="s">
        <v>431</v>
      </c>
      <c r="I23" s="219">
        <v>382.07209999999998</v>
      </c>
      <c r="J23" s="219">
        <v>3</v>
      </c>
      <c r="K23" s="219">
        <v>0.44999999999999996</v>
      </c>
      <c r="L23" s="219" t="s">
        <v>427</v>
      </c>
      <c r="M23" s="219"/>
      <c r="N23" s="219">
        <v>2</v>
      </c>
      <c r="O23" s="219">
        <v>0.4</v>
      </c>
      <c r="P23" s="219" t="s">
        <v>414</v>
      </c>
      <c r="Q23" s="219"/>
      <c r="R23" s="219">
        <v>4</v>
      </c>
      <c r="S23" s="219">
        <v>0.6</v>
      </c>
      <c r="T23" s="412">
        <v>2.9473000000000003</v>
      </c>
      <c r="U23" s="421">
        <v>15</v>
      </c>
      <c r="V23" s="414" t="s">
        <v>418</v>
      </c>
      <c r="W23" s="414">
        <v>2</v>
      </c>
    </row>
    <row r="24" spans="2:23" ht="27" x14ac:dyDescent="0.35">
      <c r="B24" s="217">
        <v>89</v>
      </c>
      <c r="C24" s="218" t="s">
        <v>32</v>
      </c>
      <c r="D24" s="217" t="s">
        <v>68</v>
      </c>
      <c r="E24" s="217" t="s">
        <v>68</v>
      </c>
      <c r="F24" s="217" t="s">
        <v>81</v>
      </c>
      <c r="G24" s="217" t="s">
        <v>92</v>
      </c>
      <c r="H24" s="217" t="s">
        <v>410</v>
      </c>
      <c r="I24" s="219">
        <v>65.247799999999998</v>
      </c>
      <c r="J24" s="222">
        <v>2</v>
      </c>
      <c r="K24" s="219">
        <v>0.3</v>
      </c>
      <c r="L24" s="222" t="s">
        <v>440</v>
      </c>
      <c r="M24" s="222"/>
      <c r="N24" s="219">
        <v>1</v>
      </c>
      <c r="O24" s="219">
        <v>0.2</v>
      </c>
      <c r="P24" s="222" t="s">
        <v>440</v>
      </c>
      <c r="Q24" s="222"/>
      <c r="R24" s="219">
        <v>1</v>
      </c>
      <c r="S24" s="219">
        <v>0.15</v>
      </c>
      <c r="T24" s="415">
        <v>2.8529599999999999</v>
      </c>
      <c r="U24" s="416">
        <v>22</v>
      </c>
      <c r="V24" s="417" t="s">
        <v>418</v>
      </c>
      <c r="W24" s="417">
        <v>2</v>
      </c>
    </row>
    <row r="25" spans="2:23" ht="27" x14ac:dyDescent="0.35">
      <c r="B25" s="217">
        <v>85</v>
      </c>
      <c r="C25" s="218" t="s">
        <v>34</v>
      </c>
      <c r="D25" s="217" t="s">
        <v>76</v>
      </c>
      <c r="E25" s="217" t="s">
        <v>76</v>
      </c>
      <c r="F25" s="217" t="s">
        <v>87</v>
      </c>
      <c r="G25" s="217" t="s">
        <v>92</v>
      </c>
      <c r="H25" s="217" t="s">
        <v>410</v>
      </c>
      <c r="I25" s="219">
        <v>53.872700000000002</v>
      </c>
      <c r="J25" s="219">
        <v>2</v>
      </c>
      <c r="K25" s="219">
        <v>0.3</v>
      </c>
      <c r="L25" s="219" t="s">
        <v>440</v>
      </c>
      <c r="M25" s="219"/>
      <c r="N25" s="219">
        <v>1</v>
      </c>
      <c r="O25" s="219">
        <v>0.2</v>
      </c>
      <c r="P25" s="219" t="s">
        <v>440</v>
      </c>
      <c r="Q25" s="219"/>
      <c r="R25" s="219">
        <v>1</v>
      </c>
      <c r="S25" s="219">
        <v>0.15</v>
      </c>
      <c r="T25" s="412">
        <v>2.8509600000000002</v>
      </c>
      <c r="U25" s="413">
        <v>23</v>
      </c>
      <c r="V25" s="414" t="s">
        <v>418</v>
      </c>
      <c r="W25" s="414">
        <v>2</v>
      </c>
    </row>
    <row r="26" spans="2:23" x14ac:dyDescent="0.35">
      <c r="B26" s="217">
        <v>75</v>
      </c>
      <c r="C26" s="218" t="s">
        <v>33</v>
      </c>
      <c r="D26" s="217" t="s">
        <v>76</v>
      </c>
      <c r="E26" s="217" t="s">
        <v>77</v>
      </c>
      <c r="F26" s="217" t="s">
        <v>93</v>
      </c>
      <c r="G26" s="217" t="s">
        <v>92</v>
      </c>
      <c r="H26" s="217" t="s">
        <v>410</v>
      </c>
      <c r="I26" s="219">
        <v>150</v>
      </c>
      <c r="J26" s="222">
        <v>3</v>
      </c>
      <c r="K26" s="219">
        <v>0.44999999999999996</v>
      </c>
      <c r="L26" s="222" t="s">
        <v>440</v>
      </c>
      <c r="M26" s="222"/>
      <c r="N26" s="219">
        <v>1</v>
      </c>
      <c r="O26" s="219">
        <v>0.2</v>
      </c>
      <c r="P26" s="222" t="s">
        <v>440</v>
      </c>
      <c r="Q26" s="222"/>
      <c r="R26" s="219">
        <v>1</v>
      </c>
      <c r="S26" s="219">
        <v>0.15</v>
      </c>
      <c r="T26" s="415">
        <v>2.8329599999999999</v>
      </c>
      <c r="U26" s="416">
        <v>24</v>
      </c>
      <c r="V26" s="417" t="s">
        <v>418</v>
      </c>
      <c r="W26" s="417">
        <v>2</v>
      </c>
    </row>
    <row r="27" spans="2:23" x14ac:dyDescent="0.35">
      <c r="B27" s="217">
        <v>81</v>
      </c>
      <c r="C27" s="218" t="s">
        <v>38</v>
      </c>
      <c r="D27" s="217" t="s">
        <v>76</v>
      </c>
      <c r="E27" s="217" t="s">
        <v>77</v>
      </c>
      <c r="F27" s="217" t="s">
        <v>99</v>
      </c>
      <c r="G27" s="217" t="s">
        <v>92</v>
      </c>
      <c r="H27" s="217" t="s">
        <v>410</v>
      </c>
      <c r="I27" s="219">
        <v>91.214100000000002</v>
      </c>
      <c r="J27" s="219">
        <v>2</v>
      </c>
      <c r="K27" s="219">
        <v>0.3</v>
      </c>
      <c r="L27" s="219" t="s">
        <v>440</v>
      </c>
      <c r="M27" s="219"/>
      <c r="N27" s="219">
        <v>1</v>
      </c>
      <c r="O27" s="219">
        <v>0.2</v>
      </c>
      <c r="P27" s="219" t="s">
        <v>440</v>
      </c>
      <c r="Q27" s="219"/>
      <c r="R27" s="219">
        <v>1</v>
      </c>
      <c r="S27" s="219">
        <v>0.15</v>
      </c>
      <c r="T27" s="412">
        <v>2.8029600000000001</v>
      </c>
      <c r="U27" s="413">
        <v>26</v>
      </c>
      <c r="V27" s="414" t="s">
        <v>418</v>
      </c>
      <c r="W27" s="414">
        <v>2</v>
      </c>
    </row>
    <row r="28" spans="2:23" x14ac:dyDescent="0.35">
      <c r="B28" s="220">
        <v>92</v>
      </c>
      <c r="C28" s="221" t="s">
        <v>39</v>
      </c>
      <c r="D28" s="220" t="s">
        <v>76</v>
      </c>
      <c r="E28" s="220" t="s">
        <v>77</v>
      </c>
      <c r="F28" s="220" t="s">
        <v>93</v>
      </c>
      <c r="G28" s="220" t="s">
        <v>92</v>
      </c>
      <c r="H28" s="220" t="s">
        <v>410</v>
      </c>
      <c r="I28" s="222">
        <v>67.916300000000007</v>
      </c>
      <c r="J28" s="222">
        <v>2</v>
      </c>
      <c r="K28" s="222">
        <v>0.3</v>
      </c>
      <c r="L28" s="222" t="s">
        <v>440</v>
      </c>
      <c r="M28" s="222"/>
      <c r="N28" s="222">
        <v>1</v>
      </c>
      <c r="O28" s="222">
        <v>0.2</v>
      </c>
      <c r="P28" s="222" t="s">
        <v>440</v>
      </c>
      <c r="Q28" s="222"/>
      <c r="R28" s="222">
        <v>1</v>
      </c>
      <c r="S28" s="222">
        <v>0.15</v>
      </c>
      <c r="T28" s="415">
        <v>2.8029600000000001</v>
      </c>
      <c r="U28" s="416">
        <v>26</v>
      </c>
      <c r="V28" s="417" t="s">
        <v>418</v>
      </c>
      <c r="W28" s="417">
        <v>2</v>
      </c>
    </row>
    <row r="29" spans="2:23" ht="27" x14ac:dyDescent="0.35">
      <c r="B29" s="217">
        <v>93</v>
      </c>
      <c r="C29" s="218" t="s">
        <v>35</v>
      </c>
      <c r="D29" s="217" t="s">
        <v>76</v>
      </c>
      <c r="E29" s="217" t="s">
        <v>77</v>
      </c>
      <c r="F29" s="217" t="s">
        <v>93</v>
      </c>
      <c r="G29" s="217" t="s">
        <v>92</v>
      </c>
      <c r="H29" s="217" t="s">
        <v>410</v>
      </c>
      <c r="I29" s="219">
        <v>80</v>
      </c>
      <c r="J29" s="219">
        <v>2</v>
      </c>
      <c r="K29" s="219">
        <v>0.3</v>
      </c>
      <c r="L29" s="219" t="s">
        <v>440</v>
      </c>
      <c r="M29" s="219"/>
      <c r="N29" s="219">
        <v>1</v>
      </c>
      <c r="O29" s="219">
        <v>0.2</v>
      </c>
      <c r="P29" s="219" t="s">
        <v>440</v>
      </c>
      <c r="Q29" s="219"/>
      <c r="R29" s="219">
        <v>1</v>
      </c>
      <c r="S29" s="219">
        <v>0.15</v>
      </c>
      <c r="T29" s="412">
        <v>2.8029600000000001</v>
      </c>
      <c r="U29" s="413">
        <v>26</v>
      </c>
      <c r="V29" s="414" t="s">
        <v>418</v>
      </c>
      <c r="W29" s="414">
        <v>2</v>
      </c>
    </row>
    <row r="30" spans="2:23" x14ac:dyDescent="0.35">
      <c r="B30" s="217">
        <v>79</v>
      </c>
      <c r="C30" s="218" t="s">
        <v>44</v>
      </c>
      <c r="D30" s="217" t="s">
        <v>76</v>
      </c>
      <c r="E30" s="217" t="s">
        <v>107</v>
      </c>
      <c r="F30" s="217" t="s">
        <v>108</v>
      </c>
      <c r="G30" s="217" t="s">
        <v>92</v>
      </c>
      <c r="H30" s="217" t="s">
        <v>410</v>
      </c>
      <c r="I30" s="219">
        <v>65</v>
      </c>
      <c r="J30" s="222">
        <v>2</v>
      </c>
      <c r="K30" s="219">
        <v>0.3</v>
      </c>
      <c r="L30" s="222" t="s">
        <v>440</v>
      </c>
      <c r="M30" s="222"/>
      <c r="N30" s="219">
        <v>1</v>
      </c>
      <c r="O30" s="219">
        <v>0.2</v>
      </c>
      <c r="P30" s="222" t="s">
        <v>440</v>
      </c>
      <c r="Q30" s="222"/>
      <c r="R30" s="219">
        <v>1</v>
      </c>
      <c r="S30" s="219">
        <v>0.15</v>
      </c>
      <c r="T30" s="415">
        <v>2.8023000000000002</v>
      </c>
      <c r="U30" s="422">
        <v>29</v>
      </c>
      <c r="V30" s="417" t="s">
        <v>418</v>
      </c>
      <c r="W30" s="417">
        <v>2</v>
      </c>
    </row>
    <row r="31" spans="2:23" ht="27" x14ac:dyDescent="0.35">
      <c r="B31" s="217">
        <v>90</v>
      </c>
      <c r="C31" s="305" t="s">
        <v>47</v>
      </c>
      <c r="D31" s="217" t="s">
        <v>68</v>
      </c>
      <c r="E31" s="217" t="s">
        <v>68</v>
      </c>
      <c r="F31" s="217" t="s">
        <v>111</v>
      </c>
      <c r="G31" s="217" t="s">
        <v>92</v>
      </c>
      <c r="H31" s="217" t="s">
        <v>430</v>
      </c>
      <c r="I31" s="219">
        <v>130.62530000000001</v>
      </c>
      <c r="J31" s="219">
        <v>3</v>
      </c>
      <c r="K31" s="219">
        <v>0.44999999999999996</v>
      </c>
      <c r="L31" s="219" t="s">
        <v>440</v>
      </c>
      <c r="M31" s="219"/>
      <c r="N31" s="219">
        <v>1</v>
      </c>
      <c r="O31" s="219">
        <v>0.2</v>
      </c>
      <c r="P31" s="219" t="s">
        <v>440</v>
      </c>
      <c r="Q31" s="219"/>
      <c r="R31" s="219">
        <v>1</v>
      </c>
      <c r="S31" s="219">
        <v>0.15</v>
      </c>
      <c r="T31" s="412">
        <v>2.7829600000000001</v>
      </c>
      <c r="U31" s="421">
        <v>30</v>
      </c>
      <c r="V31" s="414" t="s">
        <v>418</v>
      </c>
      <c r="W31" s="414">
        <v>2</v>
      </c>
    </row>
    <row r="32" spans="2:23" x14ac:dyDescent="0.35">
      <c r="B32" s="217">
        <v>65</v>
      </c>
      <c r="C32" s="218" t="s">
        <v>23</v>
      </c>
      <c r="D32" s="217" t="s">
        <v>68</v>
      </c>
      <c r="E32" s="217" t="s">
        <v>68</v>
      </c>
      <c r="F32" s="217" t="s">
        <v>81</v>
      </c>
      <c r="G32" s="217" t="s">
        <v>79</v>
      </c>
      <c r="H32" s="217" t="s">
        <v>410</v>
      </c>
      <c r="I32" s="219">
        <v>805.86649999999997</v>
      </c>
      <c r="J32" s="222">
        <v>4</v>
      </c>
      <c r="K32" s="219">
        <v>0.6</v>
      </c>
      <c r="L32" s="219" t="s">
        <v>427</v>
      </c>
      <c r="M32" s="219"/>
      <c r="N32" s="219">
        <v>2</v>
      </c>
      <c r="O32" s="219">
        <v>0.4</v>
      </c>
      <c r="P32" s="219" t="s">
        <v>413</v>
      </c>
      <c r="Q32" s="219"/>
      <c r="R32" s="219">
        <v>1</v>
      </c>
      <c r="S32" s="219">
        <v>0.15</v>
      </c>
      <c r="T32" s="415">
        <v>2.8563000000000001</v>
      </c>
      <c r="U32" s="422">
        <v>21</v>
      </c>
      <c r="V32" s="417" t="s">
        <v>418</v>
      </c>
      <c r="W32" s="417">
        <v>2</v>
      </c>
    </row>
    <row r="33" spans="2:23" x14ac:dyDescent="0.35">
      <c r="B33" s="217">
        <v>87</v>
      </c>
      <c r="C33" s="305" t="s">
        <v>46</v>
      </c>
      <c r="D33" s="217" t="s">
        <v>104</v>
      </c>
      <c r="E33" s="217" t="s">
        <v>104</v>
      </c>
      <c r="F33" s="217" t="s">
        <v>110</v>
      </c>
      <c r="G33" s="217" t="s">
        <v>92</v>
      </c>
      <c r="H33" s="217" t="s">
        <v>430</v>
      </c>
      <c r="I33" s="219">
        <v>153</v>
      </c>
      <c r="J33" s="219">
        <v>3</v>
      </c>
      <c r="K33" s="219">
        <v>0.44999999999999996</v>
      </c>
      <c r="L33" s="219" t="s">
        <v>440</v>
      </c>
      <c r="M33" s="219"/>
      <c r="N33" s="219">
        <v>1</v>
      </c>
      <c r="O33" s="219">
        <v>0.2</v>
      </c>
      <c r="P33" s="219" t="s">
        <v>440</v>
      </c>
      <c r="Q33" s="219"/>
      <c r="R33" s="219">
        <v>1</v>
      </c>
      <c r="S33" s="219">
        <v>0.15</v>
      </c>
      <c r="T33" s="412">
        <v>2.7619599999999997</v>
      </c>
      <c r="U33" s="421">
        <v>33</v>
      </c>
      <c r="V33" s="414" t="s">
        <v>418</v>
      </c>
      <c r="W33" s="414">
        <v>2</v>
      </c>
    </row>
    <row r="34" spans="2:23" x14ac:dyDescent="0.35">
      <c r="B34" s="217">
        <v>83</v>
      </c>
      <c r="C34" s="305" t="s">
        <v>40</v>
      </c>
      <c r="D34" s="217" t="s">
        <v>68</v>
      </c>
      <c r="E34" s="217" t="s">
        <v>100</v>
      </c>
      <c r="F34" s="217" t="s">
        <v>101</v>
      </c>
      <c r="G34" s="217" t="s">
        <v>92</v>
      </c>
      <c r="H34" s="217" t="s">
        <v>410</v>
      </c>
      <c r="I34" s="219">
        <v>272</v>
      </c>
      <c r="J34" s="222">
        <v>3</v>
      </c>
      <c r="K34" s="219">
        <v>0.44999999999999996</v>
      </c>
      <c r="L34" s="222" t="s">
        <v>440</v>
      </c>
      <c r="M34" s="222"/>
      <c r="N34" s="219">
        <v>1</v>
      </c>
      <c r="O34" s="219">
        <v>0.2</v>
      </c>
      <c r="P34" s="222" t="s">
        <v>440</v>
      </c>
      <c r="Q34" s="222"/>
      <c r="R34" s="219">
        <v>1</v>
      </c>
      <c r="S34" s="219">
        <v>0.15</v>
      </c>
      <c r="T34" s="415">
        <v>2.7473000000000001</v>
      </c>
      <c r="U34" s="422">
        <v>34</v>
      </c>
      <c r="V34" s="417" t="s">
        <v>418</v>
      </c>
      <c r="W34" s="417">
        <v>2</v>
      </c>
    </row>
    <row r="35" spans="2:23" x14ac:dyDescent="0.35">
      <c r="B35" s="217">
        <v>82</v>
      </c>
      <c r="C35" s="305" t="s">
        <v>48</v>
      </c>
      <c r="D35" s="217" t="s">
        <v>76</v>
      </c>
      <c r="E35" s="217" t="s">
        <v>76</v>
      </c>
      <c r="F35" s="217" t="s">
        <v>112</v>
      </c>
      <c r="G35" s="217" t="s">
        <v>92</v>
      </c>
      <c r="H35" s="217" t="s">
        <v>410</v>
      </c>
      <c r="I35" s="219">
        <v>115.8685</v>
      </c>
      <c r="J35" s="219">
        <v>3</v>
      </c>
      <c r="K35" s="219">
        <v>0.44999999999999996</v>
      </c>
      <c r="L35" s="219" t="s">
        <v>440</v>
      </c>
      <c r="M35" s="219"/>
      <c r="N35" s="219">
        <v>1</v>
      </c>
      <c r="O35" s="219">
        <v>0.2</v>
      </c>
      <c r="P35" s="219" t="s">
        <v>440</v>
      </c>
      <c r="Q35" s="219"/>
      <c r="R35" s="219">
        <v>1</v>
      </c>
      <c r="S35" s="219">
        <v>0.15</v>
      </c>
      <c r="T35" s="412">
        <v>2.7409600000000003</v>
      </c>
      <c r="U35" s="421">
        <v>35</v>
      </c>
      <c r="V35" s="414" t="s">
        <v>418</v>
      </c>
      <c r="W35" s="414">
        <v>2</v>
      </c>
    </row>
    <row r="36" spans="2:23" ht="27" x14ac:dyDescent="0.35">
      <c r="B36" s="217">
        <v>63</v>
      </c>
      <c r="C36" s="281" t="s">
        <v>50</v>
      </c>
      <c r="D36" s="217" t="s">
        <v>94</v>
      </c>
      <c r="E36" s="217" t="s">
        <v>94</v>
      </c>
      <c r="F36" s="217" t="s">
        <v>116</v>
      </c>
      <c r="G36" s="217" t="s">
        <v>70</v>
      </c>
      <c r="H36" s="217" t="s">
        <v>422</v>
      </c>
      <c r="I36" s="219">
        <v>255.86</v>
      </c>
      <c r="J36" s="222">
        <v>3</v>
      </c>
      <c r="K36" s="219">
        <v>0.44999999999999996</v>
      </c>
      <c r="L36" s="222" t="s">
        <v>414</v>
      </c>
      <c r="M36" s="222"/>
      <c r="N36" s="219">
        <v>1</v>
      </c>
      <c r="O36" s="219">
        <v>0.2</v>
      </c>
      <c r="P36" s="222" t="s">
        <v>413</v>
      </c>
      <c r="Q36" s="222"/>
      <c r="R36" s="219">
        <v>1</v>
      </c>
      <c r="S36" s="219">
        <v>0.15</v>
      </c>
      <c r="T36" s="415">
        <v>2.8093000000000004</v>
      </c>
      <c r="U36" s="422">
        <v>25</v>
      </c>
      <c r="V36" s="417" t="s">
        <v>418</v>
      </c>
      <c r="W36" s="417">
        <v>2</v>
      </c>
    </row>
    <row r="37" spans="2:23" x14ac:dyDescent="0.35">
      <c r="B37" s="217">
        <v>95</v>
      </c>
      <c r="C37" s="305" t="s">
        <v>51</v>
      </c>
      <c r="D37" s="217" t="s">
        <v>76</v>
      </c>
      <c r="E37" s="217" t="s">
        <v>77</v>
      </c>
      <c r="F37" s="217" t="s">
        <v>93</v>
      </c>
      <c r="G37" s="217" t="s">
        <v>92</v>
      </c>
      <c r="H37" s="217" t="s">
        <v>410</v>
      </c>
      <c r="I37" s="219">
        <v>300</v>
      </c>
      <c r="J37" s="219">
        <v>3</v>
      </c>
      <c r="K37" s="219">
        <v>0.44999999999999996</v>
      </c>
      <c r="L37" s="219" t="s">
        <v>440</v>
      </c>
      <c r="M37" s="219"/>
      <c r="N37" s="219">
        <v>1</v>
      </c>
      <c r="O37" s="219">
        <v>0.2</v>
      </c>
      <c r="P37" s="219" t="s">
        <v>440</v>
      </c>
      <c r="Q37" s="219"/>
      <c r="R37" s="219">
        <v>1</v>
      </c>
      <c r="S37" s="219">
        <v>0.15</v>
      </c>
      <c r="T37" s="412">
        <v>2.6929600000000002</v>
      </c>
      <c r="U37" s="421">
        <v>38</v>
      </c>
      <c r="V37" s="414" t="s">
        <v>418</v>
      </c>
      <c r="W37" s="414">
        <v>2</v>
      </c>
    </row>
    <row r="38" spans="2:23" ht="27" x14ac:dyDescent="0.35">
      <c r="B38" s="217">
        <v>71</v>
      </c>
      <c r="C38" s="305" t="s">
        <v>52</v>
      </c>
      <c r="D38" s="217" t="s">
        <v>76</v>
      </c>
      <c r="E38" s="217" t="s">
        <v>117</v>
      </c>
      <c r="F38" s="217" t="s">
        <v>118</v>
      </c>
      <c r="G38" s="217" t="s">
        <v>92</v>
      </c>
      <c r="H38" s="217" t="s">
        <v>410</v>
      </c>
      <c r="I38" s="219">
        <v>197.01</v>
      </c>
      <c r="J38" s="222">
        <v>3</v>
      </c>
      <c r="K38" s="219">
        <v>0.44999999999999996</v>
      </c>
      <c r="L38" s="222" t="s">
        <v>440</v>
      </c>
      <c r="M38" s="222"/>
      <c r="N38" s="219">
        <v>1</v>
      </c>
      <c r="O38" s="219">
        <v>0.2</v>
      </c>
      <c r="P38" s="222" t="s">
        <v>440</v>
      </c>
      <c r="Q38" s="222"/>
      <c r="R38" s="219">
        <v>1</v>
      </c>
      <c r="S38" s="219">
        <v>0.15</v>
      </c>
      <c r="T38" s="415">
        <v>2.6919599999999999</v>
      </c>
      <c r="U38" s="422">
        <v>39</v>
      </c>
      <c r="V38" s="417" t="s">
        <v>418</v>
      </c>
      <c r="W38" s="417">
        <v>2</v>
      </c>
    </row>
    <row r="39" spans="2:23" x14ac:dyDescent="0.35">
      <c r="B39" s="217">
        <v>26</v>
      </c>
      <c r="C39" s="218" t="s">
        <v>57</v>
      </c>
      <c r="D39" s="217" t="s">
        <v>76</v>
      </c>
      <c r="E39" s="217" t="s">
        <v>124</v>
      </c>
      <c r="F39" s="217" t="s">
        <v>125</v>
      </c>
      <c r="G39" s="217" t="s">
        <v>70</v>
      </c>
      <c r="H39" s="217" t="s">
        <v>422</v>
      </c>
      <c r="I39" s="219">
        <v>320.37</v>
      </c>
      <c r="J39" s="219">
        <v>3</v>
      </c>
      <c r="K39" s="219">
        <v>0.44999999999999996</v>
      </c>
      <c r="L39" s="219" t="s">
        <v>427</v>
      </c>
      <c r="M39" s="219"/>
      <c r="N39" s="219">
        <v>2</v>
      </c>
      <c r="O39" s="219">
        <v>0.4</v>
      </c>
      <c r="P39" s="219" t="s">
        <v>413</v>
      </c>
      <c r="Q39" s="219"/>
      <c r="R39" s="219">
        <v>1</v>
      </c>
      <c r="S39" s="219">
        <v>0.15</v>
      </c>
      <c r="T39" s="412">
        <v>2.77596</v>
      </c>
      <c r="U39" s="421">
        <v>31</v>
      </c>
      <c r="V39" s="414" t="s">
        <v>418</v>
      </c>
      <c r="W39" s="414">
        <v>2</v>
      </c>
    </row>
    <row r="40" spans="2:23" ht="27" x14ac:dyDescent="0.35">
      <c r="B40" s="220">
        <v>8</v>
      </c>
      <c r="C40" s="221" t="s">
        <v>31</v>
      </c>
      <c r="D40" s="220" t="s">
        <v>68</v>
      </c>
      <c r="E40" s="220" t="s">
        <v>90</v>
      </c>
      <c r="F40" s="220" t="s">
        <v>91</v>
      </c>
      <c r="G40" s="220" t="s">
        <v>70</v>
      </c>
      <c r="H40" s="220" t="s">
        <v>422</v>
      </c>
      <c r="I40" s="222">
        <v>3037.85</v>
      </c>
      <c r="J40" s="222">
        <v>4</v>
      </c>
      <c r="K40" s="222">
        <v>0.6</v>
      </c>
      <c r="L40" s="222" t="s">
        <v>427</v>
      </c>
      <c r="M40" s="222"/>
      <c r="N40" s="222">
        <v>2</v>
      </c>
      <c r="O40" s="222">
        <v>0.4</v>
      </c>
      <c r="P40" s="222" t="s">
        <v>413</v>
      </c>
      <c r="Q40" s="222"/>
      <c r="R40" s="222">
        <v>1</v>
      </c>
      <c r="S40" s="222">
        <v>0.15</v>
      </c>
      <c r="T40" s="415">
        <v>2.77196</v>
      </c>
      <c r="U40" s="422">
        <v>32</v>
      </c>
      <c r="V40" s="417" t="s">
        <v>418</v>
      </c>
      <c r="W40" s="417">
        <v>2</v>
      </c>
    </row>
    <row r="41" spans="2:23" x14ac:dyDescent="0.35">
      <c r="B41" s="217">
        <v>88</v>
      </c>
      <c r="C41" s="305" t="s">
        <v>54</v>
      </c>
      <c r="D41" s="217" t="s">
        <v>76</v>
      </c>
      <c r="E41" s="217" t="s">
        <v>117</v>
      </c>
      <c r="F41" s="217" t="s">
        <v>118</v>
      </c>
      <c r="G41" s="217" t="s">
        <v>92</v>
      </c>
      <c r="H41" s="217" t="s">
        <v>410</v>
      </c>
      <c r="I41" s="219">
        <v>75.47</v>
      </c>
      <c r="J41" s="219">
        <v>2</v>
      </c>
      <c r="K41" s="219">
        <v>0.3</v>
      </c>
      <c r="L41" s="219" t="s">
        <v>440</v>
      </c>
      <c r="M41" s="219"/>
      <c r="N41" s="219">
        <v>1</v>
      </c>
      <c r="O41" s="219">
        <v>0.2</v>
      </c>
      <c r="P41" s="219" t="s">
        <v>440</v>
      </c>
      <c r="Q41" s="219"/>
      <c r="R41" s="219">
        <v>1</v>
      </c>
      <c r="S41" s="219">
        <v>0.15</v>
      </c>
      <c r="T41" s="412">
        <v>2.6619600000000001</v>
      </c>
      <c r="U41" s="421">
        <v>42</v>
      </c>
      <c r="V41" s="414" t="s">
        <v>418</v>
      </c>
      <c r="W41" s="414">
        <v>2</v>
      </c>
    </row>
    <row r="42" spans="2:23" ht="27" x14ac:dyDescent="0.35">
      <c r="B42" s="220">
        <v>56</v>
      </c>
      <c r="C42" s="221" t="s">
        <v>61</v>
      </c>
      <c r="D42" s="220" t="s">
        <v>76</v>
      </c>
      <c r="E42" s="220" t="s">
        <v>132</v>
      </c>
      <c r="F42" s="220" t="s">
        <v>133</v>
      </c>
      <c r="G42" s="220" t="s">
        <v>70</v>
      </c>
      <c r="H42" s="220" t="s">
        <v>422</v>
      </c>
      <c r="I42" s="222">
        <v>525.26499999999999</v>
      </c>
      <c r="J42" s="222">
        <v>4</v>
      </c>
      <c r="K42" s="222">
        <v>0.6</v>
      </c>
      <c r="L42" s="222" t="s">
        <v>427</v>
      </c>
      <c r="M42" s="222"/>
      <c r="N42" s="222">
        <v>2</v>
      </c>
      <c r="O42" s="222">
        <v>0.4</v>
      </c>
      <c r="P42" s="222" t="s">
        <v>414</v>
      </c>
      <c r="Q42" s="222"/>
      <c r="R42" s="222">
        <v>4</v>
      </c>
      <c r="S42" s="222">
        <v>0.6</v>
      </c>
      <c r="T42" s="415">
        <v>2.70764</v>
      </c>
      <c r="U42" s="422">
        <v>36</v>
      </c>
      <c r="V42" s="417" t="s">
        <v>418</v>
      </c>
      <c r="W42" s="417">
        <v>2</v>
      </c>
    </row>
    <row r="43" spans="2:23" x14ac:dyDescent="0.35">
      <c r="B43" s="217">
        <v>64</v>
      </c>
      <c r="C43" s="218" t="s">
        <v>41</v>
      </c>
      <c r="D43" s="217" t="s">
        <v>76</v>
      </c>
      <c r="E43" s="217" t="s">
        <v>102</v>
      </c>
      <c r="F43" s="217" t="s">
        <v>103</v>
      </c>
      <c r="G43" s="217" t="s">
        <v>70</v>
      </c>
      <c r="H43" s="217" t="s">
        <v>422</v>
      </c>
      <c r="I43" s="219">
        <v>1764.89</v>
      </c>
      <c r="J43" s="219">
        <v>4</v>
      </c>
      <c r="K43" s="219">
        <v>0.6</v>
      </c>
      <c r="L43" s="219" t="s">
        <v>427</v>
      </c>
      <c r="M43" s="219"/>
      <c r="N43" s="219">
        <v>2</v>
      </c>
      <c r="O43" s="219">
        <v>0.4</v>
      </c>
      <c r="P43" s="219" t="s">
        <v>427</v>
      </c>
      <c r="Q43" s="219"/>
      <c r="R43" s="219">
        <v>2</v>
      </c>
      <c r="S43" s="219">
        <v>0.3</v>
      </c>
      <c r="T43" s="412">
        <v>2.7059600000000001</v>
      </c>
      <c r="U43" s="421">
        <v>37</v>
      </c>
      <c r="V43" s="414" t="s">
        <v>418</v>
      </c>
      <c r="W43" s="414">
        <v>2</v>
      </c>
    </row>
    <row r="44" spans="2:23" ht="27" x14ac:dyDescent="0.35">
      <c r="B44" s="220">
        <v>28</v>
      </c>
      <c r="C44" s="221" t="s">
        <v>56</v>
      </c>
      <c r="D44" s="220" t="s">
        <v>68</v>
      </c>
      <c r="E44" s="220" t="s">
        <v>74</v>
      </c>
      <c r="F44" s="220" t="s">
        <v>88</v>
      </c>
      <c r="G44" s="220" t="s">
        <v>70</v>
      </c>
      <c r="H44" s="220" t="s">
        <v>422</v>
      </c>
      <c r="I44" s="222">
        <v>1438.52</v>
      </c>
      <c r="J44" s="222">
        <v>4</v>
      </c>
      <c r="K44" s="222">
        <v>0.6</v>
      </c>
      <c r="L44" s="222" t="s">
        <v>427</v>
      </c>
      <c r="M44" s="222"/>
      <c r="N44" s="222">
        <v>2</v>
      </c>
      <c r="O44" s="222">
        <v>0.4</v>
      </c>
      <c r="P44" s="222" t="s">
        <v>413</v>
      </c>
      <c r="Q44" s="222"/>
      <c r="R44" s="222">
        <v>1</v>
      </c>
      <c r="S44" s="222">
        <v>0.15</v>
      </c>
      <c r="T44" s="415">
        <v>2.6906400000000001</v>
      </c>
      <c r="U44" s="422">
        <v>40</v>
      </c>
      <c r="V44" s="417" t="s">
        <v>418</v>
      </c>
      <c r="W44" s="417">
        <v>2</v>
      </c>
    </row>
    <row r="45" spans="2:23" x14ac:dyDescent="0.35">
      <c r="B45" s="217">
        <v>48</v>
      </c>
      <c r="C45" s="284" t="s">
        <v>55</v>
      </c>
      <c r="D45" s="217" t="s">
        <v>121</v>
      </c>
      <c r="E45" s="217" t="s">
        <v>122</v>
      </c>
      <c r="F45" s="217" t="s">
        <v>123</v>
      </c>
      <c r="G45" s="217" t="s">
        <v>70</v>
      </c>
      <c r="H45" s="217" t="s">
        <v>422</v>
      </c>
      <c r="I45" s="219">
        <v>602.41999999999996</v>
      </c>
      <c r="J45" s="219">
        <v>4</v>
      </c>
      <c r="K45" s="219">
        <v>0.6</v>
      </c>
      <c r="L45" s="219" t="s">
        <v>427</v>
      </c>
      <c r="M45" s="219"/>
      <c r="N45" s="219">
        <v>2</v>
      </c>
      <c r="O45" s="219">
        <v>0.4</v>
      </c>
      <c r="P45" s="219" t="s">
        <v>413</v>
      </c>
      <c r="Q45" s="219"/>
      <c r="R45" s="219">
        <v>1</v>
      </c>
      <c r="S45" s="219">
        <v>0.15</v>
      </c>
      <c r="T45" s="412">
        <v>2.6122999999999998</v>
      </c>
      <c r="U45" s="421">
        <v>43</v>
      </c>
      <c r="V45" s="414" t="s">
        <v>418</v>
      </c>
      <c r="W45" s="414">
        <v>2</v>
      </c>
    </row>
    <row r="46" spans="2:23" x14ac:dyDescent="0.35">
      <c r="B46" s="220">
        <v>40</v>
      </c>
      <c r="C46" s="221" t="s">
        <v>60</v>
      </c>
      <c r="D46" s="220" t="s">
        <v>113</v>
      </c>
      <c r="E46" s="220" t="s">
        <v>130</v>
      </c>
      <c r="F46" s="220" t="s">
        <v>131</v>
      </c>
      <c r="G46" s="220" t="s">
        <v>70</v>
      </c>
      <c r="H46" s="220" t="s">
        <v>430</v>
      </c>
      <c r="I46" s="222">
        <v>242.34</v>
      </c>
      <c r="J46" s="222">
        <v>3</v>
      </c>
      <c r="K46" s="222">
        <v>0.44999999999999996</v>
      </c>
      <c r="L46" s="222" t="s">
        <v>427</v>
      </c>
      <c r="M46" s="222"/>
      <c r="N46" s="222">
        <v>2</v>
      </c>
      <c r="O46" s="222">
        <v>0.4</v>
      </c>
      <c r="P46" s="222" t="s">
        <v>427</v>
      </c>
      <c r="Q46" s="222"/>
      <c r="R46" s="222">
        <v>2</v>
      </c>
      <c r="S46" s="222">
        <v>0.3</v>
      </c>
      <c r="T46" s="415">
        <v>2.5186400000000004</v>
      </c>
      <c r="U46" s="422">
        <v>44</v>
      </c>
      <c r="V46" s="417" t="s">
        <v>418</v>
      </c>
      <c r="W46" s="417">
        <v>2</v>
      </c>
    </row>
    <row r="47" spans="2:23" ht="27" x14ac:dyDescent="0.35">
      <c r="B47" s="217">
        <v>43</v>
      </c>
      <c r="C47" s="218" t="s">
        <v>58</v>
      </c>
      <c r="D47" s="217" t="s">
        <v>104</v>
      </c>
      <c r="E47" s="217" t="s">
        <v>126</v>
      </c>
      <c r="F47" s="217" t="s">
        <v>127</v>
      </c>
      <c r="G47" s="217" t="s">
        <v>70</v>
      </c>
      <c r="H47" s="217" t="s">
        <v>422</v>
      </c>
      <c r="I47" s="219">
        <v>500</v>
      </c>
      <c r="J47" s="219">
        <v>3</v>
      </c>
      <c r="K47" s="219">
        <v>0.44999999999999996</v>
      </c>
      <c r="L47" s="219" t="s">
        <v>414</v>
      </c>
      <c r="M47" s="219"/>
      <c r="N47" s="219">
        <v>1</v>
      </c>
      <c r="O47" s="219">
        <v>0.2</v>
      </c>
      <c r="P47" s="219" t="s">
        <v>413</v>
      </c>
      <c r="Q47" s="219"/>
      <c r="R47" s="219">
        <v>1</v>
      </c>
      <c r="S47" s="219">
        <v>0.15</v>
      </c>
      <c r="T47" s="412">
        <v>2.4719600000000002</v>
      </c>
      <c r="U47" s="421">
        <v>45</v>
      </c>
      <c r="V47" s="414" t="s">
        <v>418</v>
      </c>
      <c r="W47" s="414">
        <v>2</v>
      </c>
    </row>
    <row r="48" spans="2:23" x14ac:dyDescent="0.35">
      <c r="B48" s="220">
        <v>6</v>
      </c>
      <c r="C48" s="221" t="s">
        <v>62</v>
      </c>
      <c r="D48" s="220" t="s">
        <v>119</v>
      </c>
      <c r="E48" s="220" t="s">
        <v>134</v>
      </c>
      <c r="F48" s="220" t="s">
        <v>135</v>
      </c>
      <c r="G48" s="220" t="s">
        <v>70</v>
      </c>
      <c r="H48" s="220" t="s">
        <v>422</v>
      </c>
      <c r="I48" s="222">
        <v>304.07</v>
      </c>
      <c r="J48" s="222">
        <v>3</v>
      </c>
      <c r="K48" s="222">
        <v>0.44999999999999996</v>
      </c>
      <c r="L48" s="222" t="s">
        <v>413</v>
      </c>
      <c r="M48" s="222"/>
      <c r="N48" s="222">
        <v>4</v>
      </c>
      <c r="O48" s="222">
        <v>0.8</v>
      </c>
      <c r="P48" s="222" t="s">
        <v>427</v>
      </c>
      <c r="Q48" s="222"/>
      <c r="R48" s="222">
        <v>2</v>
      </c>
      <c r="S48" s="222">
        <v>0.3</v>
      </c>
      <c r="T48" s="415">
        <v>2.4149600000000002</v>
      </c>
      <c r="U48" s="422">
        <v>46</v>
      </c>
      <c r="V48" s="417" t="s">
        <v>418</v>
      </c>
      <c r="W48" s="417">
        <v>2</v>
      </c>
    </row>
    <row r="49" spans="2:23" x14ac:dyDescent="0.35">
      <c r="B49" s="217">
        <v>57</v>
      </c>
      <c r="C49" s="218" t="s">
        <v>487</v>
      </c>
      <c r="D49" s="217" t="s">
        <v>104</v>
      </c>
      <c r="E49" s="217" t="s">
        <v>136</v>
      </c>
      <c r="F49" s="217" t="s">
        <v>137</v>
      </c>
      <c r="G49" s="217" t="s">
        <v>70</v>
      </c>
      <c r="H49" s="217" t="s">
        <v>422</v>
      </c>
      <c r="I49" s="219">
        <v>403.63</v>
      </c>
      <c r="J49" s="219">
        <v>3</v>
      </c>
      <c r="K49" s="219">
        <v>0.44999999999999996</v>
      </c>
      <c r="L49" s="219" t="s">
        <v>440</v>
      </c>
      <c r="M49" s="219"/>
      <c r="N49" s="219">
        <v>1</v>
      </c>
      <c r="O49" s="219">
        <v>0.2</v>
      </c>
      <c r="P49" s="219" t="s">
        <v>440</v>
      </c>
      <c r="Q49" s="219"/>
      <c r="R49" s="219">
        <v>1</v>
      </c>
      <c r="S49" s="219">
        <v>0.15</v>
      </c>
      <c r="T49" s="412">
        <v>1.9672999999999998</v>
      </c>
      <c r="U49" s="421">
        <v>47</v>
      </c>
      <c r="V49" s="414" t="s">
        <v>418</v>
      </c>
      <c r="W49" s="414">
        <v>2</v>
      </c>
    </row>
    <row r="50" spans="2:23" x14ac:dyDescent="0.35">
      <c r="B50" s="217">
        <v>77</v>
      </c>
      <c r="C50" s="218" t="s">
        <v>143</v>
      </c>
      <c r="D50" s="217" t="s">
        <v>76</v>
      </c>
      <c r="E50" s="217" t="s">
        <v>76</v>
      </c>
      <c r="F50" s="217" t="s">
        <v>144</v>
      </c>
      <c r="G50" s="217" t="s">
        <v>92</v>
      </c>
      <c r="H50" s="217" t="s">
        <v>410</v>
      </c>
      <c r="I50" s="219">
        <v>84.95</v>
      </c>
      <c r="J50" s="222">
        <v>2</v>
      </c>
      <c r="K50" s="219">
        <v>0.3</v>
      </c>
      <c r="L50" s="219"/>
      <c r="M50" s="219"/>
      <c r="N50" s="219">
        <v>1</v>
      </c>
      <c r="O50" s="219">
        <v>0.2</v>
      </c>
      <c r="P50" s="219"/>
      <c r="Q50" s="219"/>
      <c r="R50" s="219">
        <v>1</v>
      </c>
      <c r="S50" s="219">
        <v>0.15</v>
      </c>
      <c r="T50" s="425">
        <v>1.9029799999999999</v>
      </c>
      <c r="U50" s="426">
        <v>48</v>
      </c>
      <c r="V50" s="417" t="s">
        <v>418</v>
      </c>
      <c r="W50" s="417">
        <v>25</v>
      </c>
    </row>
    <row r="51" spans="2:23" x14ac:dyDescent="0.35">
      <c r="B51" s="217">
        <v>4</v>
      </c>
      <c r="C51" s="218" t="s">
        <v>148</v>
      </c>
      <c r="D51" s="217" t="s">
        <v>76</v>
      </c>
      <c r="E51" s="217" t="s">
        <v>77</v>
      </c>
      <c r="F51" s="217" t="s">
        <v>78</v>
      </c>
      <c r="G51" s="217" t="s">
        <v>70</v>
      </c>
      <c r="H51" s="217" t="s">
        <v>430</v>
      </c>
      <c r="I51" s="219">
        <v>413</v>
      </c>
      <c r="J51" s="219">
        <v>3</v>
      </c>
      <c r="K51" s="219">
        <v>0.44999999999999996</v>
      </c>
      <c r="L51" s="219"/>
      <c r="M51" s="219"/>
      <c r="N51" s="219">
        <v>1</v>
      </c>
      <c r="O51" s="219">
        <v>0.2</v>
      </c>
      <c r="P51" s="219"/>
      <c r="Q51" s="219"/>
      <c r="R51" s="219">
        <v>1</v>
      </c>
      <c r="S51" s="219">
        <v>0.15</v>
      </c>
      <c r="T51" s="425">
        <v>1.8649800000000001</v>
      </c>
      <c r="U51" s="426">
        <v>49</v>
      </c>
      <c r="V51" s="414" t="s">
        <v>418</v>
      </c>
      <c r="W51" s="414">
        <v>25</v>
      </c>
    </row>
    <row r="52" spans="2:23" x14ac:dyDescent="0.35">
      <c r="B52" s="220">
        <v>22</v>
      </c>
      <c r="C52" s="221" t="s">
        <v>149</v>
      </c>
      <c r="D52" s="220" t="s">
        <v>84</v>
      </c>
      <c r="E52" s="220" t="s">
        <v>84</v>
      </c>
      <c r="F52" s="220" t="s">
        <v>150</v>
      </c>
      <c r="G52" s="220" t="s">
        <v>70</v>
      </c>
      <c r="H52" s="220" t="s">
        <v>431</v>
      </c>
      <c r="I52" s="222">
        <v>208.63</v>
      </c>
      <c r="J52" s="222">
        <v>3</v>
      </c>
      <c r="K52" s="222">
        <v>0.44999999999999996</v>
      </c>
      <c r="L52" s="222"/>
      <c r="M52" s="222"/>
      <c r="N52" s="222">
        <v>1</v>
      </c>
      <c r="O52" s="222">
        <v>0.2</v>
      </c>
      <c r="P52" s="222"/>
      <c r="Q52" s="222"/>
      <c r="R52" s="222">
        <v>1</v>
      </c>
      <c r="S52" s="222">
        <v>0.15</v>
      </c>
      <c r="T52" s="425">
        <v>1.8429800000000001</v>
      </c>
      <c r="U52" s="426">
        <v>50</v>
      </c>
      <c r="V52" s="417" t="s">
        <v>418</v>
      </c>
      <c r="W52" s="417">
        <v>25</v>
      </c>
    </row>
    <row r="53" spans="2:23" x14ac:dyDescent="0.35">
      <c r="B53" s="217">
        <v>53</v>
      </c>
      <c r="C53" s="218" t="s">
        <v>197</v>
      </c>
      <c r="D53" s="217" t="s">
        <v>68</v>
      </c>
      <c r="E53" s="217" t="s">
        <v>68</v>
      </c>
      <c r="F53" s="217" t="s">
        <v>198</v>
      </c>
      <c r="G53" s="217" t="s">
        <v>70</v>
      </c>
      <c r="H53" s="217" t="s">
        <v>430</v>
      </c>
      <c r="I53" s="219">
        <v>13000.4264</v>
      </c>
      <c r="J53" s="219">
        <v>4</v>
      </c>
      <c r="K53" s="219">
        <v>0.6</v>
      </c>
      <c r="L53" s="219"/>
      <c r="M53" s="219"/>
      <c r="N53" s="219">
        <v>1</v>
      </c>
      <c r="O53" s="219">
        <v>0.2</v>
      </c>
      <c r="P53" s="219"/>
      <c r="Q53" s="219"/>
      <c r="R53" s="219">
        <v>1</v>
      </c>
      <c r="S53" s="219">
        <v>0.15</v>
      </c>
      <c r="T53" s="425">
        <v>1.82498</v>
      </c>
      <c r="U53" s="426">
        <v>51</v>
      </c>
      <c r="V53" s="414" t="s">
        <v>418</v>
      </c>
      <c r="W53" s="414">
        <v>25</v>
      </c>
    </row>
    <row r="54" spans="2:23" x14ac:dyDescent="0.35">
      <c r="B54" s="220">
        <v>76</v>
      </c>
      <c r="C54" s="221" t="s">
        <v>159</v>
      </c>
      <c r="D54" s="220" t="s">
        <v>76</v>
      </c>
      <c r="E54" s="220" t="s">
        <v>117</v>
      </c>
      <c r="F54" s="220" t="s">
        <v>118</v>
      </c>
      <c r="G54" s="220" t="s">
        <v>92</v>
      </c>
      <c r="H54" s="220" t="s">
        <v>430</v>
      </c>
      <c r="I54" s="222">
        <v>110</v>
      </c>
      <c r="J54" s="222">
        <v>3</v>
      </c>
      <c r="K54" s="222">
        <v>0.44999999999999996</v>
      </c>
      <c r="L54" s="222"/>
      <c r="M54" s="222"/>
      <c r="N54" s="222">
        <v>1</v>
      </c>
      <c r="O54" s="222">
        <v>0.2</v>
      </c>
      <c r="P54" s="222"/>
      <c r="Q54" s="222"/>
      <c r="R54" s="222">
        <v>1</v>
      </c>
      <c r="S54" s="222">
        <v>0.15</v>
      </c>
      <c r="T54" s="425">
        <v>1.8159800000000001</v>
      </c>
      <c r="U54" s="426">
        <v>52</v>
      </c>
      <c r="V54" s="417" t="s">
        <v>418</v>
      </c>
      <c r="W54" s="417">
        <v>25</v>
      </c>
    </row>
    <row r="55" spans="2:23" ht="27" x14ac:dyDescent="0.35">
      <c r="B55" s="217">
        <v>96</v>
      </c>
      <c r="C55" s="218" t="s">
        <v>160</v>
      </c>
      <c r="D55" s="217" t="s">
        <v>76</v>
      </c>
      <c r="E55" s="217" t="s">
        <v>117</v>
      </c>
      <c r="F55" s="217" t="s">
        <v>118</v>
      </c>
      <c r="G55" s="217" t="s">
        <v>92</v>
      </c>
      <c r="H55" s="217" t="s">
        <v>430</v>
      </c>
      <c r="I55" s="219">
        <v>140</v>
      </c>
      <c r="J55" s="219">
        <v>3</v>
      </c>
      <c r="K55" s="219">
        <v>0.44999999999999996</v>
      </c>
      <c r="L55" s="219"/>
      <c r="M55" s="219"/>
      <c r="N55" s="219">
        <v>1</v>
      </c>
      <c r="O55" s="219">
        <v>0.2</v>
      </c>
      <c r="P55" s="219"/>
      <c r="Q55" s="219"/>
      <c r="R55" s="219">
        <v>1</v>
      </c>
      <c r="S55" s="219">
        <v>0.15</v>
      </c>
      <c r="T55" s="425">
        <v>1.8159800000000001</v>
      </c>
      <c r="U55" s="426">
        <v>52</v>
      </c>
      <c r="V55" s="414" t="s">
        <v>418</v>
      </c>
      <c r="W55" s="414">
        <v>25</v>
      </c>
    </row>
    <row r="56" spans="2:23" x14ac:dyDescent="0.35">
      <c r="B56" s="220">
        <v>94</v>
      </c>
      <c r="C56" s="221" t="s">
        <v>145</v>
      </c>
      <c r="D56" s="220" t="s">
        <v>113</v>
      </c>
      <c r="E56" s="220" t="s">
        <v>146</v>
      </c>
      <c r="F56" s="220" t="s">
        <v>147</v>
      </c>
      <c r="G56" s="220" t="s">
        <v>92</v>
      </c>
      <c r="H56" s="220" t="s">
        <v>410</v>
      </c>
      <c r="I56" s="222">
        <v>1035.93</v>
      </c>
      <c r="J56" s="222">
        <v>4</v>
      </c>
      <c r="K56" s="222">
        <v>0.6</v>
      </c>
      <c r="L56" s="222"/>
      <c r="M56" s="222"/>
      <c r="N56" s="222">
        <v>1</v>
      </c>
      <c r="O56" s="222">
        <v>0.2</v>
      </c>
      <c r="P56" s="222"/>
      <c r="Q56" s="222"/>
      <c r="R56" s="222">
        <v>1</v>
      </c>
      <c r="S56" s="222">
        <v>0.15</v>
      </c>
      <c r="T56" s="425">
        <v>1.7959800000000001</v>
      </c>
      <c r="U56" s="426">
        <v>54</v>
      </c>
      <c r="V56" s="417" t="s">
        <v>418</v>
      </c>
      <c r="W56" s="417">
        <v>25</v>
      </c>
    </row>
    <row r="57" spans="2:23" ht="27" x14ac:dyDescent="0.35">
      <c r="B57" s="217">
        <v>55</v>
      </c>
      <c r="C57" s="218" t="s">
        <v>138</v>
      </c>
      <c r="D57" s="217" t="s">
        <v>76</v>
      </c>
      <c r="E57" s="217" t="s">
        <v>132</v>
      </c>
      <c r="F57" s="217" t="s">
        <v>139</v>
      </c>
      <c r="G57" s="217" t="s">
        <v>70</v>
      </c>
      <c r="H57" s="217" t="s">
        <v>431</v>
      </c>
      <c r="I57" s="219">
        <v>686</v>
      </c>
      <c r="J57" s="219">
        <v>4</v>
      </c>
      <c r="K57" s="219">
        <v>0.6</v>
      </c>
      <c r="L57" s="219"/>
      <c r="M57" s="219"/>
      <c r="N57" s="219">
        <v>1</v>
      </c>
      <c r="O57" s="219">
        <v>0.2</v>
      </c>
      <c r="P57" s="219"/>
      <c r="Q57" s="219"/>
      <c r="R57" s="219">
        <v>1</v>
      </c>
      <c r="S57" s="219">
        <v>0.15</v>
      </c>
      <c r="T57" s="425">
        <v>1.7949800000000002</v>
      </c>
      <c r="U57" s="426">
        <v>55</v>
      </c>
      <c r="V57" s="414" t="s">
        <v>418</v>
      </c>
      <c r="W57" s="414">
        <v>25</v>
      </c>
    </row>
    <row r="58" spans="2:23" ht="27" x14ac:dyDescent="0.35">
      <c r="B58" s="217">
        <v>45</v>
      </c>
      <c r="C58" s="218" t="s">
        <v>154</v>
      </c>
      <c r="D58" s="217" t="s">
        <v>68</v>
      </c>
      <c r="E58" s="217" t="s">
        <v>155</v>
      </c>
      <c r="F58" s="217" t="s">
        <v>156</v>
      </c>
      <c r="G58" s="217" t="s">
        <v>70</v>
      </c>
      <c r="H58" s="217" t="s">
        <v>431</v>
      </c>
      <c r="I58" s="219">
        <v>4835.91</v>
      </c>
      <c r="J58" s="222">
        <v>4</v>
      </c>
      <c r="K58" s="219">
        <v>0.6</v>
      </c>
      <c r="L58" s="219"/>
      <c r="M58" s="219"/>
      <c r="N58" s="219">
        <v>1</v>
      </c>
      <c r="O58" s="219">
        <v>0.2</v>
      </c>
      <c r="P58" s="219"/>
      <c r="Q58" s="219"/>
      <c r="R58" s="219">
        <v>1</v>
      </c>
      <c r="S58" s="219">
        <v>0.15</v>
      </c>
      <c r="T58" s="425">
        <v>1.7739800000000001</v>
      </c>
      <c r="U58" s="426">
        <v>56</v>
      </c>
      <c r="V58" s="417" t="s">
        <v>418</v>
      </c>
      <c r="W58" s="417">
        <v>25</v>
      </c>
    </row>
    <row r="59" spans="2:23" ht="27" x14ac:dyDescent="0.35">
      <c r="B59" s="217">
        <v>91</v>
      </c>
      <c r="C59" s="218" t="s">
        <v>188</v>
      </c>
      <c r="D59" s="217" t="s">
        <v>76</v>
      </c>
      <c r="E59" s="217" t="s">
        <v>189</v>
      </c>
      <c r="F59" s="217" t="s">
        <v>190</v>
      </c>
      <c r="G59" s="217" t="s">
        <v>92</v>
      </c>
      <c r="H59" s="217" t="s">
        <v>410</v>
      </c>
      <c r="I59" s="219">
        <v>92</v>
      </c>
      <c r="J59" s="219">
        <v>2</v>
      </c>
      <c r="K59" s="219">
        <v>0.3</v>
      </c>
      <c r="L59" s="219"/>
      <c r="M59" s="219"/>
      <c r="N59" s="219">
        <v>1</v>
      </c>
      <c r="O59" s="219">
        <v>0.2</v>
      </c>
      <c r="P59" s="219"/>
      <c r="Q59" s="219"/>
      <c r="R59" s="219">
        <v>1</v>
      </c>
      <c r="S59" s="219">
        <v>0.15</v>
      </c>
      <c r="T59" s="425">
        <v>1.7719800000000001</v>
      </c>
      <c r="U59" s="426">
        <v>57</v>
      </c>
      <c r="V59" s="414" t="s">
        <v>418</v>
      </c>
      <c r="W59" s="414">
        <v>25</v>
      </c>
    </row>
    <row r="60" spans="2:23" x14ac:dyDescent="0.35">
      <c r="B60" s="220">
        <v>20</v>
      </c>
      <c r="C60" s="221" t="s">
        <v>151</v>
      </c>
      <c r="D60" s="220" t="s">
        <v>94</v>
      </c>
      <c r="E60" s="220" t="s">
        <v>152</v>
      </c>
      <c r="F60" s="220" t="s">
        <v>153</v>
      </c>
      <c r="G60" s="220" t="s">
        <v>70</v>
      </c>
      <c r="H60" s="220" t="s">
        <v>430</v>
      </c>
      <c r="I60" s="222">
        <v>511.83</v>
      </c>
      <c r="J60" s="222">
        <v>4</v>
      </c>
      <c r="K60" s="222">
        <v>0.6</v>
      </c>
      <c r="L60" s="222"/>
      <c r="M60" s="222"/>
      <c r="N60" s="222">
        <v>1</v>
      </c>
      <c r="O60" s="222">
        <v>0.2</v>
      </c>
      <c r="P60" s="222"/>
      <c r="Q60" s="222"/>
      <c r="R60" s="222">
        <v>1</v>
      </c>
      <c r="S60" s="222">
        <v>0.15</v>
      </c>
      <c r="T60" s="425">
        <v>1.7679800000000001</v>
      </c>
      <c r="U60" s="426">
        <v>58</v>
      </c>
      <c r="V60" s="417" t="s">
        <v>418</v>
      </c>
      <c r="W60" s="417">
        <v>25</v>
      </c>
    </row>
    <row r="61" spans="2:23" x14ac:dyDescent="0.35">
      <c r="B61" s="217">
        <v>35</v>
      </c>
      <c r="C61" s="218" t="s">
        <v>167</v>
      </c>
      <c r="D61" s="217" t="s">
        <v>104</v>
      </c>
      <c r="E61" s="217" t="s">
        <v>104</v>
      </c>
      <c r="F61" s="217" t="s">
        <v>168</v>
      </c>
      <c r="G61" s="217" t="s">
        <v>70</v>
      </c>
      <c r="H61" s="217" t="s">
        <v>431</v>
      </c>
      <c r="I61" s="219">
        <v>494</v>
      </c>
      <c r="J61" s="219">
        <v>3</v>
      </c>
      <c r="K61" s="219">
        <v>0.44999999999999996</v>
      </c>
      <c r="L61" s="219"/>
      <c r="M61" s="219"/>
      <c r="N61" s="219">
        <v>1</v>
      </c>
      <c r="O61" s="219">
        <v>0.2</v>
      </c>
      <c r="P61" s="219"/>
      <c r="Q61" s="219"/>
      <c r="R61" s="219">
        <v>1</v>
      </c>
      <c r="S61" s="219">
        <v>0.15</v>
      </c>
      <c r="T61" s="425">
        <v>1.75298</v>
      </c>
      <c r="U61" s="426">
        <v>59</v>
      </c>
      <c r="V61" s="414" t="s">
        <v>418</v>
      </c>
      <c r="W61" s="414">
        <v>26</v>
      </c>
    </row>
    <row r="62" spans="2:23" ht="27" x14ac:dyDescent="0.35">
      <c r="B62" s="217">
        <v>9</v>
      </c>
      <c r="C62" s="218" t="s">
        <v>140</v>
      </c>
      <c r="D62" s="217" t="s">
        <v>68</v>
      </c>
      <c r="E62" s="217" t="s">
        <v>90</v>
      </c>
      <c r="F62" s="217" t="s">
        <v>141</v>
      </c>
      <c r="G62" s="217" t="s">
        <v>70</v>
      </c>
      <c r="H62" s="217" t="s">
        <v>431</v>
      </c>
      <c r="I62" s="219">
        <v>8005.01</v>
      </c>
      <c r="J62" s="222">
        <v>4</v>
      </c>
      <c r="K62" s="219">
        <v>0.6</v>
      </c>
      <c r="L62" s="219"/>
      <c r="M62" s="219"/>
      <c r="N62" s="219">
        <v>1</v>
      </c>
      <c r="O62" s="219">
        <v>0.2</v>
      </c>
      <c r="P62" s="219"/>
      <c r="Q62" s="219"/>
      <c r="R62" s="219">
        <v>1</v>
      </c>
      <c r="S62" s="219">
        <v>0.15</v>
      </c>
      <c r="T62" s="425">
        <v>1.7439800000000001</v>
      </c>
      <c r="U62" s="426">
        <v>60</v>
      </c>
      <c r="V62" s="417" t="s">
        <v>418</v>
      </c>
      <c r="W62" s="417">
        <v>25</v>
      </c>
    </row>
    <row r="63" spans="2:23" ht="27" x14ac:dyDescent="0.35">
      <c r="B63" s="217">
        <v>68</v>
      </c>
      <c r="C63" s="218" t="s">
        <v>64</v>
      </c>
      <c r="D63" s="217" t="s">
        <v>84</v>
      </c>
      <c r="E63" s="217" t="s">
        <v>97</v>
      </c>
      <c r="F63" s="217" t="s">
        <v>98</v>
      </c>
      <c r="G63" s="217" t="s">
        <v>79</v>
      </c>
      <c r="H63" s="217" t="s">
        <v>410</v>
      </c>
      <c r="I63" s="219">
        <v>110.15</v>
      </c>
      <c r="J63" s="219">
        <v>3</v>
      </c>
      <c r="K63" s="219">
        <v>0.44999999999999996</v>
      </c>
      <c r="L63" s="219"/>
      <c r="M63" s="219"/>
      <c r="N63" s="219">
        <v>1</v>
      </c>
      <c r="O63" s="219">
        <v>0.2</v>
      </c>
      <c r="P63" s="219"/>
      <c r="Q63" s="219"/>
      <c r="R63" s="219">
        <v>1</v>
      </c>
      <c r="S63" s="219">
        <v>0.15</v>
      </c>
      <c r="T63" s="425">
        <v>1.7229800000000002</v>
      </c>
      <c r="U63" s="426">
        <v>61</v>
      </c>
      <c r="V63" s="414" t="s">
        <v>418</v>
      </c>
      <c r="W63" s="414">
        <v>25</v>
      </c>
    </row>
    <row r="64" spans="2:23" x14ac:dyDescent="0.35">
      <c r="B64" s="220">
        <v>10</v>
      </c>
      <c r="C64" s="221" t="s">
        <v>162</v>
      </c>
      <c r="D64" s="220" t="s">
        <v>119</v>
      </c>
      <c r="E64" s="220" t="s">
        <v>119</v>
      </c>
      <c r="F64" s="220" t="s">
        <v>163</v>
      </c>
      <c r="G64" s="220" t="s">
        <v>70</v>
      </c>
      <c r="H64" s="220" t="s">
        <v>431</v>
      </c>
      <c r="I64" s="222">
        <v>2255.96</v>
      </c>
      <c r="J64" s="222">
        <v>4</v>
      </c>
      <c r="K64" s="222">
        <v>0.6</v>
      </c>
      <c r="L64" s="222"/>
      <c r="M64" s="222"/>
      <c r="N64" s="222">
        <v>1</v>
      </c>
      <c r="O64" s="222">
        <v>0.2</v>
      </c>
      <c r="P64" s="222"/>
      <c r="Q64" s="222"/>
      <c r="R64" s="222">
        <v>1</v>
      </c>
      <c r="S64" s="222">
        <v>0.15</v>
      </c>
      <c r="T64" s="425">
        <v>1.7049799999999999</v>
      </c>
      <c r="U64" s="426">
        <v>62</v>
      </c>
      <c r="V64" s="417" t="s">
        <v>418</v>
      </c>
      <c r="W64" s="417">
        <v>25</v>
      </c>
    </row>
    <row r="65" spans="2:23" ht="27" x14ac:dyDescent="0.35">
      <c r="B65" s="217">
        <v>70</v>
      </c>
      <c r="C65" s="218" t="s">
        <v>169</v>
      </c>
      <c r="D65" s="217" t="s">
        <v>76</v>
      </c>
      <c r="E65" s="217" t="s">
        <v>170</v>
      </c>
      <c r="F65" s="217" t="s">
        <v>171</v>
      </c>
      <c r="G65" s="217" t="s">
        <v>92</v>
      </c>
      <c r="H65" s="217" t="s">
        <v>410</v>
      </c>
      <c r="I65" s="219">
        <v>200</v>
      </c>
      <c r="J65" s="219">
        <v>3</v>
      </c>
      <c r="K65" s="219">
        <v>0.44999999999999996</v>
      </c>
      <c r="L65" s="219"/>
      <c r="M65" s="219"/>
      <c r="N65" s="219">
        <v>1</v>
      </c>
      <c r="O65" s="219">
        <v>0.2</v>
      </c>
      <c r="P65" s="219"/>
      <c r="Q65" s="219"/>
      <c r="R65" s="219">
        <v>1</v>
      </c>
      <c r="S65" s="219">
        <v>0.15</v>
      </c>
      <c r="T65" s="425">
        <v>1.70198</v>
      </c>
      <c r="U65" s="426">
        <v>63</v>
      </c>
      <c r="V65" s="414" t="s">
        <v>418</v>
      </c>
      <c r="W65" s="414">
        <v>25</v>
      </c>
    </row>
    <row r="66" spans="2:23" x14ac:dyDescent="0.35">
      <c r="B66" s="217">
        <v>73</v>
      </c>
      <c r="C66" s="218" t="s">
        <v>161</v>
      </c>
      <c r="D66" s="217" t="s">
        <v>104</v>
      </c>
      <c r="E66" s="217" t="s">
        <v>104</v>
      </c>
      <c r="F66" s="217" t="s">
        <v>110</v>
      </c>
      <c r="G66" s="217" t="s">
        <v>92</v>
      </c>
      <c r="H66" s="217" t="s">
        <v>410</v>
      </c>
      <c r="I66" s="219">
        <v>100</v>
      </c>
      <c r="J66" s="222">
        <v>3</v>
      </c>
      <c r="K66" s="219">
        <v>0.44999999999999996</v>
      </c>
      <c r="L66" s="219"/>
      <c r="M66" s="219"/>
      <c r="N66" s="219">
        <v>1</v>
      </c>
      <c r="O66" s="219">
        <v>0.2</v>
      </c>
      <c r="P66" s="219"/>
      <c r="Q66" s="219"/>
      <c r="R66" s="219">
        <v>1</v>
      </c>
      <c r="S66" s="219">
        <v>0.15</v>
      </c>
      <c r="T66" s="425">
        <v>1.6929799999999999</v>
      </c>
      <c r="U66" s="426">
        <v>64</v>
      </c>
      <c r="V66" s="417" t="s">
        <v>418</v>
      </c>
      <c r="W66" s="417">
        <v>26</v>
      </c>
    </row>
    <row r="67" spans="2:23" ht="27" x14ac:dyDescent="0.35">
      <c r="B67" s="217">
        <v>39</v>
      </c>
      <c r="C67" s="218" t="s">
        <v>164</v>
      </c>
      <c r="D67" s="217" t="s">
        <v>76</v>
      </c>
      <c r="E67" s="217" t="s">
        <v>77</v>
      </c>
      <c r="F67" s="217" t="s">
        <v>93</v>
      </c>
      <c r="G67" s="217" t="s">
        <v>70</v>
      </c>
      <c r="H67" s="217" t="s">
        <v>430</v>
      </c>
      <c r="I67" s="219">
        <v>1000</v>
      </c>
      <c r="J67" s="219">
        <v>4</v>
      </c>
      <c r="K67" s="219">
        <v>0.6</v>
      </c>
      <c r="L67" s="219"/>
      <c r="M67" s="219"/>
      <c r="N67" s="219">
        <v>1</v>
      </c>
      <c r="O67" s="219">
        <v>0.2</v>
      </c>
      <c r="P67" s="219"/>
      <c r="Q67" s="219"/>
      <c r="R67" s="219">
        <v>1</v>
      </c>
      <c r="S67" s="219">
        <v>0.15</v>
      </c>
      <c r="T67" s="425">
        <v>1.6749800000000001</v>
      </c>
      <c r="U67" s="426">
        <v>65</v>
      </c>
      <c r="V67" s="414" t="s">
        <v>418</v>
      </c>
      <c r="W67" s="414">
        <v>25</v>
      </c>
    </row>
    <row r="68" spans="2:23" x14ac:dyDescent="0.35">
      <c r="B68" s="217">
        <v>23</v>
      </c>
      <c r="C68" s="218" t="s">
        <v>186</v>
      </c>
      <c r="D68" s="217" t="s">
        <v>84</v>
      </c>
      <c r="E68" s="217" t="s">
        <v>84</v>
      </c>
      <c r="F68" s="217" t="s">
        <v>187</v>
      </c>
      <c r="G68" s="217" t="s">
        <v>70</v>
      </c>
      <c r="H68" s="217" t="s">
        <v>430</v>
      </c>
      <c r="I68" s="219">
        <v>509.64</v>
      </c>
      <c r="J68" s="222">
        <v>4</v>
      </c>
      <c r="K68" s="219">
        <v>0.6</v>
      </c>
      <c r="L68" s="219"/>
      <c r="M68" s="219"/>
      <c r="N68" s="219">
        <v>1</v>
      </c>
      <c r="O68" s="219">
        <v>0.2</v>
      </c>
      <c r="P68" s="219"/>
      <c r="Q68" s="219"/>
      <c r="R68" s="219">
        <v>1</v>
      </c>
      <c r="S68" s="219">
        <v>0.15</v>
      </c>
      <c r="T68" s="425">
        <v>1.6329800000000001</v>
      </c>
      <c r="U68" s="426">
        <v>66</v>
      </c>
      <c r="V68" s="417" t="s">
        <v>418</v>
      </c>
      <c r="W68" s="417">
        <v>25</v>
      </c>
    </row>
    <row r="69" spans="2:23" x14ac:dyDescent="0.35">
      <c r="B69" s="223" t="s">
        <v>177</v>
      </c>
      <c r="C69" s="224" t="s">
        <v>178</v>
      </c>
      <c r="D69" s="223" t="s">
        <v>84</v>
      </c>
      <c r="E69" s="223" t="s">
        <v>179</v>
      </c>
      <c r="F69" s="223" t="s">
        <v>180</v>
      </c>
      <c r="G69" s="223"/>
      <c r="H69" s="223"/>
      <c r="I69" s="223"/>
      <c r="J69" s="219">
        <v>2</v>
      </c>
      <c r="K69" s="226">
        <v>0.3</v>
      </c>
      <c r="L69" s="226"/>
      <c r="M69" s="226"/>
      <c r="N69" s="226">
        <v>1</v>
      </c>
      <c r="O69" s="226">
        <v>0.2</v>
      </c>
      <c r="P69" s="226"/>
      <c r="Q69" s="226"/>
      <c r="R69" s="226">
        <v>1</v>
      </c>
      <c r="S69" s="226">
        <v>0.15</v>
      </c>
      <c r="T69" s="425">
        <v>1.6269800000000001</v>
      </c>
      <c r="U69" s="426">
        <v>67</v>
      </c>
      <c r="V69" s="414" t="s">
        <v>418</v>
      </c>
      <c r="W69" s="414">
        <v>28</v>
      </c>
    </row>
    <row r="70" spans="2:23" ht="27" x14ac:dyDescent="0.35">
      <c r="B70" s="220">
        <v>36</v>
      </c>
      <c r="C70" s="221" t="s">
        <v>195</v>
      </c>
      <c r="D70" s="220" t="s">
        <v>104</v>
      </c>
      <c r="E70" s="220" t="s">
        <v>104</v>
      </c>
      <c r="F70" s="220" t="s">
        <v>196</v>
      </c>
      <c r="G70" s="220" t="s">
        <v>70</v>
      </c>
      <c r="H70" s="220" t="s">
        <v>430</v>
      </c>
      <c r="I70" s="222">
        <v>509.66</v>
      </c>
      <c r="J70" s="222">
        <v>4</v>
      </c>
      <c r="K70" s="222">
        <v>0.6</v>
      </c>
      <c r="L70" s="222"/>
      <c r="M70" s="222"/>
      <c r="N70" s="222">
        <v>1</v>
      </c>
      <c r="O70" s="222">
        <v>0.2</v>
      </c>
      <c r="P70" s="222"/>
      <c r="Q70" s="222"/>
      <c r="R70" s="222">
        <v>1</v>
      </c>
      <c r="S70" s="222">
        <v>0.15</v>
      </c>
      <c r="T70" s="425">
        <v>1.6029800000000001</v>
      </c>
      <c r="U70" s="426">
        <v>68</v>
      </c>
      <c r="V70" s="417" t="s">
        <v>418</v>
      </c>
      <c r="W70" s="417">
        <v>26</v>
      </c>
    </row>
    <row r="71" spans="2:23" x14ac:dyDescent="0.35">
      <c r="B71" s="217">
        <v>78</v>
      </c>
      <c r="C71" s="218" t="s">
        <v>142</v>
      </c>
      <c r="D71" s="217" t="s">
        <v>76</v>
      </c>
      <c r="E71" s="217" t="s">
        <v>76</v>
      </c>
      <c r="F71" s="217" t="s">
        <v>87</v>
      </c>
      <c r="G71" s="217" t="s">
        <v>92</v>
      </c>
      <c r="H71" s="217" t="s">
        <v>410</v>
      </c>
      <c r="I71" s="219">
        <v>56.082000000000001</v>
      </c>
      <c r="J71" s="219">
        <v>2</v>
      </c>
      <c r="K71" s="219">
        <v>0.3</v>
      </c>
      <c r="L71" s="219"/>
      <c r="M71" s="219"/>
      <c r="N71" s="219">
        <v>1</v>
      </c>
      <c r="O71" s="219">
        <v>0.2</v>
      </c>
      <c r="P71" s="219"/>
      <c r="Q71" s="219"/>
      <c r="R71" s="219">
        <v>1</v>
      </c>
      <c r="S71" s="219">
        <v>0.15</v>
      </c>
      <c r="T71" s="425">
        <v>1.6029800000000001</v>
      </c>
      <c r="U71" s="426">
        <v>68</v>
      </c>
      <c r="V71" s="414" t="s">
        <v>418</v>
      </c>
      <c r="W71" s="414">
        <v>25</v>
      </c>
    </row>
    <row r="72" spans="2:23" x14ac:dyDescent="0.35">
      <c r="B72" s="217">
        <v>97</v>
      </c>
      <c r="C72" s="218" t="s">
        <v>165</v>
      </c>
      <c r="D72" s="217" t="s">
        <v>76</v>
      </c>
      <c r="E72" s="217" t="s">
        <v>76</v>
      </c>
      <c r="F72" s="217" t="s">
        <v>166</v>
      </c>
      <c r="G72" s="217" t="s">
        <v>92</v>
      </c>
      <c r="H72" s="217" t="s">
        <v>410</v>
      </c>
      <c r="I72" s="219">
        <v>2.4300000000000002</v>
      </c>
      <c r="J72" s="222">
        <v>2</v>
      </c>
      <c r="K72" s="219">
        <v>0.3</v>
      </c>
      <c r="L72" s="219"/>
      <c r="M72" s="219"/>
      <c r="N72" s="219">
        <v>1</v>
      </c>
      <c r="O72" s="219">
        <v>0.2</v>
      </c>
      <c r="P72" s="219"/>
      <c r="Q72" s="219"/>
      <c r="R72" s="219">
        <v>1</v>
      </c>
      <c r="S72" s="219">
        <v>0.15</v>
      </c>
      <c r="T72" s="425">
        <v>1.6029800000000001</v>
      </c>
      <c r="U72" s="426">
        <v>68</v>
      </c>
      <c r="V72" s="417" t="s">
        <v>418</v>
      </c>
      <c r="W72" s="417">
        <v>25</v>
      </c>
    </row>
    <row r="73" spans="2:23" x14ac:dyDescent="0.35">
      <c r="B73" s="217">
        <v>14</v>
      </c>
      <c r="C73" s="218" t="s">
        <v>207</v>
      </c>
      <c r="D73" s="217" t="s">
        <v>121</v>
      </c>
      <c r="E73" s="217" t="s">
        <v>208</v>
      </c>
      <c r="F73" s="217" t="s">
        <v>209</v>
      </c>
      <c r="G73" s="217" t="s">
        <v>70</v>
      </c>
      <c r="H73" s="217" t="s">
        <v>430</v>
      </c>
      <c r="I73" s="219">
        <v>344.16500000000002</v>
      </c>
      <c r="J73" s="219">
        <v>3</v>
      </c>
      <c r="K73" s="219">
        <v>0.44999999999999996</v>
      </c>
      <c r="L73" s="219"/>
      <c r="M73" s="219"/>
      <c r="N73" s="219">
        <v>1</v>
      </c>
      <c r="O73" s="219">
        <v>0.2</v>
      </c>
      <c r="P73" s="219"/>
      <c r="Q73" s="219"/>
      <c r="R73" s="219">
        <v>1</v>
      </c>
      <c r="S73" s="219">
        <v>0.15</v>
      </c>
      <c r="T73" s="425">
        <v>1.5909800000000001</v>
      </c>
      <c r="U73" s="426">
        <v>71</v>
      </c>
      <c r="V73" s="414" t="s">
        <v>418</v>
      </c>
      <c r="W73" s="414">
        <v>25</v>
      </c>
    </row>
    <row r="74" spans="2:23" x14ac:dyDescent="0.35">
      <c r="B74" s="217">
        <v>47</v>
      </c>
      <c r="C74" s="218" t="s">
        <v>235</v>
      </c>
      <c r="D74" s="217" t="s">
        <v>113</v>
      </c>
      <c r="E74" s="217" t="s">
        <v>236</v>
      </c>
      <c r="F74" s="217" t="s">
        <v>237</v>
      </c>
      <c r="G74" s="217" t="s">
        <v>70</v>
      </c>
      <c r="H74" s="217" t="s">
        <v>430</v>
      </c>
      <c r="I74" s="219">
        <v>516.26</v>
      </c>
      <c r="J74" s="222">
        <v>4</v>
      </c>
      <c r="K74" s="219">
        <v>0.6</v>
      </c>
      <c r="L74" s="219"/>
      <c r="M74" s="219"/>
      <c r="N74" s="219">
        <v>1</v>
      </c>
      <c r="O74" s="219">
        <v>0.2</v>
      </c>
      <c r="P74" s="219"/>
      <c r="Q74" s="219"/>
      <c r="R74" s="219">
        <v>1</v>
      </c>
      <c r="S74" s="219">
        <v>0.15</v>
      </c>
      <c r="T74" s="425">
        <v>1.5819800000000002</v>
      </c>
      <c r="U74" s="426">
        <v>72</v>
      </c>
      <c r="V74" s="417" t="s">
        <v>418</v>
      </c>
      <c r="W74" s="417">
        <v>25</v>
      </c>
    </row>
    <row r="75" spans="2:23" x14ac:dyDescent="0.35">
      <c r="B75" s="217">
        <v>59</v>
      </c>
      <c r="C75" s="218" t="s">
        <v>175</v>
      </c>
      <c r="D75" s="217" t="s">
        <v>76</v>
      </c>
      <c r="E75" s="217" t="s">
        <v>107</v>
      </c>
      <c r="F75" s="217" t="s">
        <v>176</v>
      </c>
      <c r="G75" s="217" t="s">
        <v>70</v>
      </c>
      <c r="H75" s="217" t="s">
        <v>430</v>
      </c>
      <c r="I75" s="219">
        <v>510</v>
      </c>
      <c r="J75" s="219">
        <v>4</v>
      </c>
      <c r="K75" s="219">
        <v>0.6</v>
      </c>
      <c r="L75" s="219"/>
      <c r="M75" s="219"/>
      <c r="N75" s="219">
        <v>1</v>
      </c>
      <c r="O75" s="219">
        <v>0.2</v>
      </c>
      <c r="P75" s="219"/>
      <c r="Q75" s="219"/>
      <c r="R75" s="219">
        <v>1</v>
      </c>
      <c r="S75" s="219">
        <v>0.15</v>
      </c>
      <c r="T75" s="425">
        <v>1.5609800000000003</v>
      </c>
      <c r="U75" s="426">
        <v>73</v>
      </c>
      <c r="V75" s="414" t="s">
        <v>418</v>
      </c>
      <c r="W75" s="414">
        <v>25</v>
      </c>
    </row>
    <row r="76" spans="2:23" x14ac:dyDescent="0.35">
      <c r="B76" s="217">
        <v>41</v>
      </c>
      <c r="C76" s="218" t="s">
        <v>182</v>
      </c>
      <c r="D76" s="217" t="s">
        <v>113</v>
      </c>
      <c r="E76" s="217" t="s">
        <v>130</v>
      </c>
      <c r="F76" s="217" t="s">
        <v>183</v>
      </c>
      <c r="G76" s="217" t="s">
        <v>70</v>
      </c>
      <c r="H76" s="217" t="s">
        <v>430</v>
      </c>
      <c r="I76" s="219">
        <v>300</v>
      </c>
      <c r="J76" s="222">
        <v>3</v>
      </c>
      <c r="K76" s="219">
        <v>0.44999999999999996</v>
      </c>
      <c r="L76" s="219"/>
      <c r="M76" s="219"/>
      <c r="N76" s="219">
        <v>1</v>
      </c>
      <c r="O76" s="219">
        <v>0.2</v>
      </c>
      <c r="P76" s="219"/>
      <c r="Q76" s="219"/>
      <c r="R76" s="219">
        <v>1</v>
      </c>
      <c r="S76" s="219">
        <v>0.15</v>
      </c>
      <c r="T76" s="425">
        <v>1.5579800000000001</v>
      </c>
      <c r="U76" s="426">
        <v>74</v>
      </c>
      <c r="V76" s="417" t="s">
        <v>418</v>
      </c>
      <c r="W76" s="417">
        <v>24</v>
      </c>
    </row>
    <row r="77" spans="2:23" ht="27" x14ac:dyDescent="0.35">
      <c r="B77" s="217">
        <v>84</v>
      </c>
      <c r="C77" s="218" t="s">
        <v>184</v>
      </c>
      <c r="D77" s="217" t="s">
        <v>94</v>
      </c>
      <c r="E77" s="217" t="s">
        <v>152</v>
      </c>
      <c r="F77" s="217" t="s">
        <v>185</v>
      </c>
      <c r="G77" s="217" t="s">
        <v>92</v>
      </c>
      <c r="H77" s="217" t="s">
        <v>430</v>
      </c>
      <c r="I77" s="219">
        <v>150</v>
      </c>
      <c r="J77" s="219">
        <v>3</v>
      </c>
      <c r="K77" s="219">
        <v>0.44999999999999996</v>
      </c>
      <c r="L77" s="219"/>
      <c r="M77" s="219"/>
      <c r="N77" s="219">
        <v>1</v>
      </c>
      <c r="O77" s="219">
        <v>0.2</v>
      </c>
      <c r="P77" s="219"/>
      <c r="Q77" s="219"/>
      <c r="R77" s="219">
        <v>1</v>
      </c>
      <c r="S77" s="219">
        <v>0.15</v>
      </c>
      <c r="T77" s="425">
        <v>1.5579800000000001</v>
      </c>
      <c r="U77" s="426">
        <v>74</v>
      </c>
      <c r="V77" s="414" t="s">
        <v>418</v>
      </c>
      <c r="W77" s="414">
        <v>25</v>
      </c>
    </row>
    <row r="78" spans="2:23" x14ac:dyDescent="0.35">
      <c r="B78" s="220">
        <v>50</v>
      </c>
      <c r="C78" s="221" t="s">
        <v>248</v>
      </c>
      <c r="D78" s="220" t="s">
        <v>113</v>
      </c>
      <c r="E78" s="220" t="s">
        <v>113</v>
      </c>
      <c r="F78" s="220" t="s">
        <v>249</v>
      </c>
      <c r="G78" s="220" t="s">
        <v>70</v>
      </c>
      <c r="H78" s="220" t="s">
        <v>430</v>
      </c>
      <c r="I78" s="222">
        <v>360</v>
      </c>
      <c r="J78" s="222">
        <v>3</v>
      </c>
      <c r="K78" s="222">
        <v>0.44999999999999996</v>
      </c>
      <c r="L78" s="222"/>
      <c r="M78" s="222"/>
      <c r="N78" s="222">
        <v>1</v>
      </c>
      <c r="O78" s="222">
        <v>0.2</v>
      </c>
      <c r="P78" s="222"/>
      <c r="Q78" s="222"/>
      <c r="R78" s="222">
        <v>1</v>
      </c>
      <c r="S78" s="222">
        <v>0.15</v>
      </c>
      <c r="T78" s="425">
        <v>1.54898</v>
      </c>
      <c r="U78" s="426">
        <v>76</v>
      </c>
      <c r="V78" s="417" t="s">
        <v>418</v>
      </c>
      <c r="W78" s="417">
        <v>25</v>
      </c>
    </row>
    <row r="79" spans="2:23" x14ac:dyDescent="0.35">
      <c r="B79" s="217">
        <v>49</v>
      </c>
      <c r="C79" s="218" t="s">
        <v>199</v>
      </c>
      <c r="D79" s="217" t="s">
        <v>68</v>
      </c>
      <c r="E79" s="217" t="s">
        <v>68</v>
      </c>
      <c r="F79" s="217" t="s">
        <v>200</v>
      </c>
      <c r="G79" s="217" t="s">
        <v>70</v>
      </c>
      <c r="H79" s="217" t="s">
        <v>430</v>
      </c>
      <c r="I79" s="219">
        <v>774.48</v>
      </c>
      <c r="J79" s="219">
        <v>4</v>
      </c>
      <c r="K79" s="219">
        <v>0.6</v>
      </c>
      <c r="L79" s="219"/>
      <c r="M79" s="219"/>
      <c r="N79" s="219">
        <v>1</v>
      </c>
      <c r="O79" s="219">
        <v>0.2</v>
      </c>
      <c r="P79" s="219"/>
      <c r="Q79" s="219"/>
      <c r="R79" s="219">
        <v>1</v>
      </c>
      <c r="S79" s="219">
        <v>0.15</v>
      </c>
      <c r="T79" s="425">
        <v>1.5249800000000002</v>
      </c>
      <c r="U79" s="426">
        <v>77</v>
      </c>
      <c r="V79" s="414" t="s">
        <v>418</v>
      </c>
      <c r="W79" s="414">
        <v>25</v>
      </c>
    </row>
    <row r="80" spans="2:23" ht="27" x14ac:dyDescent="0.35">
      <c r="B80" s="217">
        <v>69</v>
      </c>
      <c r="C80" s="218" t="s">
        <v>191</v>
      </c>
      <c r="D80" s="217" t="s">
        <v>76</v>
      </c>
      <c r="E80" s="217" t="s">
        <v>117</v>
      </c>
      <c r="F80" s="217" t="s">
        <v>118</v>
      </c>
      <c r="G80" s="217" t="s">
        <v>92</v>
      </c>
      <c r="H80" s="217" t="s">
        <v>430</v>
      </c>
      <c r="I80" s="219">
        <v>492</v>
      </c>
      <c r="J80" s="222">
        <v>3</v>
      </c>
      <c r="K80" s="219">
        <v>0.44999999999999996</v>
      </c>
      <c r="L80" s="219"/>
      <c r="M80" s="219"/>
      <c r="N80" s="219">
        <v>1</v>
      </c>
      <c r="O80" s="219">
        <v>0.2</v>
      </c>
      <c r="P80" s="219"/>
      <c r="Q80" s="219"/>
      <c r="R80" s="219">
        <v>1</v>
      </c>
      <c r="S80" s="219">
        <v>0.15</v>
      </c>
      <c r="T80" s="425">
        <v>1.5159799999999999</v>
      </c>
      <c r="U80" s="426">
        <v>78</v>
      </c>
      <c r="V80" s="417" t="s">
        <v>418</v>
      </c>
      <c r="W80" s="417">
        <v>25</v>
      </c>
    </row>
    <row r="81" spans="2:23" x14ac:dyDescent="0.35">
      <c r="B81" s="217">
        <v>72</v>
      </c>
      <c r="C81" s="218" t="s">
        <v>192</v>
      </c>
      <c r="D81" s="217" t="s">
        <v>76</v>
      </c>
      <c r="E81" s="217" t="s">
        <v>117</v>
      </c>
      <c r="F81" s="217" t="s">
        <v>118</v>
      </c>
      <c r="G81" s="217" t="s">
        <v>92</v>
      </c>
      <c r="H81" s="217" t="s">
        <v>430</v>
      </c>
      <c r="I81" s="219">
        <v>170.49</v>
      </c>
      <c r="J81" s="219">
        <v>3</v>
      </c>
      <c r="K81" s="219">
        <v>0.44999999999999996</v>
      </c>
      <c r="L81" s="219"/>
      <c r="M81" s="219"/>
      <c r="N81" s="219">
        <v>1</v>
      </c>
      <c r="O81" s="219">
        <v>0.2</v>
      </c>
      <c r="P81" s="219"/>
      <c r="Q81" s="219"/>
      <c r="R81" s="219">
        <v>1</v>
      </c>
      <c r="S81" s="219">
        <v>0.15</v>
      </c>
      <c r="T81" s="425">
        <v>1.5159799999999999</v>
      </c>
      <c r="U81" s="426">
        <v>78</v>
      </c>
      <c r="V81" s="414" t="s">
        <v>418</v>
      </c>
      <c r="W81" s="414">
        <v>25</v>
      </c>
    </row>
    <row r="82" spans="2:23" x14ac:dyDescent="0.35">
      <c r="B82" s="220">
        <v>74</v>
      </c>
      <c r="C82" s="221" t="s">
        <v>193</v>
      </c>
      <c r="D82" s="220" t="s">
        <v>68</v>
      </c>
      <c r="E82" s="220" t="s">
        <v>100</v>
      </c>
      <c r="F82" s="220" t="s">
        <v>194</v>
      </c>
      <c r="G82" s="220" t="s">
        <v>92</v>
      </c>
      <c r="H82" s="220" t="s">
        <v>430</v>
      </c>
      <c r="I82" s="222">
        <v>100</v>
      </c>
      <c r="J82" s="222">
        <v>3</v>
      </c>
      <c r="K82" s="222">
        <v>0.44999999999999996</v>
      </c>
      <c r="L82" s="222"/>
      <c r="M82" s="222"/>
      <c r="N82" s="222">
        <v>1</v>
      </c>
      <c r="O82" s="222">
        <v>0.2</v>
      </c>
      <c r="P82" s="222"/>
      <c r="Q82" s="222"/>
      <c r="R82" s="222">
        <v>1</v>
      </c>
      <c r="S82" s="222">
        <v>0.15</v>
      </c>
      <c r="T82" s="425">
        <v>1.5099800000000001</v>
      </c>
      <c r="U82" s="426">
        <v>80</v>
      </c>
      <c r="V82" s="417" t="s">
        <v>418</v>
      </c>
      <c r="W82" s="417">
        <v>25</v>
      </c>
    </row>
    <row r="83" spans="2:23" x14ac:dyDescent="0.35">
      <c r="B83" s="217">
        <v>25</v>
      </c>
      <c r="C83" s="218" t="s">
        <v>204</v>
      </c>
      <c r="D83" s="217" t="s">
        <v>76</v>
      </c>
      <c r="E83" s="217" t="s">
        <v>205</v>
      </c>
      <c r="F83" s="217" t="s">
        <v>206</v>
      </c>
      <c r="G83" s="217" t="s">
        <v>70</v>
      </c>
      <c r="H83" s="217" t="s">
        <v>431</v>
      </c>
      <c r="I83" s="219">
        <v>1125</v>
      </c>
      <c r="J83" s="219">
        <v>4</v>
      </c>
      <c r="K83" s="219">
        <v>0.6</v>
      </c>
      <c r="L83" s="219"/>
      <c r="M83" s="219"/>
      <c r="N83" s="219">
        <v>1</v>
      </c>
      <c r="O83" s="219">
        <v>0.2</v>
      </c>
      <c r="P83" s="219"/>
      <c r="Q83" s="219"/>
      <c r="R83" s="219">
        <v>1</v>
      </c>
      <c r="S83" s="219">
        <v>0.15</v>
      </c>
      <c r="T83" s="425">
        <v>1.4889800000000002</v>
      </c>
      <c r="U83" s="426">
        <v>81</v>
      </c>
      <c r="V83" s="414" t="s">
        <v>418</v>
      </c>
      <c r="W83" s="414">
        <v>25</v>
      </c>
    </row>
    <row r="84" spans="2:23" x14ac:dyDescent="0.35">
      <c r="B84" s="217">
        <v>15</v>
      </c>
      <c r="C84" s="218" t="s">
        <v>210</v>
      </c>
      <c r="D84" s="217" t="s">
        <v>76</v>
      </c>
      <c r="E84" s="217" t="s">
        <v>211</v>
      </c>
      <c r="F84" s="217" t="s">
        <v>212</v>
      </c>
      <c r="G84" s="217" t="s">
        <v>70</v>
      </c>
      <c r="H84" s="217" t="s">
        <v>430</v>
      </c>
      <c r="I84" s="219">
        <v>888.28</v>
      </c>
      <c r="J84" s="222">
        <v>4</v>
      </c>
      <c r="K84" s="219">
        <v>0.6</v>
      </c>
      <c r="L84" s="219"/>
      <c r="M84" s="219"/>
      <c r="N84" s="219">
        <v>1</v>
      </c>
      <c r="O84" s="219">
        <v>0.2</v>
      </c>
      <c r="P84" s="219"/>
      <c r="Q84" s="219"/>
      <c r="R84" s="219">
        <v>1</v>
      </c>
      <c r="S84" s="219">
        <v>0.15</v>
      </c>
      <c r="T84" s="425">
        <v>1.4679800000000003</v>
      </c>
      <c r="U84" s="426">
        <v>82</v>
      </c>
      <c r="V84" s="417" t="s">
        <v>418</v>
      </c>
      <c r="W84" s="417">
        <v>25</v>
      </c>
    </row>
    <row r="85" spans="2:23" ht="27" x14ac:dyDescent="0.35">
      <c r="B85" s="217">
        <v>11</v>
      </c>
      <c r="C85" s="218" t="s">
        <v>157</v>
      </c>
      <c r="D85" s="217" t="s">
        <v>68</v>
      </c>
      <c r="E85" s="217" t="s">
        <v>74</v>
      </c>
      <c r="F85" s="217" t="s">
        <v>88</v>
      </c>
      <c r="G85" s="217" t="s">
        <v>70</v>
      </c>
      <c r="H85" s="217" t="s">
        <v>430</v>
      </c>
      <c r="I85" s="219">
        <v>8784.77</v>
      </c>
      <c r="J85" s="219">
        <v>4</v>
      </c>
      <c r="K85" s="219">
        <v>0.6</v>
      </c>
      <c r="L85" s="219"/>
      <c r="M85" s="219"/>
      <c r="N85" s="219">
        <v>1</v>
      </c>
      <c r="O85" s="219">
        <v>0.2</v>
      </c>
      <c r="P85" s="219"/>
      <c r="Q85" s="219"/>
      <c r="R85" s="219">
        <v>1</v>
      </c>
      <c r="S85" s="219">
        <v>0.15</v>
      </c>
      <c r="T85" s="425">
        <v>1.4559800000000003</v>
      </c>
      <c r="U85" s="426">
        <v>83</v>
      </c>
      <c r="V85" s="414" t="s">
        <v>418</v>
      </c>
      <c r="W85" s="414">
        <v>25</v>
      </c>
    </row>
    <row r="86" spans="2:23" ht="40.5" x14ac:dyDescent="0.35">
      <c r="B86" s="217">
        <v>29</v>
      </c>
      <c r="C86" s="218" t="s">
        <v>215</v>
      </c>
      <c r="D86" s="217" t="s">
        <v>68</v>
      </c>
      <c r="E86" s="217" t="s">
        <v>74</v>
      </c>
      <c r="F86" s="217" t="s">
        <v>88</v>
      </c>
      <c r="G86" s="217" t="s">
        <v>70</v>
      </c>
      <c r="H86" s="217" t="s">
        <v>430</v>
      </c>
      <c r="I86" s="219">
        <v>827.31</v>
      </c>
      <c r="J86" s="222">
        <v>4</v>
      </c>
      <c r="K86" s="219">
        <v>0.6</v>
      </c>
      <c r="L86" s="219"/>
      <c r="M86" s="219"/>
      <c r="N86" s="219">
        <v>1</v>
      </c>
      <c r="O86" s="219">
        <v>0.2</v>
      </c>
      <c r="P86" s="219"/>
      <c r="Q86" s="219"/>
      <c r="R86" s="219">
        <v>1</v>
      </c>
      <c r="S86" s="219">
        <v>0.15</v>
      </c>
      <c r="T86" s="425">
        <v>1.4559800000000003</v>
      </c>
      <c r="U86" s="426">
        <v>83</v>
      </c>
      <c r="V86" s="417" t="s">
        <v>418</v>
      </c>
      <c r="W86" s="417">
        <v>25</v>
      </c>
    </row>
    <row r="87" spans="2:23" ht="27" x14ac:dyDescent="0.35">
      <c r="B87" s="217">
        <v>31</v>
      </c>
      <c r="C87" s="218" t="s">
        <v>216</v>
      </c>
      <c r="D87" s="217" t="s">
        <v>68</v>
      </c>
      <c r="E87" s="217" t="s">
        <v>74</v>
      </c>
      <c r="F87" s="217" t="s">
        <v>217</v>
      </c>
      <c r="G87" s="217" t="s">
        <v>70</v>
      </c>
      <c r="H87" s="217" t="s">
        <v>430</v>
      </c>
      <c r="I87" s="219">
        <v>2890.79</v>
      </c>
      <c r="J87" s="219">
        <v>4</v>
      </c>
      <c r="K87" s="219">
        <v>0.6</v>
      </c>
      <c r="L87" s="219"/>
      <c r="M87" s="219"/>
      <c r="N87" s="219">
        <v>1</v>
      </c>
      <c r="O87" s="219">
        <v>0.2</v>
      </c>
      <c r="P87" s="219"/>
      <c r="Q87" s="219"/>
      <c r="R87" s="219">
        <v>1</v>
      </c>
      <c r="S87" s="219">
        <v>0.15</v>
      </c>
      <c r="T87" s="425">
        <v>1.4559800000000003</v>
      </c>
      <c r="U87" s="426">
        <v>83</v>
      </c>
      <c r="V87" s="414" t="s">
        <v>418</v>
      </c>
      <c r="W87" s="414">
        <v>25</v>
      </c>
    </row>
    <row r="88" spans="2:23" ht="27" x14ac:dyDescent="0.35">
      <c r="B88" s="220">
        <v>32</v>
      </c>
      <c r="C88" s="221" t="s">
        <v>158</v>
      </c>
      <c r="D88" s="220" t="s">
        <v>68</v>
      </c>
      <c r="E88" s="220" t="s">
        <v>74</v>
      </c>
      <c r="F88" s="220" t="s">
        <v>88</v>
      </c>
      <c r="G88" s="220" t="s">
        <v>70</v>
      </c>
      <c r="H88" s="220" t="s">
        <v>430</v>
      </c>
      <c r="I88" s="222">
        <v>1000</v>
      </c>
      <c r="J88" s="222">
        <v>4</v>
      </c>
      <c r="K88" s="222">
        <v>0.6</v>
      </c>
      <c r="L88" s="222"/>
      <c r="M88" s="222"/>
      <c r="N88" s="222">
        <v>1</v>
      </c>
      <c r="O88" s="222">
        <v>0.2</v>
      </c>
      <c r="P88" s="222"/>
      <c r="Q88" s="222"/>
      <c r="R88" s="222">
        <v>1</v>
      </c>
      <c r="S88" s="222">
        <v>0.15</v>
      </c>
      <c r="T88" s="425">
        <v>1.4559800000000003</v>
      </c>
      <c r="U88" s="426">
        <v>83</v>
      </c>
      <c r="V88" s="417" t="s">
        <v>418</v>
      </c>
      <c r="W88" s="417">
        <v>25</v>
      </c>
    </row>
    <row r="89" spans="2:23" x14ac:dyDescent="0.35">
      <c r="B89" s="217">
        <v>80</v>
      </c>
      <c r="C89" s="218" t="s">
        <v>201</v>
      </c>
      <c r="D89" s="217" t="s">
        <v>94</v>
      </c>
      <c r="E89" s="217" t="s">
        <v>202</v>
      </c>
      <c r="F89" s="217" t="s">
        <v>203</v>
      </c>
      <c r="G89" s="217" t="s">
        <v>92</v>
      </c>
      <c r="H89" s="217" t="s">
        <v>430</v>
      </c>
      <c r="I89" s="219">
        <v>138.63999999999999</v>
      </c>
      <c r="J89" s="219">
        <v>3</v>
      </c>
      <c r="K89" s="219">
        <v>0.44999999999999996</v>
      </c>
      <c r="L89" s="219"/>
      <c r="M89" s="219"/>
      <c r="N89" s="219">
        <v>1</v>
      </c>
      <c r="O89" s="219">
        <v>0.2</v>
      </c>
      <c r="P89" s="219"/>
      <c r="Q89" s="219"/>
      <c r="R89" s="219">
        <v>1</v>
      </c>
      <c r="S89" s="219">
        <v>0.15</v>
      </c>
      <c r="T89" s="425">
        <v>1.4289800000000001</v>
      </c>
      <c r="U89" s="426">
        <v>87</v>
      </c>
      <c r="V89" s="414" t="s">
        <v>418</v>
      </c>
      <c r="W89" s="414">
        <v>25</v>
      </c>
    </row>
    <row r="90" spans="2:23" ht="27" x14ac:dyDescent="0.35">
      <c r="B90" s="217">
        <v>19</v>
      </c>
      <c r="C90" s="218" t="s">
        <v>218</v>
      </c>
      <c r="D90" s="217" t="s">
        <v>76</v>
      </c>
      <c r="E90" s="217" t="s">
        <v>82</v>
      </c>
      <c r="F90" s="217" t="s">
        <v>219</v>
      </c>
      <c r="G90" s="217" t="s">
        <v>70</v>
      </c>
      <c r="H90" s="217" t="s">
        <v>422</v>
      </c>
      <c r="I90" s="219">
        <v>200</v>
      </c>
      <c r="J90" s="222">
        <v>3</v>
      </c>
      <c r="K90" s="219">
        <v>0.44999999999999996</v>
      </c>
      <c r="L90" s="219"/>
      <c r="M90" s="219"/>
      <c r="N90" s="219">
        <v>1</v>
      </c>
      <c r="O90" s="219">
        <v>0.2</v>
      </c>
      <c r="P90" s="219"/>
      <c r="Q90" s="219"/>
      <c r="R90" s="219">
        <v>1</v>
      </c>
      <c r="S90" s="219">
        <v>0.15</v>
      </c>
      <c r="T90" s="425">
        <v>1.42598</v>
      </c>
      <c r="U90" s="426">
        <v>88</v>
      </c>
      <c r="V90" s="417" t="s">
        <v>418</v>
      </c>
      <c r="W90" s="417">
        <v>25</v>
      </c>
    </row>
    <row r="91" spans="2:23" ht="40.5" x14ac:dyDescent="0.35">
      <c r="B91" s="217" t="s">
        <v>225</v>
      </c>
      <c r="C91" s="218" t="s">
        <v>226</v>
      </c>
      <c r="D91" s="217" t="s">
        <v>180</v>
      </c>
      <c r="E91" s="217" t="s">
        <v>180</v>
      </c>
      <c r="F91" s="217" t="s">
        <v>180</v>
      </c>
      <c r="G91" s="217"/>
      <c r="H91" s="217"/>
      <c r="I91" s="223">
        <v>20315.810000000001</v>
      </c>
      <c r="J91" s="219">
        <v>4</v>
      </c>
      <c r="K91" s="226">
        <v>0.6</v>
      </c>
      <c r="L91" s="226"/>
      <c r="M91" s="226"/>
      <c r="N91" s="226">
        <v>1</v>
      </c>
      <c r="O91" s="226">
        <v>0.2</v>
      </c>
      <c r="P91" s="226"/>
      <c r="Q91" s="226"/>
      <c r="R91" s="226">
        <v>1</v>
      </c>
      <c r="S91" s="226">
        <v>0.15</v>
      </c>
      <c r="T91" s="425">
        <v>1.4019800000000002</v>
      </c>
      <c r="U91" s="426">
        <v>89</v>
      </c>
      <c r="V91" s="414" t="s">
        <v>418</v>
      </c>
      <c r="W91" s="414">
        <v>32</v>
      </c>
    </row>
    <row r="92" spans="2:23" x14ac:dyDescent="0.35">
      <c r="B92" s="220">
        <v>86</v>
      </c>
      <c r="C92" s="221" t="s">
        <v>213</v>
      </c>
      <c r="D92" s="220" t="s">
        <v>84</v>
      </c>
      <c r="E92" s="220" t="s">
        <v>97</v>
      </c>
      <c r="F92" s="220" t="s">
        <v>214</v>
      </c>
      <c r="G92" s="220" t="s">
        <v>92</v>
      </c>
      <c r="H92" s="220" t="s">
        <v>430</v>
      </c>
      <c r="I92" s="222">
        <v>80.650000000000006</v>
      </c>
      <c r="J92" s="222">
        <v>2</v>
      </c>
      <c r="K92" s="222">
        <v>0.3</v>
      </c>
      <c r="L92" s="222"/>
      <c r="M92" s="222"/>
      <c r="N92" s="222">
        <v>1</v>
      </c>
      <c r="O92" s="222">
        <v>0.2</v>
      </c>
      <c r="P92" s="222"/>
      <c r="Q92" s="222"/>
      <c r="R92" s="222">
        <v>1</v>
      </c>
      <c r="S92" s="222">
        <v>0.15</v>
      </c>
      <c r="T92" s="425">
        <v>1.3929800000000001</v>
      </c>
      <c r="U92" s="426">
        <v>90</v>
      </c>
      <c r="V92" s="417" t="s">
        <v>418</v>
      </c>
      <c r="W92" s="417">
        <v>25</v>
      </c>
    </row>
    <row r="93" spans="2:23" x14ac:dyDescent="0.35">
      <c r="B93" s="217">
        <v>17</v>
      </c>
      <c r="C93" s="218" t="s">
        <v>234</v>
      </c>
      <c r="D93" s="217" t="s">
        <v>76</v>
      </c>
      <c r="E93" s="217" t="s">
        <v>117</v>
      </c>
      <c r="F93" s="217" t="s">
        <v>118</v>
      </c>
      <c r="G93" s="217" t="s">
        <v>70</v>
      </c>
      <c r="H93" s="217" t="s">
        <v>430</v>
      </c>
      <c r="I93" s="219">
        <v>97.98</v>
      </c>
      <c r="J93" s="219">
        <v>2</v>
      </c>
      <c r="K93" s="219">
        <v>0.3</v>
      </c>
      <c r="L93" s="219"/>
      <c r="M93" s="219"/>
      <c r="N93" s="219">
        <v>1</v>
      </c>
      <c r="O93" s="219">
        <v>0.2</v>
      </c>
      <c r="P93" s="219"/>
      <c r="Q93" s="219"/>
      <c r="R93" s="219">
        <v>1</v>
      </c>
      <c r="S93" s="219">
        <v>0.15</v>
      </c>
      <c r="T93" s="425">
        <v>1.36598</v>
      </c>
      <c r="U93" s="426">
        <v>91</v>
      </c>
      <c r="V93" s="414" t="s">
        <v>418</v>
      </c>
      <c r="W93" s="414">
        <v>25</v>
      </c>
    </row>
    <row r="94" spans="2:23" ht="27" x14ac:dyDescent="0.35">
      <c r="B94" s="220">
        <v>2</v>
      </c>
      <c r="C94" s="221" t="s">
        <v>220</v>
      </c>
      <c r="D94" s="220" t="s">
        <v>68</v>
      </c>
      <c r="E94" s="220" t="s">
        <v>221</v>
      </c>
      <c r="F94" s="220" t="s">
        <v>222</v>
      </c>
      <c r="G94" s="220" t="s">
        <v>70</v>
      </c>
      <c r="H94" s="220" t="s">
        <v>430</v>
      </c>
      <c r="I94" s="222">
        <v>640</v>
      </c>
      <c r="J94" s="222">
        <v>4</v>
      </c>
      <c r="K94" s="222">
        <v>0.6</v>
      </c>
      <c r="L94" s="222"/>
      <c r="M94" s="222"/>
      <c r="N94" s="222">
        <v>1</v>
      </c>
      <c r="O94" s="222">
        <v>0.2</v>
      </c>
      <c r="P94" s="222"/>
      <c r="Q94" s="222"/>
      <c r="R94" s="222">
        <v>1</v>
      </c>
      <c r="S94" s="222">
        <v>0.15</v>
      </c>
      <c r="T94" s="425">
        <v>1.3389800000000003</v>
      </c>
      <c r="U94" s="426">
        <v>92</v>
      </c>
      <c r="V94" s="417" t="s">
        <v>418</v>
      </c>
      <c r="W94" s="417">
        <v>25</v>
      </c>
    </row>
    <row r="95" spans="2:23" ht="27" x14ac:dyDescent="0.35">
      <c r="B95" s="217">
        <v>61</v>
      </c>
      <c r="C95" s="218" t="s">
        <v>223</v>
      </c>
      <c r="D95" s="217" t="s">
        <v>94</v>
      </c>
      <c r="E95" s="217" t="s">
        <v>202</v>
      </c>
      <c r="F95" s="217" t="s">
        <v>224</v>
      </c>
      <c r="G95" s="217" t="s">
        <v>70</v>
      </c>
      <c r="H95" s="217" t="s">
        <v>430</v>
      </c>
      <c r="I95" s="219">
        <v>2925.2</v>
      </c>
      <c r="J95" s="219">
        <v>4</v>
      </c>
      <c r="K95" s="219">
        <v>0.6</v>
      </c>
      <c r="L95" s="219"/>
      <c r="M95" s="219"/>
      <c r="N95" s="219">
        <v>1</v>
      </c>
      <c r="O95" s="219">
        <v>0.2</v>
      </c>
      <c r="P95" s="219"/>
      <c r="Q95" s="219"/>
      <c r="R95" s="219">
        <v>1</v>
      </c>
      <c r="S95" s="219">
        <v>0.15</v>
      </c>
      <c r="T95" s="425">
        <v>1.3389800000000003</v>
      </c>
      <c r="U95" s="426">
        <v>92</v>
      </c>
      <c r="V95" s="414" t="s">
        <v>418</v>
      </c>
      <c r="W95" s="414">
        <v>25</v>
      </c>
    </row>
    <row r="96" spans="2:23" x14ac:dyDescent="0.35">
      <c r="B96" s="220">
        <v>62</v>
      </c>
      <c r="C96" s="221" t="s">
        <v>227</v>
      </c>
      <c r="D96" s="220" t="s">
        <v>84</v>
      </c>
      <c r="E96" s="220" t="s">
        <v>97</v>
      </c>
      <c r="F96" s="220" t="s">
        <v>228</v>
      </c>
      <c r="G96" s="220" t="s">
        <v>70</v>
      </c>
      <c r="H96" s="220" t="s">
        <v>430</v>
      </c>
      <c r="I96" s="222">
        <v>1564.35</v>
      </c>
      <c r="J96" s="222">
        <v>4</v>
      </c>
      <c r="K96" s="222">
        <v>0.6</v>
      </c>
      <c r="L96" s="222"/>
      <c r="M96" s="222"/>
      <c r="N96" s="222">
        <v>1</v>
      </c>
      <c r="O96" s="222">
        <v>0.2</v>
      </c>
      <c r="P96" s="222"/>
      <c r="Q96" s="222"/>
      <c r="R96" s="222">
        <v>1</v>
      </c>
      <c r="S96" s="222">
        <v>0.15</v>
      </c>
      <c r="T96" s="425">
        <v>1.3329800000000001</v>
      </c>
      <c r="U96" s="426">
        <v>94</v>
      </c>
      <c r="V96" s="417" t="s">
        <v>418</v>
      </c>
      <c r="W96" s="417">
        <v>25</v>
      </c>
    </row>
    <row r="97" spans="2:23" x14ac:dyDescent="0.35">
      <c r="B97" s="223" t="s">
        <v>229</v>
      </c>
      <c r="C97" s="224" t="s">
        <v>230</v>
      </c>
      <c r="D97" s="225" t="s">
        <v>84</v>
      </c>
      <c r="E97" s="223" t="s">
        <v>231</v>
      </c>
      <c r="F97" s="223" t="s">
        <v>180</v>
      </c>
      <c r="G97" s="223"/>
      <c r="H97" s="223"/>
      <c r="I97" s="223"/>
      <c r="J97" s="219">
        <v>2</v>
      </c>
      <c r="K97" s="226">
        <v>0.3</v>
      </c>
      <c r="L97" s="226"/>
      <c r="M97" s="226"/>
      <c r="N97" s="226">
        <v>1</v>
      </c>
      <c r="O97" s="226">
        <v>0.2</v>
      </c>
      <c r="P97" s="226"/>
      <c r="Q97" s="226"/>
      <c r="R97" s="226">
        <v>1</v>
      </c>
      <c r="S97" s="226">
        <v>0.15</v>
      </c>
      <c r="T97" s="425">
        <v>1.3179800000000002</v>
      </c>
      <c r="U97" s="426">
        <v>95</v>
      </c>
      <c r="V97" s="414" t="s">
        <v>418</v>
      </c>
      <c r="W97" s="414">
        <v>28</v>
      </c>
    </row>
    <row r="98" spans="2:23" x14ac:dyDescent="0.35">
      <c r="B98" s="220">
        <v>46</v>
      </c>
      <c r="C98" s="221" t="s">
        <v>232</v>
      </c>
      <c r="D98" s="220" t="s">
        <v>76</v>
      </c>
      <c r="E98" s="220" t="s">
        <v>170</v>
      </c>
      <c r="F98" s="220" t="s">
        <v>233</v>
      </c>
      <c r="G98" s="220" t="s">
        <v>70</v>
      </c>
      <c r="H98" s="220" t="s">
        <v>430</v>
      </c>
      <c r="I98" s="222">
        <v>690.2</v>
      </c>
      <c r="J98" s="222">
        <v>4</v>
      </c>
      <c r="K98" s="222">
        <v>0.6</v>
      </c>
      <c r="L98" s="222"/>
      <c r="M98" s="222"/>
      <c r="N98" s="222">
        <v>1</v>
      </c>
      <c r="O98" s="222">
        <v>0.2</v>
      </c>
      <c r="P98" s="222"/>
      <c r="Q98" s="222"/>
      <c r="R98" s="222">
        <v>1</v>
      </c>
      <c r="S98" s="222">
        <v>0.15</v>
      </c>
      <c r="T98" s="425">
        <v>1.3119800000000001</v>
      </c>
      <c r="U98" s="426">
        <v>96</v>
      </c>
      <c r="V98" s="417" t="s">
        <v>418</v>
      </c>
      <c r="W98" s="417">
        <v>25</v>
      </c>
    </row>
    <row r="99" spans="2:23" x14ac:dyDescent="0.35">
      <c r="B99" s="217">
        <v>24</v>
      </c>
      <c r="C99" s="218" t="s">
        <v>172</v>
      </c>
      <c r="D99" s="217" t="s">
        <v>121</v>
      </c>
      <c r="E99" s="217" t="s">
        <v>173</v>
      </c>
      <c r="F99" s="217" t="s">
        <v>174</v>
      </c>
      <c r="G99" s="217" t="s">
        <v>70</v>
      </c>
      <c r="H99" s="217" t="s">
        <v>430</v>
      </c>
      <c r="I99" s="219">
        <v>211.64</v>
      </c>
      <c r="J99" s="219">
        <v>3</v>
      </c>
      <c r="K99" s="219">
        <v>0.44999999999999996</v>
      </c>
      <c r="L99" s="219"/>
      <c r="M99" s="219"/>
      <c r="N99" s="219">
        <v>1</v>
      </c>
      <c r="O99" s="219">
        <v>0.2</v>
      </c>
      <c r="P99" s="219"/>
      <c r="Q99" s="219"/>
      <c r="R99" s="219">
        <v>1</v>
      </c>
      <c r="S99" s="219">
        <v>0.15</v>
      </c>
      <c r="T99" s="425">
        <v>1.30898</v>
      </c>
      <c r="U99" s="426">
        <v>97</v>
      </c>
      <c r="V99" s="414" t="s">
        <v>418</v>
      </c>
      <c r="W99" s="414">
        <v>25</v>
      </c>
    </row>
    <row r="100" spans="2:23" x14ac:dyDescent="0.35">
      <c r="B100" s="217">
        <v>51</v>
      </c>
      <c r="C100" s="218" t="s">
        <v>238</v>
      </c>
      <c r="D100" s="217" t="s">
        <v>84</v>
      </c>
      <c r="E100" s="217" t="s">
        <v>97</v>
      </c>
      <c r="F100" s="217" t="s">
        <v>214</v>
      </c>
      <c r="G100" s="217" t="s">
        <v>70</v>
      </c>
      <c r="H100" s="217" t="s">
        <v>430</v>
      </c>
      <c r="I100" s="219">
        <v>300</v>
      </c>
      <c r="J100" s="222">
        <v>3</v>
      </c>
      <c r="K100" s="219">
        <v>0.44999999999999996</v>
      </c>
      <c r="L100" s="219"/>
      <c r="M100" s="219"/>
      <c r="N100" s="219">
        <v>1</v>
      </c>
      <c r="O100" s="219">
        <v>0.2</v>
      </c>
      <c r="P100" s="219"/>
      <c r="Q100" s="219"/>
      <c r="R100" s="219">
        <v>1</v>
      </c>
      <c r="S100" s="219">
        <v>0.15</v>
      </c>
      <c r="T100" s="425">
        <v>1.3029800000000002</v>
      </c>
      <c r="U100" s="426">
        <v>98</v>
      </c>
      <c r="V100" s="417" t="s">
        <v>418</v>
      </c>
      <c r="W100" s="417">
        <v>25</v>
      </c>
    </row>
    <row r="101" spans="2:23" x14ac:dyDescent="0.35">
      <c r="B101" s="223" t="s">
        <v>245</v>
      </c>
      <c r="C101" s="224" t="s">
        <v>246</v>
      </c>
      <c r="D101" s="225" t="s">
        <v>68</v>
      </c>
      <c r="E101" s="223" t="s">
        <v>247</v>
      </c>
      <c r="F101" s="223" t="s">
        <v>180</v>
      </c>
      <c r="G101" s="223"/>
      <c r="H101" s="223"/>
      <c r="I101" s="223"/>
      <c r="J101" s="219">
        <v>2</v>
      </c>
      <c r="K101" s="226">
        <v>0.3</v>
      </c>
      <c r="L101" s="226"/>
      <c r="M101" s="226"/>
      <c r="N101" s="226">
        <v>1</v>
      </c>
      <c r="O101" s="226">
        <v>0.2</v>
      </c>
      <c r="P101" s="226"/>
      <c r="Q101" s="226"/>
      <c r="R101" s="226">
        <v>1</v>
      </c>
      <c r="S101" s="226">
        <v>0.15</v>
      </c>
      <c r="T101" s="425">
        <v>1.2939800000000001</v>
      </c>
      <c r="U101" s="426">
        <v>99</v>
      </c>
      <c r="V101" s="414" t="s">
        <v>418</v>
      </c>
      <c r="W101" s="414">
        <v>28</v>
      </c>
    </row>
    <row r="102" spans="2:23" ht="27" x14ac:dyDescent="0.35">
      <c r="B102" s="220">
        <v>54</v>
      </c>
      <c r="C102" s="221" t="s">
        <v>239</v>
      </c>
      <c r="D102" s="220" t="s">
        <v>113</v>
      </c>
      <c r="E102" s="220" t="s">
        <v>240</v>
      </c>
      <c r="F102" s="220" t="s">
        <v>241</v>
      </c>
      <c r="G102" s="220" t="s">
        <v>70</v>
      </c>
      <c r="H102" s="220" t="s">
        <v>430</v>
      </c>
      <c r="I102" s="222">
        <v>254.15</v>
      </c>
      <c r="J102" s="222">
        <v>3</v>
      </c>
      <c r="K102" s="222">
        <v>0.44999999999999996</v>
      </c>
      <c r="L102" s="222"/>
      <c r="M102" s="222"/>
      <c r="N102" s="222">
        <v>1</v>
      </c>
      <c r="O102" s="222">
        <v>0.2</v>
      </c>
      <c r="P102" s="222"/>
      <c r="Q102" s="222"/>
      <c r="R102" s="222">
        <v>1</v>
      </c>
      <c r="S102" s="222">
        <v>0.15</v>
      </c>
      <c r="T102" s="425">
        <v>1.2909800000000002</v>
      </c>
      <c r="U102" s="426">
        <v>100</v>
      </c>
      <c r="V102" s="417" t="s">
        <v>418</v>
      </c>
      <c r="W102" s="417">
        <v>25</v>
      </c>
    </row>
    <row r="103" spans="2:23" ht="15" thickBot="1" x14ac:dyDescent="0.4">
      <c r="B103" s="217">
        <v>5</v>
      </c>
      <c r="C103" s="218" t="s">
        <v>242</v>
      </c>
      <c r="D103" s="217" t="s">
        <v>68</v>
      </c>
      <c r="E103" s="217" t="s">
        <v>243</v>
      </c>
      <c r="F103" s="217" t="s">
        <v>244</v>
      </c>
      <c r="G103" s="217" t="s">
        <v>70</v>
      </c>
      <c r="H103" s="217" t="s">
        <v>430</v>
      </c>
      <c r="I103" s="357">
        <v>328.61</v>
      </c>
      <c r="J103" s="219">
        <v>3</v>
      </c>
      <c r="K103" s="357">
        <v>0.44999999999999996</v>
      </c>
      <c r="L103" s="357"/>
      <c r="M103" s="357"/>
      <c r="N103" s="357">
        <v>1</v>
      </c>
      <c r="O103" s="357">
        <v>0.2</v>
      </c>
      <c r="P103" s="357"/>
      <c r="Q103" s="357"/>
      <c r="R103" s="357">
        <v>1</v>
      </c>
      <c r="S103" s="357">
        <v>0.15</v>
      </c>
      <c r="T103" s="425">
        <v>1.2879800000000001</v>
      </c>
      <c r="U103" s="426">
        <v>101</v>
      </c>
      <c r="V103" s="414" t="s">
        <v>418</v>
      </c>
      <c r="W103" s="414">
        <v>25</v>
      </c>
    </row>
  </sheetData>
  <conditionalFormatting sqref="U3:U103">
    <cfRule type="cellIs" dxfId="665" priority="1" operator="lessThan">
      <formula>10</formula>
    </cfRule>
  </conditionalFormatting>
  <dataValidations count="1">
    <dataValidation type="list" allowBlank="1" showInputMessage="1" showErrorMessage="1" sqref="D3:D101" xr:uid="{F7B2D806-9E38-4EFA-B12F-24F86B2B628E}">
      <formula1>"Barishal,Chattogram,Dhaka,Khulna,Mymensingh,Rajshahi,Rangpur,Sylhet"</formula1>
    </dataValidation>
  </dataValidations>
  <pageMargins left="0.7" right="0.7" top="0.75" bottom="0.75" header="0.3" footer="0.3"/>
  <pageSetup paperSize="9" orientation="portrait" verticalDpi="0"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11B60-CFFA-4E91-A83D-AA03BE058822}">
  <dimension ref="B2:C103"/>
  <sheetViews>
    <sheetView workbookViewId="0"/>
  </sheetViews>
  <sheetFormatPr defaultRowHeight="14.5" x14ac:dyDescent="0.35"/>
  <cols>
    <col min="2" max="2" width="4.1796875" bestFit="1" customWidth="1"/>
    <col min="3" max="3" width="66.81640625" customWidth="1"/>
  </cols>
  <sheetData>
    <row r="2" spans="2:3" x14ac:dyDescent="0.35">
      <c r="B2" s="136" t="s">
        <v>4</v>
      </c>
      <c r="C2" s="136" t="s">
        <v>5</v>
      </c>
    </row>
    <row r="3" spans="2:3" x14ac:dyDescent="0.35">
      <c r="B3" s="217">
        <v>69</v>
      </c>
      <c r="C3" s="218" t="s">
        <v>191</v>
      </c>
    </row>
    <row r="4" spans="2:3" x14ac:dyDescent="0.35">
      <c r="B4" s="220">
        <v>70</v>
      </c>
      <c r="C4" s="221" t="s">
        <v>169</v>
      </c>
    </row>
    <row r="5" spans="2:3" x14ac:dyDescent="0.35">
      <c r="B5" s="217">
        <v>71</v>
      </c>
      <c r="C5" s="305" t="s">
        <v>52</v>
      </c>
    </row>
    <row r="6" spans="2:3" x14ac:dyDescent="0.35">
      <c r="B6" s="220">
        <v>72</v>
      </c>
      <c r="C6" s="221" t="s">
        <v>192</v>
      </c>
    </row>
    <row r="7" spans="2:3" x14ac:dyDescent="0.35">
      <c r="B7" s="217">
        <v>1</v>
      </c>
      <c r="C7" s="285" t="s">
        <v>53</v>
      </c>
    </row>
    <row r="8" spans="2:3" x14ac:dyDescent="0.35">
      <c r="B8" s="217">
        <v>73</v>
      </c>
      <c r="C8" s="218" t="s">
        <v>161</v>
      </c>
    </row>
    <row r="9" spans="2:3" x14ac:dyDescent="0.35">
      <c r="B9" s="220">
        <v>74</v>
      </c>
      <c r="C9" s="221" t="s">
        <v>193</v>
      </c>
    </row>
    <row r="10" spans="2:3" x14ac:dyDescent="0.35">
      <c r="B10" s="220">
        <v>2</v>
      </c>
      <c r="C10" s="221" t="s">
        <v>220</v>
      </c>
    </row>
    <row r="11" spans="2:3" x14ac:dyDescent="0.35">
      <c r="B11" s="217">
        <v>75</v>
      </c>
      <c r="C11" s="218" t="s">
        <v>33</v>
      </c>
    </row>
    <row r="12" spans="2:3" x14ac:dyDescent="0.35">
      <c r="B12" s="220">
        <v>76</v>
      </c>
      <c r="C12" s="221" t="s">
        <v>159</v>
      </c>
    </row>
    <row r="13" spans="2:3" x14ac:dyDescent="0.35">
      <c r="B13" s="217">
        <v>3</v>
      </c>
      <c r="C13" s="287" t="s">
        <v>42</v>
      </c>
    </row>
    <row r="14" spans="2:3" x14ac:dyDescent="0.35">
      <c r="B14" s="217">
        <v>65</v>
      </c>
      <c r="C14" s="218" t="s">
        <v>23</v>
      </c>
    </row>
    <row r="15" spans="2:3" x14ac:dyDescent="0.35">
      <c r="B15" s="220">
        <v>66</v>
      </c>
      <c r="C15" s="221" t="s">
        <v>21</v>
      </c>
    </row>
    <row r="16" spans="2:3" x14ac:dyDescent="0.35">
      <c r="B16" s="220">
        <v>4</v>
      </c>
      <c r="C16" s="221" t="s">
        <v>148</v>
      </c>
    </row>
    <row r="17" spans="2:3" x14ac:dyDescent="0.35">
      <c r="B17" s="217">
        <v>77</v>
      </c>
      <c r="C17" s="218" t="s">
        <v>143</v>
      </c>
    </row>
    <row r="18" spans="2:3" x14ac:dyDescent="0.35">
      <c r="B18" s="217">
        <v>5</v>
      </c>
      <c r="C18" s="218" t="s">
        <v>242</v>
      </c>
    </row>
    <row r="19" spans="2:3" x14ac:dyDescent="0.35">
      <c r="B19" s="220">
        <v>78</v>
      </c>
      <c r="C19" s="221" t="s">
        <v>142</v>
      </c>
    </row>
    <row r="20" spans="2:3" x14ac:dyDescent="0.35">
      <c r="B20" s="217">
        <v>79</v>
      </c>
      <c r="C20" s="218" t="s">
        <v>44</v>
      </c>
    </row>
    <row r="21" spans="2:3" x14ac:dyDescent="0.35">
      <c r="B21" s="220">
        <v>6</v>
      </c>
      <c r="C21" s="221" t="s">
        <v>62</v>
      </c>
    </row>
    <row r="22" spans="2:3" x14ac:dyDescent="0.35">
      <c r="B22" s="217">
        <v>7</v>
      </c>
      <c r="C22" s="284" t="s">
        <v>49</v>
      </c>
    </row>
    <row r="23" spans="2:3" x14ac:dyDescent="0.35">
      <c r="B23" s="220">
        <v>8</v>
      </c>
      <c r="C23" s="221" t="s">
        <v>31</v>
      </c>
    </row>
    <row r="24" spans="2:3" x14ac:dyDescent="0.35">
      <c r="B24" s="217">
        <v>9</v>
      </c>
      <c r="C24" s="218" t="s">
        <v>140</v>
      </c>
    </row>
    <row r="25" spans="2:3" x14ac:dyDescent="0.35">
      <c r="B25" s="220">
        <v>80</v>
      </c>
      <c r="C25" s="221" t="s">
        <v>201</v>
      </c>
    </row>
    <row r="26" spans="2:3" x14ac:dyDescent="0.35">
      <c r="B26" s="220">
        <v>10</v>
      </c>
      <c r="C26" s="221" t="s">
        <v>162</v>
      </c>
    </row>
    <row r="27" spans="2:3" x14ac:dyDescent="0.35">
      <c r="B27" s="217">
        <v>81</v>
      </c>
      <c r="C27" s="218" t="s">
        <v>38</v>
      </c>
    </row>
    <row r="28" spans="2:3" x14ac:dyDescent="0.35">
      <c r="B28" s="220">
        <v>82</v>
      </c>
      <c r="C28" s="305" t="s">
        <v>48</v>
      </c>
    </row>
    <row r="29" spans="2:3" x14ac:dyDescent="0.35">
      <c r="B29" s="217">
        <v>11</v>
      </c>
      <c r="C29" s="218" t="s">
        <v>157</v>
      </c>
    </row>
    <row r="30" spans="2:3" x14ac:dyDescent="0.35">
      <c r="B30" s="217">
        <v>83</v>
      </c>
      <c r="C30" s="305" t="s">
        <v>40</v>
      </c>
    </row>
    <row r="31" spans="2:3" x14ac:dyDescent="0.35">
      <c r="B31" s="220">
        <v>12</v>
      </c>
      <c r="C31" s="334" t="s">
        <v>45</v>
      </c>
    </row>
    <row r="32" spans="2:3" x14ac:dyDescent="0.35">
      <c r="B32" s="217">
        <v>13</v>
      </c>
      <c r="C32" s="287" t="s">
        <v>26</v>
      </c>
    </row>
    <row r="33" spans="2:3" x14ac:dyDescent="0.35">
      <c r="B33" s="220">
        <v>14</v>
      </c>
      <c r="C33" s="221" t="s">
        <v>207</v>
      </c>
    </row>
    <row r="34" spans="2:3" x14ac:dyDescent="0.35">
      <c r="B34" s="220">
        <v>84</v>
      </c>
      <c r="C34" s="221" t="s">
        <v>184</v>
      </c>
    </row>
    <row r="35" spans="2:3" x14ac:dyDescent="0.35">
      <c r="B35" s="217">
        <v>85</v>
      </c>
      <c r="C35" s="218" t="s">
        <v>34</v>
      </c>
    </row>
    <row r="36" spans="2:3" x14ac:dyDescent="0.35">
      <c r="B36" s="220">
        <v>86</v>
      </c>
      <c r="C36" s="221" t="s">
        <v>213</v>
      </c>
    </row>
    <row r="37" spans="2:3" x14ac:dyDescent="0.35">
      <c r="B37" s="217">
        <v>15</v>
      </c>
      <c r="C37" s="218" t="s">
        <v>210</v>
      </c>
    </row>
    <row r="38" spans="2:3" x14ac:dyDescent="0.35">
      <c r="B38" s="220">
        <v>16</v>
      </c>
      <c r="C38" s="221" t="s">
        <v>18</v>
      </c>
    </row>
    <row r="39" spans="2:3" x14ac:dyDescent="0.35">
      <c r="B39" s="217">
        <v>17</v>
      </c>
      <c r="C39" s="218" t="s">
        <v>234</v>
      </c>
    </row>
    <row r="40" spans="2:3" x14ac:dyDescent="0.35">
      <c r="B40" s="220">
        <v>18</v>
      </c>
      <c r="C40" s="221" t="s">
        <v>24</v>
      </c>
    </row>
    <row r="41" spans="2:3" x14ac:dyDescent="0.35">
      <c r="B41" s="217">
        <v>19</v>
      </c>
      <c r="C41" s="218" t="s">
        <v>218</v>
      </c>
    </row>
    <row r="42" spans="2:3" x14ac:dyDescent="0.35">
      <c r="B42" s="220">
        <v>20</v>
      </c>
      <c r="C42" s="221" t="s">
        <v>151</v>
      </c>
    </row>
    <row r="43" spans="2:3" x14ac:dyDescent="0.35">
      <c r="B43" s="217">
        <v>87</v>
      </c>
      <c r="C43" s="305" t="s">
        <v>46</v>
      </c>
    </row>
    <row r="44" spans="2:3" x14ac:dyDescent="0.35">
      <c r="B44" s="220">
        <v>88</v>
      </c>
      <c r="C44" s="305" t="s">
        <v>54</v>
      </c>
    </row>
    <row r="45" spans="2:3" x14ac:dyDescent="0.35">
      <c r="B45" s="217">
        <v>21</v>
      </c>
      <c r="C45" s="218" t="s">
        <v>43</v>
      </c>
    </row>
    <row r="46" spans="2:3" x14ac:dyDescent="0.35">
      <c r="B46" s="217">
        <v>89</v>
      </c>
      <c r="C46" s="218" t="s">
        <v>32</v>
      </c>
    </row>
    <row r="47" spans="2:3" x14ac:dyDescent="0.35">
      <c r="B47" s="220">
        <v>90</v>
      </c>
      <c r="C47" s="305" t="s">
        <v>47</v>
      </c>
    </row>
    <row r="48" spans="2:3" x14ac:dyDescent="0.35">
      <c r="B48" s="220">
        <v>22</v>
      </c>
      <c r="C48" s="221" t="s">
        <v>149</v>
      </c>
    </row>
    <row r="49" spans="2:3" x14ac:dyDescent="0.35">
      <c r="B49" s="217">
        <v>23</v>
      </c>
      <c r="C49" s="218" t="s">
        <v>186</v>
      </c>
    </row>
    <row r="50" spans="2:3" x14ac:dyDescent="0.35">
      <c r="B50" s="217">
        <v>91</v>
      </c>
      <c r="C50" s="218" t="s">
        <v>188</v>
      </c>
    </row>
    <row r="51" spans="2:3" x14ac:dyDescent="0.35">
      <c r="B51" s="220">
        <v>24</v>
      </c>
      <c r="C51" s="221" t="s">
        <v>172</v>
      </c>
    </row>
    <row r="52" spans="2:3" x14ac:dyDescent="0.35">
      <c r="B52" s="217">
        <v>67</v>
      </c>
      <c r="C52" s="218" t="s">
        <v>25</v>
      </c>
    </row>
    <row r="53" spans="2:3" x14ac:dyDescent="0.35">
      <c r="B53" s="223" t="s">
        <v>245</v>
      </c>
      <c r="C53" s="224" t="s">
        <v>246</v>
      </c>
    </row>
    <row r="54" spans="2:3" x14ac:dyDescent="0.35">
      <c r="B54" s="217">
        <v>25</v>
      </c>
      <c r="C54" s="218" t="s">
        <v>204</v>
      </c>
    </row>
    <row r="55" spans="2:3" x14ac:dyDescent="0.35">
      <c r="B55" s="223" t="s">
        <v>229</v>
      </c>
      <c r="C55" s="224" t="s">
        <v>230</v>
      </c>
    </row>
    <row r="56" spans="2:3" ht="27" x14ac:dyDescent="0.35">
      <c r="B56" s="220">
        <v>26</v>
      </c>
      <c r="C56" s="221" t="s">
        <v>892</v>
      </c>
    </row>
    <row r="57" spans="2:3" x14ac:dyDescent="0.35">
      <c r="B57" s="220">
        <v>92</v>
      </c>
      <c r="C57" s="221" t="s">
        <v>39</v>
      </c>
    </row>
    <row r="58" spans="2:3" x14ac:dyDescent="0.35">
      <c r="B58" s="217">
        <v>93</v>
      </c>
      <c r="C58" s="218" t="s">
        <v>35</v>
      </c>
    </row>
    <row r="59" spans="2:3" x14ac:dyDescent="0.35">
      <c r="B59" s="217">
        <v>27</v>
      </c>
      <c r="C59" s="286" t="s">
        <v>17</v>
      </c>
    </row>
    <row r="60" spans="2:3" x14ac:dyDescent="0.35">
      <c r="B60" s="220">
        <v>28</v>
      </c>
      <c r="C60" s="221" t="s">
        <v>56</v>
      </c>
    </row>
    <row r="61" spans="2:3" x14ac:dyDescent="0.35">
      <c r="B61" s="217">
        <v>29</v>
      </c>
      <c r="C61" s="218" t="s">
        <v>215</v>
      </c>
    </row>
    <row r="62" spans="2:3" x14ac:dyDescent="0.35">
      <c r="B62" s="220">
        <v>30</v>
      </c>
      <c r="C62" s="235" t="s">
        <v>27</v>
      </c>
    </row>
    <row r="63" spans="2:3" x14ac:dyDescent="0.35">
      <c r="B63" s="217">
        <v>31</v>
      </c>
      <c r="C63" s="218" t="s">
        <v>216</v>
      </c>
    </row>
    <row r="64" spans="2:3" x14ac:dyDescent="0.35">
      <c r="B64" s="217" t="s">
        <v>225</v>
      </c>
      <c r="C64" s="218" t="s">
        <v>226</v>
      </c>
    </row>
    <row r="65" spans="2:3" x14ac:dyDescent="0.35">
      <c r="B65" s="220">
        <v>32</v>
      </c>
      <c r="C65" s="221" t="s">
        <v>158</v>
      </c>
    </row>
    <row r="66" spans="2:3" x14ac:dyDescent="0.35">
      <c r="B66" s="220">
        <v>34</v>
      </c>
      <c r="C66" s="284" t="s">
        <v>37</v>
      </c>
    </row>
    <row r="67" spans="2:3" x14ac:dyDescent="0.35">
      <c r="B67" s="220">
        <v>68</v>
      </c>
      <c r="C67" s="221" t="s">
        <v>64</v>
      </c>
    </row>
    <row r="68" spans="2:3" x14ac:dyDescent="0.35">
      <c r="B68" s="217">
        <v>35</v>
      </c>
      <c r="C68" s="218" t="s">
        <v>167</v>
      </c>
    </row>
    <row r="69" spans="2:3" x14ac:dyDescent="0.35">
      <c r="B69" s="220">
        <v>36</v>
      </c>
      <c r="C69" s="221" t="s">
        <v>195</v>
      </c>
    </row>
    <row r="70" spans="2:3" x14ac:dyDescent="0.35">
      <c r="B70" s="217">
        <v>37</v>
      </c>
      <c r="C70" s="218" t="s">
        <v>28</v>
      </c>
    </row>
    <row r="71" spans="2:3" x14ac:dyDescent="0.35">
      <c r="B71" s="220">
        <v>38</v>
      </c>
      <c r="C71" s="287" t="s">
        <v>29</v>
      </c>
    </row>
    <row r="72" spans="2:3" x14ac:dyDescent="0.35">
      <c r="B72" s="217">
        <v>39</v>
      </c>
      <c r="C72" s="218" t="s">
        <v>164</v>
      </c>
    </row>
    <row r="73" spans="2:3" x14ac:dyDescent="0.35">
      <c r="B73" s="220">
        <v>46</v>
      </c>
      <c r="C73" s="221" t="s">
        <v>232</v>
      </c>
    </row>
    <row r="74" spans="2:3" x14ac:dyDescent="0.35">
      <c r="B74" s="220">
        <v>40</v>
      </c>
      <c r="C74" s="221" t="s">
        <v>60</v>
      </c>
    </row>
    <row r="75" spans="2:3" x14ac:dyDescent="0.35">
      <c r="B75" s="217">
        <v>41</v>
      </c>
      <c r="C75" s="218" t="s">
        <v>182</v>
      </c>
    </row>
    <row r="76" spans="2:3" x14ac:dyDescent="0.35">
      <c r="B76" s="220">
        <v>42</v>
      </c>
      <c r="C76" s="284" t="s">
        <v>22</v>
      </c>
    </row>
    <row r="77" spans="2:3" x14ac:dyDescent="0.35">
      <c r="B77" s="217">
        <v>43</v>
      </c>
      <c r="C77" s="218" t="s">
        <v>58</v>
      </c>
    </row>
    <row r="78" spans="2:3" x14ac:dyDescent="0.35">
      <c r="B78" s="220">
        <v>44</v>
      </c>
      <c r="C78" s="221" t="s">
        <v>59</v>
      </c>
    </row>
    <row r="79" spans="2:3" x14ac:dyDescent="0.35">
      <c r="B79" s="217">
        <v>45</v>
      </c>
      <c r="C79" s="218" t="s">
        <v>154</v>
      </c>
    </row>
    <row r="80" spans="2:3" x14ac:dyDescent="0.35">
      <c r="B80" s="217">
        <v>47</v>
      </c>
      <c r="C80" s="218" t="s">
        <v>235</v>
      </c>
    </row>
    <row r="81" spans="2:3" x14ac:dyDescent="0.35">
      <c r="B81" s="220">
        <v>48</v>
      </c>
      <c r="C81" s="284" t="s">
        <v>55</v>
      </c>
    </row>
    <row r="82" spans="2:3" x14ac:dyDescent="0.35">
      <c r="B82" s="217">
        <v>49</v>
      </c>
      <c r="C82" s="218" t="s">
        <v>199</v>
      </c>
    </row>
    <row r="83" spans="2:3" x14ac:dyDescent="0.35">
      <c r="B83" s="220">
        <v>50</v>
      </c>
      <c r="C83" s="221" t="s">
        <v>248</v>
      </c>
    </row>
    <row r="84" spans="2:3" x14ac:dyDescent="0.35">
      <c r="B84" s="217">
        <v>51</v>
      </c>
      <c r="C84" s="218" t="s">
        <v>238</v>
      </c>
    </row>
    <row r="85" spans="2:3" x14ac:dyDescent="0.35">
      <c r="B85" s="220">
        <v>52</v>
      </c>
      <c r="C85" s="221" t="s">
        <v>20</v>
      </c>
    </row>
    <row r="86" spans="2:3" x14ac:dyDescent="0.35">
      <c r="B86" s="217">
        <v>53</v>
      </c>
      <c r="C86" s="218" t="s">
        <v>197</v>
      </c>
    </row>
    <row r="87" spans="2:3" x14ac:dyDescent="0.35">
      <c r="B87" s="220">
        <v>54</v>
      </c>
      <c r="C87" s="221" t="s">
        <v>239</v>
      </c>
    </row>
    <row r="88" spans="2:3" x14ac:dyDescent="0.35">
      <c r="B88" s="223" t="s">
        <v>177</v>
      </c>
      <c r="C88" s="224" t="s">
        <v>178</v>
      </c>
    </row>
    <row r="89" spans="2:3" x14ac:dyDescent="0.35">
      <c r="B89" s="217">
        <v>55</v>
      </c>
      <c r="C89" s="218" t="s">
        <v>138</v>
      </c>
    </row>
    <row r="90" spans="2:3" x14ac:dyDescent="0.35">
      <c r="B90" s="220">
        <v>56</v>
      </c>
      <c r="C90" s="221" t="s">
        <v>61</v>
      </c>
    </row>
    <row r="91" spans="2:3" x14ac:dyDescent="0.35">
      <c r="B91" s="217">
        <v>57</v>
      </c>
      <c r="C91" s="218" t="s">
        <v>487</v>
      </c>
    </row>
    <row r="92" spans="2:3" x14ac:dyDescent="0.35">
      <c r="B92" s="220">
        <v>58</v>
      </c>
      <c r="C92" s="221" t="s">
        <v>36</v>
      </c>
    </row>
    <row r="93" spans="2:3" x14ac:dyDescent="0.35">
      <c r="B93" s="217">
        <v>59</v>
      </c>
      <c r="C93" s="218" t="s">
        <v>175</v>
      </c>
    </row>
    <row r="94" spans="2:3" x14ac:dyDescent="0.35">
      <c r="B94" s="220">
        <v>94</v>
      </c>
      <c r="C94" s="221" t="s">
        <v>145</v>
      </c>
    </row>
    <row r="95" spans="2:3" x14ac:dyDescent="0.35">
      <c r="B95" s="220">
        <v>60</v>
      </c>
      <c r="C95" s="284" t="s">
        <v>19</v>
      </c>
    </row>
    <row r="96" spans="2:3" x14ac:dyDescent="0.35">
      <c r="B96" s="217">
        <v>33</v>
      </c>
      <c r="C96" s="284" t="s">
        <v>30</v>
      </c>
    </row>
    <row r="97" spans="2:3" x14ac:dyDescent="0.35">
      <c r="B97" s="217">
        <v>95</v>
      </c>
      <c r="C97" s="305" t="s">
        <v>51</v>
      </c>
    </row>
    <row r="98" spans="2:3" x14ac:dyDescent="0.35">
      <c r="B98" s="220">
        <v>96</v>
      </c>
      <c r="C98" s="221" t="s">
        <v>160</v>
      </c>
    </row>
    <row r="99" spans="2:3" x14ac:dyDescent="0.35">
      <c r="B99" s="217">
        <v>61</v>
      </c>
      <c r="C99" s="218" t="s">
        <v>223</v>
      </c>
    </row>
    <row r="100" spans="2:3" x14ac:dyDescent="0.35">
      <c r="B100" s="220">
        <v>62</v>
      </c>
      <c r="C100" s="221" t="s">
        <v>227</v>
      </c>
    </row>
    <row r="101" spans="2:3" x14ac:dyDescent="0.35">
      <c r="B101" s="217">
        <v>63</v>
      </c>
      <c r="C101" s="281" t="s">
        <v>50</v>
      </c>
    </row>
    <row r="102" spans="2:3" x14ac:dyDescent="0.35">
      <c r="B102" s="220">
        <v>64</v>
      </c>
      <c r="C102" s="221" t="s">
        <v>41</v>
      </c>
    </row>
    <row r="103" spans="2:3" x14ac:dyDescent="0.35">
      <c r="B103" s="217">
        <v>97</v>
      </c>
      <c r="C103" s="218" t="s">
        <v>165</v>
      </c>
    </row>
  </sheetData>
  <autoFilter ref="B2:C103" xr:uid="{5A311B60-CFFA-4E91-A83D-AA03BE058822}">
    <sortState xmlns:xlrd2="http://schemas.microsoft.com/office/spreadsheetml/2017/richdata2" ref="B3:C103">
      <sortCondition ref="C2:C103"/>
    </sortState>
  </autoFilter>
  <pageMargins left="0.7" right="0.7" top="0.75" bottom="0.75" header="0.3" footer="0.3"/>
  <pageSetup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1CE86-007F-41D2-BC8E-1D361B01AE4F}">
  <dimension ref="B2:I38"/>
  <sheetViews>
    <sheetView workbookViewId="0"/>
  </sheetViews>
  <sheetFormatPr defaultColWidth="8.81640625" defaultRowHeight="11.5" x14ac:dyDescent="0.35"/>
  <cols>
    <col min="1" max="1" width="4" style="177" customWidth="1"/>
    <col min="2" max="2" width="14.54296875" style="177" customWidth="1"/>
    <col min="3" max="3" width="25" style="177" customWidth="1"/>
    <col min="4" max="4" width="37.54296875" style="177" customWidth="1"/>
    <col min="5" max="5" width="42.453125" style="177" customWidth="1"/>
    <col min="6" max="6" width="28.54296875" style="179" customWidth="1"/>
    <col min="7" max="7" width="10.453125" style="179" customWidth="1"/>
    <col min="8" max="8" width="10.1796875" style="177" customWidth="1"/>
    <col min="9" max="16384" width="8.81640625" style="177"/>
  </cols>
  <sheetData>
    <row r="2" spans="2:9" ht="39" customHeight="1" x14ac:dyDescent="0.35">
      <c r="B2" s="296" t="s">
        <v>1071</v>
      </c>
      <c r="C2" s="296" t="s">
        <v>1072</v>
      </c>
      <c r="D2" s="296" t="s">
        <v>1073</v>
      </c>
      <c r="E2" s="296" t="s">
        <v>641</v>
      </c>
      <c r="F2" s="296" t="s">
        <v>642</v>
      </c>
      <c r="G2" s="296" t="s">
        <v>643</v>
      </c>
      <c r="H2" s="296" t="s">
        <v>1074</v>
      </c>
      <c r="I2" s="296" t="s">
        <v>645</v>
      </c>
    </row>
    <row r="3" spans="2:9" x14ac:dyDescent="0.35">
      <c r="B3" s="297" t="s">
        <v>647</v>
      </c>
      <c r="C3" s="298" t="s">
        <v>300</v>
      </c>
      <c r="D3" s="298" t="s">
        <v>1075</v>
      </c>
      <c r="E3" s="298"/>
      <c r="F3" s="297" t="s">
        <v>653</v>
      </c>
      <c r="G3" s="297"/>
      <c r="H3" s="298"/>
      <c r="I3" s="298"/>
    </row>
    <row r="4" spans="2:9" x14ac:dyDescent="0.35">
      <c r="B4" s="297" t="s">
        <v>647</v>
      </c>
      <c r="C4" s="298" t="s">
        <v>300</v>
      </c>
      <c r="D4" s="298" t="s">
        <v>1076</v>
      </c>
      <c r="E4" s="298" t="s">
        <v>656</v>
      </c>
      <c r="F4" s="297" t="s">
        <v>653</v>
      </c>
      <c r="G4" s="299" t="s">
        <v>643</v>
      </c>
      <c r="H4" s="298"/>
      <c r="I4" s="298"/>
    </row>
    <row r="5" spans="2:9" x14ac:dyDescent="0.35">
      <c r="B5" s="297" t="s">
        <v>647</v>
      </c>
      <c r="C5" s="298" t="s">
        <v>1077</v>
      </c>
      <c r="D5" s="298" t="s">
        <v>1078</v>
      </c>
      <c r="E5" s="298" t="s">
        <v>668</v>
      </c>
      <c r="F5" s="297" t="s">
        <v>653</v>
      </c>
      <c r="G5" s="299" t="s">
        <v>643</v>
      </c>
      <c r="H5" s="298"/>
      <c r="I5" s="298"/>
    </row>
    <row r="6" spans="2:9" x14ac:dyDescent="0.35">
      <c r="B6" s="297" t="s">
        <v>647</v>
      </c>
      <c r="C6" s="298" t="s">
        <v>1077</v>
      </c>
      <c r="D6" s="298" t="s">
        <v>266</v>
      </c>
      <c r="E6" s="298" t="s">
        <v>671</v>
      </c>
      <c r="F6" s="297" t="s">
        <v>653</v>
      </c>
      <c r="G6" s="299" t="s">
        <v>643</v>
      </c>
      <c r="H6" s="298"/>
      <c r="I6" s="298"/>
    </row>
    <row r="7" spans="2:9" x14ac:dyDescent="0.35">
      <c r="B7" s="297" t="s">
        <v>647</v>
      </c>
      <c r="C7" s="298" t="s">
        <v>1079</v>
      </c>
      <c r="D7" s="298" t="s">
        <v>267</v>
      </c>
      <c r="E7" s="298" t="s">
        <v>676</v>
      </c>
      <c r="F7" s="297" t="s">
        <v>677</v>
      </c>
      <c r="G7" s="297"/>
      <c r="H7" s="298"/>
      <c r="I7" s="298"/>
    </row>
    <row r="8" spans="2:9" x14ac:dyDescent="0.35">
      <c r="B8" s="297" t="s">
        <v>647</v>
      </c>
      <c r="C8" s="298" t="s">
        <v>1079</v>
      </c>
      <c r="D8" s="298" t="s">
        <v>268</v>
      </c>
      <c r="E8" s="298" t="s">
        <v>676</v>
      </c>
      <c r="F8" s="297" t="s">
        <v>677</v>
      </c>
      <c r="G8" s="297"/>
      <c r="H8" s="298"/>
      <c r="I8" s="298"/>
    </row>
    <row r="9" spans="2:9" x14ac:dyDescent="0.35">
      <c r="B9" s="297" t="s">
        <v>681</v>
      </c>
      <c r="C9" s="298" t="s">
        <v>1080</v>
      </c>
      <c r="D9" s="298" t="s">
        <v>684</v>
      </c>
      <c r="E9" s="298" t="s">
        <v>658</v>
      </c>
      <c r="F9" s="297" t="s">
        <v>653</v>
      </c>
      <c r="G9" s="297"/>
      <c r="H9" s="298"/>
      <c r="I9" s="298"/>
    </row>
    <row r="10" spans="2:9" x14ac:dyDescent="0.35">
      <c r="B10" s="297" t="s">
        <v>681</v>
      </c>
      <c r="C10" s="298" t="s">
        <v>1080</v>
      </c>
      <c r="D10" s="298" t="s">
        <v>686</v>
      </c>
      <c r="E10" s="298" t="s">
        <v>658</v>
      </c>
      <c r="F10" s="297" t="s">
        <v>653</v>
      </c>
      <c r="G10" s="297"/>
      <c r="H10" s="298"/>
      <c r="I10" s="298"/>
    </row>
    <row r="11" spans="2:9" x14ac:dyDescent="0.35">
      <c r="B11" s="297" t="s">
        <v>681</v>
      </c>
      <c r="C11" s="298" t="s">
        <v>1080</v>
      </c>
      <c r="D11" s="298" t="s">
        <v>688</v>
      </c>
      <c r="E11" s="298" t="s">
        <v>658</v>
      </c>
      <c r="F11" s="297" t="s">
        <v>653</v>
      </c>
      <c r="G11" s="297"/>
      <c r="H11" s="298"/>
      <c r="I11" s="298"/>
    </row>
    <row r="12" spans="2:9" x14ac:dyDescent="0.35">
      <c r="B12" s="297" t="s">
        <v>681</v>
      </c>
      <c r="C12" s="298" t="s">
        <v>1080</v>
      </c>
      <c r="D12" s="298" t="s">
        <v>690</v>
      </c>
      <c r="E12" s="298" t="s">
        <v>658</v>
      </c>
      <c r="F12" s="297" t="s">
        <v>653</v>
      </c>
      <c r="G12" s="297"/>
      <c r="H12" s="298"/>
      <c r="I12" s="298"/>
    </row>
    <row r="13" spans="2:9" x14ac:dyDescent="0.35">
      <c r="B13" s="297" t="s">
        <v>681</v>
      </c>
      <c r="C13" s="298" t="s">
        <v>1080</v>
      </c>
      <c r="D13" s="298" t="s">
        <v>692</v>
      </c>
      <c r="E13" s="298" t="s">
        <v>658</v>
      </c>
      <c r="F13" s="297" t="s">
        <v>653</v>
      </c>
      <c r="G13" s="297"/>
      <c r="H13" s="298"/>
      <c r="I13" s="298"/>
    </row>
    <row r="14" spans="2:9" x14ac:dyDescent="0.35">
      <c r="B14" s="297" t="s">
        <v>681</v>
      </c>
      <c r="C14" s="298" t="s">
        <v>1080</v>
      </c>
      <c r="D14" s="298" t="s">
        <v>694</v>
      </c>
      <c r="E14" s="298" t="s">
        <v>658</v>
      </c>
      <c r="F14" s="297" t="s">
        <v>653</v>
      </c>
      <c r="G14" s="297"/>
      <c r="H14" s="298"/>
      <c r="I14" s="298"/>
    </row>
    <row r="15" spans="2:9" x14ac:dyDescent="0.35">
      <c r="B15" s="297" t="s">
        <v>681</v>
      </c>
      <c r="C15" s="298" t="s">
        <v>756</v>
      </c>
      <c r="D15" s="298" t="s">
        <v>1081</v>
      </c>
      <c r="E15" s="298" t="s">
        <v>658</v>
      </c>
      <c r="F15" s="297" t="s">
        <v>653</v>
      </c>
      <c r="G15" s="297"/>
      <c r="H15" s="298"/>
      <c r="I15" s="298"/>
    </row>
    <row r="16" spans="2:9" x14ac:dyDescent="0.35">
      <c r="B16" s="297" t="s">
        <v>681</v>
      </c>
      <c r="C16" s="298" t="s">
        <v>756</v>
      </c>
      <c r="D16" s="298" t="s">
        <v>1082</v>
      </c>
      <c r="E16" s="298" t="s">
        <v>658</v>
      </c>
      <c r="F16" s="297" t="s">
        <v>653</v>
      </c>
      <c r="G16" s="297"/>
      <c r="H16" s="298"/>
      <c r="I16" s="298"/>
    </row>
    <row r="17" spans="2:9" x14ac:dyDescent="0.35">
      <c r="B17" s="297" t="s">
        <v>681</v>
      </c>
      <c r="C17" s="298" t="s">
        <v>756</v>
      </c>
      <c r="D17" s="298" t="s">
        <v>702</v>
      </c>
      <c r="E17" s="298" t="s">
        <v>658</v>
      </c>
      <c r="F17" s="297" t="s">
        <v>653</v>
      </c>
      <c r="G17" s="297"/>
      <c r="H17" s="298"/>
      <c r="I17" s="298"/>
    </row>
    <row r="18" spans="2:9" x14ac:dyDescent="0.35">
      <c r="B18" s="297" t="s">
        <v>681</v>
      </c>
      <c r="C18" s="298" t="s">
        <v>756</v>
      </c>
      <c r="D18" s="298" t="s">
        <v>1083</v>
      </c>
      <c r="E18" s="298" t="s">
        <v>658</v>
      </c>
      <c r="F18" s="297" t="s">
        <v>653</v>
      </c>
      <c r="G18" s="297"/>
      <c r="H18" s="298"/>
      <c r="I18" s="298"/>
    </row>
    <row r="19" spans="2:9" x14ac:dyDescent="0.35">
      <c r="B19" s="297" t="s">
        <v>681</v>
      </c>
      <c r="C19" s="298" t="s">
        <v>1084</v>
      </c>
      <c r="D19" s="298" t="s">
        <v>279</v>
      </c>
      <c r="E19" s="298" t="s">
        <v>656</v>
      </c>
      <c r="F19" s="297" t="s">
        <v>653</v>
      </c>
      <c r="G19" s="299" t="s">
        <v>643</v>
      </c>
      <c r="H19" s="298"/>
      <c r="I19" s="298"/>
    </row>
    <row r="20" spans="2:9" ht="14.5" x14ac:dyDescent="0.35">
      <c r="B20" s="297" t="s">
        <v>681</v>
      </c>
      <c r="C20" s="298" t="s">
        <v>1084</v>
      </c>
      <c r="D20" s="298" t="s">
        <v>709</v>
      </c>
      <c r="E20" s="298" t="s">
        <v>708</v>
      </c>
      <c r="F20" s="297" t="s">
        <v>709</v>
      </c>
      <c r="G20" s="79" t="s">
        <v>643</v>
      </c>
      <c r="H20" s="79" t="s">
        <v>710</v>
      </c>
      <c r="I20" s="79" t="s">
        <v>711</v>
      </c>
    </row>
    <row r="21" spans="2:9" x14ac:dyDescent="0.35">
      <c r="B21" s="297" t="s">
        <v>681</v>
      </c>
      <c r="C21" s="298" t="s">
        <v>1084</v>
      </c>
      <c r="D21" s="298" t="s">
        <v>1085</v>
      </c>
      <c r="E21" s="298" t="s">
        <v>713</v>
      </c>
      <c r="F21" s="297" t="s">
        <v>714</v>
      </c>
      <c r="G21" s="297"/>
      <c r="H21" s="298"/>
      <c r="I21" s="298"/>
    </row>
    <row r="22" spans="2:9" ht="23" x14ac:dyDescent="0.35">
      <c r="B22" s="297" t="s">
        <v>681</v>
      </c>
      <c r="C22" s="298" t="s">
        <v>1084</v>
      </c>
      <c r="D22" s="298" t="s">
        <v>282</v>
      </c>
      <c r="E22" s="298" t="s">
        <v>716</v>
      </c>
      <c r="F22" s="297" t="s">
        <v>717</v>
      </c>
      <c r="G22" s="299" t="s">
        <v>643</v>
      </c>
      <c r="H22" s="298"/>
      <c r="I22" s="298"/>
    </row>
    <row r="23" spans="2:9" x14ac:dyDescent="0.35">
      <c r="B23" s="297" t="s">
        <v>681</v>
      </c>
      <c r="C23" s="298" t="s">
        <v>1086</v>
      </c>
      <c r="D23" s="298" t="s">
        <v>1087</v>
      </c>
      <c r="E23" s="298" t="s">
        <v>721</v>
      </c>
      <c r="F23" s="297" t="s">
        <v>722</v>
      </c>
      <c r="G23" s="299" t="s">
        <v>643</v>
      </c>
      <c r="H23" s="298"/>
      <c r="I23" s="298"/>
    </row>
    <row r="24" spans="2:9" x14ac:dyDescent="0.35">
      <c r="B24" s="297" t="s">
        <v>681</v>
      </c>
      <c r="C24" s="298" t="s">
        <v>1086</v>
      </c>
      <c r="D24" s="298" t="s">
        <v>284</v>
      </c>
      <c r="E24" s="298" t="s">
        <v>1088</v>
      </c>
      <c r="F24" s="297" t="s">
        <v>1089</v>
      </c>
      <c r="G24" s="299" t="s">
        <v>643</v>
      </c>
      <c r="H24" s="298"/>
      <c r="I24" s="298"/>
    </row>
    <row r="25" spans="2:9" x14ac:dyDescent="0.35">
      <c r="B25" s="297" t="s">
        <v>681</v>
      </c>
      <c r="C25" s="298" t="s">
        <v>1090</v>
      </c>
      <c r="D25" s="298" t="s">
        <v>285</v>
      </c>
      <c r="E25" s="298" t="s">
        <v>726</v>
      </c>
      <c r="F25" s="297" t="s">
        <v>714</v>
      </c>
      <c r="G25" s="299" t="s">
        <v>643</v>
      </c>
      <c r="H25" s="298"/>
      <c r="I25" s="298"/>
    </row>
    <row r="26" spans="2:9" x14ac:dyDescent="0.35">
      <c r="B26" s="297" t="s">
        <v>681</v>
      </c>
      <c r="C26" s="298" t="s">
        <v>1090</v>
      </c>
      <c r="D26" s="298" t="s">
        <v>727</v>
      </c>
      <c r="E26" s="298" t="s">
        <v>658</v>
      </c>
      <c r="F26" s="297" t="s">
        <v>653</v>
      </c>
      <c r="G26" s="297"/>
      <c r="H26" s="298"/>
      <c r="I26" s="298"/>
    </row>
    <row r="27" spans="2:9" x14ac:dyDescent="0.35">
      <c r="B27" s="297" t="s">
        <v>681</v>
      </c>
      <c r="C27" s="298" t="s">
        <v>1090</v>
      </c>
      <c r="D27" s="298" t="s">
        <v>1091</v>
      </c>
      <c r="E27" s="298" t="s">
        <v>730</v>
      </c>
      <c r="F27" s="298" t="s">
        <v>730</v>
      </c>
      <c r="G27" s="297"/>
      <c r="H27" s="298"/>
      <c r="I27" s="298"/>
    </row>
    <row r="28" spans="2:9" x14ac:dyDescent="0.35">
      <c r="B28" s="297" t="s">
        <v>681</v>
      </c>
      <c r="C28" s="298" t="s">
        <v>1090</v>
      </c>
      <c r="D28" s="298" t="s">
        <v>731</v>
      </c>
      <c r="E28" s="298" t="s">
        <v>733</v>
      </c>
      <c r="F28" s="297" t="s">
        <v>734</v>
      </c>
      <c r="G28" s="299" t="s">
        <v>643</v>
      </c>
      <c r="H28" s="298"/>
      <c r="I28" s="298"/>
    </row>
    <row r="29" spans="2:9" ht="34.5" x14ac:dyDescent="0.35">
      <c r="B29" s="297" t="s">
        <v>681</v>
      </c>
      <c r="C29" s="298" t="s">
        <v>1090</v>
      </c>
      <c r="D29" s="298" t="s">
        <v>1092</v>
      </c>
      <c r="E29" s="298" t="s">
        <v>736</v>
      </c>
      <c r="F29" s="297" t="s">
        <v>737</v>
      </c>
      <c r="G29" s="299" t="s">
        <v>643</v>
      </c>
      <c r="H29" s="299" t="s">
        <v>710</v>
      </c>
      <c r="I29" s="298"/>
    </row>
    <row r="30" spans="2:9" x14ac:dyDescent="0.35">
      <c r="B30" s="297" t="s">
        <v>681</v>
      </c>
      <c r="C30" s="298" t="s">
        <v>1093</v>
      </c>
      <c r="D30" s="298" t="s">
        <v>740</v>
      </c>
      <c r="E30" s="298" t="s">
        <v>742</v>
      </c>
      <c r="F30" s="297" t="s">
        <v>653</v>
      </c>
      <c r="G30" s="299" t="s">
        <v>643</v>
      </c>
      <c r="H30" s="298"/>
      <c r="I30" s="298"/>
    </row>
    <row r="31" spans="2:9" x14ac:dyDescent="0.25">
      <c r="B31" s="297" t="s">
        <v>681</v>
      </c>
      <c r="C31" s="298" t="s">
        <v>1093</v>
      </c>
      <c r="D31" s="298" t="s">
        <v>1094</v>
      </c>
      <c r="E31" s="300" t="s">
        <v>744</v>
      </c>
      <c r="F31" s="297" t="s">
        <v>717</v>
      </c>
      <c r="G31" s="299" t="s">
        <v>643</v>
      </c>
      <c r="H31" s="298"/>
      <c r="I31" s="298"/>
    </row>
    <row r="32" spans="2:9" x14ac:dyDescent="0.25">
      <c r="B32" s="297" t="s">
        <v>681</v>
      </c>
      <c r="C32" s="298" t="s">
        <v>1093</v>
      </c>
      <c r="D32" s="298" t="s">
        <v>1095</v>
      </c>
      <c r="E32" s="300" t="s">
        <v>744</v>
      </c>
      <c r="F32" s="297" t="s">
        <v>717</v>
      </c>
      <c r="G32" s="299" t="s">
        <v>643</v>
      </c>
      <c r="H32" s="298"/>
      <c r="I32" s="298"/>
    </row>
    <row r="38" spans="2:9" ht="24.75" customHeight="1" x14ac:dyDescent="0.35">
      <c r="B38" s="825" t="s">
        <v>1096</v>
      </c>
      <c r="C38" s="825"/>
      <c r="D38" s="825"/>
      <c r="E38" s="825"/>
      <c r="F38" s="825"/>
      <c r="G38" s="825"/>
      <c r="H38" s="825"/>
      <c r="I38" s="825"/>
    </row>
  </sheetData>
  <mergeCells count="1">
    <mergeCell ref="B38:I38"/>
  </mergeCells>
  <phoneticPr fontId="18" type="noConversion"/>
  <hyperlinks>
    <hyperlink ref="G5" r:id="rId1" xr:uid="{768907B7-EF82-41A2-9C55-FC27201D7C13}"/>
    <hyperlink ref="G4" r:id="rId2" xr:uid="{6CDC040C-8045-4805-AF89-F2C96691DBC8}"/>
    <hyperlink ref="G6" r:id="rId3" xr:uid="{54673A91-9573-4B20-97A6-B66F97D7CBB6}"/>
    <hyperlink ref="G19" r:id="rId4" xr:uid="{1540181E-F57D-4C7B-B728-71AB7526FF96}"/>
    <hyperlink ref="G22" r:id="rId5" xr:uid="{08D1132C-9801-4C01-AD00-A440B09FF60C}"/>
    <hyperlink ref="G23" r:id="rId6" xr:uid="{E0899D19-98E2-469A-A861-3C907D5DE9BC}"/>
    <hyperlink ref="G24" r:id="rId7" xr:uid="{20BD8C24-188F-458C-BD78-628220834FE6}"/>
    <hyperlink ref="G25" r:id="rId8" xr:uid="{333045F9-295E-4C85-BABE-128C5C99C5E5}"/>
    <hyperlink ref="G28" r:id="rId9" xr:uid="{CBC905D2-204B-4B72-9262-B6948285C7D4}"/>
    <hyperlink ref="G29" r:id="rId10" xr:uid="{ADA7DB53-9251-4970-954E-0138BDBD7814}"/>
    <hyperlink ref="H29" r:id="rId11" xr:uid="{91391066-85FE-4987-91F2-43E28437C2E9}"/>
    <hyperlink ref="G30" r:id="rId12" xr:uid="{DA05125B-EECF-4FB0-A318-9C73F838CADB}"/>
    <hyperlink ref="G32" r:id="rId13" xr:uid="{F7AD8F20-2EFB-47A7-A62E-3000216FFF3F}"/>
    <hyperlink ref="G31" r:id="rId14" xr:uid="{77CCAF6C-B65B-4A07-B1CE-0AC338488480}"/>
    <hyperlink ref="I20" r:id="rId15" display="Link" xr:uid="{44672B56-FC00-47EB-BB77-C387B50070B3}"/>
    <hyperlink ref="G20" r:id="rId16" display="https://www.bepza.gov.bd/" xr:uid="{B40025D7-896A-4891-840B-07542EB58E0E}"/>
    <hyperlink ref="H20" r:id="rId17" xr:uid="{ACDDD00B-F3DF-45FA-98D2-9DD5E74F3A52}"/>
  </hyperlinks>
  <pageMargins left="0.7" right="0.7" top="0.75" bottom="0.75" header="0.3" footer="0.3"/>
  <pageSetup orientation="portrait" r:id="rId18"/>
  <tableParts count="1">
    <tablePart r:id="rId19"/>
  </tablePar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117D5-EE96-4FAA-BFF2-B1BEFB695978}">
  <dimension ref="A1:BK105"/>
  <sheetViews>
    <sheetView workbookViewId="0"/>
  </sheetViews>
  <sheetFormatPr defaultRowHeight="27" customHeight="1" x14ac:dyDescent="0.35"/>
  <cols>
    <col min="1" max="1" width="5.1796875" customWidth="1"/>
    <col min="2" max="2" width="35.1796875" customWidth="1"/>
    <col min="3" max="3" width="14.453125" bestFit="1" customWidth="1"/>
    <col min="4" max="4" width="22.1796875" bestFit="1" customWidth="1"/>
    <col min="5" max="5" width="18.81640625" customWidth="1"/>
    <col min="6" max="6" width="14.54296875" style="65" customWidth="1"/>
    <col min="7" max="7" width="24.81640625" customWidth="1"/>
    <col min="8" max="8" width="14.1796875" hidden="1" customWidth="1"/>
    <col min="9" max="9" width="17.453125" style="65" bestFit="1" customWidth="1"/>
    <col min="10" max="10" width="19.1796875" customWidth="1"/>
    <col min="11" max="11" width="20.453125" customWidth="1"/>
    <col min="12" max="12" width="17.1796875" customWidth="1"/>
    <col min="13" max="13" width="17.453125" customWidth="1"/>
    <col min="14" max="19" width="14.1796875" customWidth="1"/>
    <col min="20" max="20" width="14.453125" customWidth="1"/>
    <col min="21" max="21" width="27.1796875" customWidth="1"/>
    <col min="22" max="22" width="22.54296875" customWidth="1"/>
    <col min="23" max="23" width="18.1796875" style="65" customWidth="1"/>
    <col min="24" max="24" width="21.1796875" customWidth="1"/>
    <col min="25" max="25" width="21.1796875" style="65" customWidth="1"/>
    <col min="26" max="26" width="26" customWidth="1"/>
    <col min="27" max="27" width="13.1796875" hidden="1" customWidth="1"/>
    <col min="28" max="28" width="13.453125" hidden="1" customWidth="1"/>
    <col min="29" max="29" width="15.1796875" hidden="1" customWidth="1"/>
    <col min="30" max="30" width="14.1796875" hidden="1" customWidth="1"/>
    <col min="31" max="31" width="15.54296875" hidden="1" customWidth="1"/>
    <col min="32" max="32" width="14.453125" hidden="1" customWidth="1"/>
    <col min="33" max="34" width="14.54296875" hidden="1" customWidth="1"/>
    <col min="35" max="35" width="10.453125" hidden="1" customWidth="1"/>
    <col min="36" max="36" width="15" style="85" hidden="1" customWidth="1"/>
    <col min="37" max="37" width="18" customWidth="1"/>
    <col min="38" max="47" width="25.1796875" customWidth="1"/>
    <col min="48" max="48" width="9.1796875" hidden="1" customWidth="1"/>
    <col min="49" max="50" width="9.81640625" hidden="1" customWidth="1"/>
    <col min="51" max="51" width="10.81640625" hidden="1" customWidth="1"/>
    <col min="52" max="52" width="12.54296875" hidden="1" customWidth="1"/>
    <col min="53" max="53" width="13.1796875" hidden="1" customWidth="1"/>
    <col min="54" max="54" width="14.1796875" hidden="1" customWidth="1"/>
    <col min="55" max="55" width="11.81640625" hidden="1" customWidth="1"/>
    <col min="56" max="56" width="9.81640625" hidden="1" customWidth="1"/>
    <col min="57" max="57" width="13.1796875" hidden="1" customWidth="1"/>
    <col min="58" max="59" width="15.1796875" hidden="1" customWidth="1"/>
    <col min="60" max="60" width="18.1796875" hidden="1" customWidth="1"/>
    <col min="61" max="61" width="13.81640625" hidden="1" customWidth="1"/>
  </cols>
  <sheetData>
    <row r="1" spans="1:63" ht="14.5" x14ac:dyDescent="0.35">
      <c r="A1" s="57"/>
      <c r="B1" s="57"/>
      <c r="C1" s="57"/>
      <c r="D1" s="57"/>
      <c r="E1" s="57"/>
      <c r="F1" s="64"/>
      <c r="G1" s="58"/>
      <c r="H1" s="59"/>
      <c r="I1" s="64"/>
      <c r="J1" s="64"/>
      <c r="K1" s="64"/>
      <c r="L1" s="64"/>
      <c r="M1" s="64"/>
      <c r="N1" s="64"/>
      <c r="O1" s="64"/>
      <c r="P1" s="64"/>
      <c r="Q1" s="64"/>
      <c r="R1" s="64"/>
      <c r="S1" s="64"/>
      <c r="T1" s="57"/>
      <c r="U1" s="57"/>
      <c r="V1" s="57"/>
      <c r="W1" s="64"/>
      <c r="X1" s="57"/>
      <c r="Y1" s="64"/>
      <c r="Z1" s="57"/>
      <c r="AA1" s="57"/>
      <c r="AB1" s="60"/>
      <c r="AC1" s="826" t="s">
        <v>753</v>
      </c>
      <c r="AD1" s="827"/>
      <c r="AE1" s="827"/>
      <c r="AF1" s="827"/>
      <c r="AG1" s="827"/>
      <c r="AH1" s="827"/>
      <c r="AI1" s="827"/>
      <c r="AJ1" s="828"/>
      <c r="AK1" s="826" t="s">
        <v>754</v>
      </c>
      <c r="AL1" s="827"/>
      <c r="AM1" s="827"/>
      <c r="AN1" s="827"/>
      <c r="AO1" s="827"/>
      <c r="AP1" s="827"/>
      <c r="AQ1" s="827"/>
      <c r="AR1" s="827"/>
      <c r="AS1" s="827"/>
      <c r="AT1" s="827"/>
      <c r="AU1" s="828"/>
      <c r="AV1" s="826" t="s">
        <v>755</v>
      </c>
      <c r="AW1" s="827"/>
      <c r="AX1" s="827"/>
      <c r="AY1" s="827"/>
      <c r="AZ1" s="826" t="s">
        <v>756</v>
      </c>
      <c r="BA1" s="827"/>
      <c r="BB1" s="827"/>
      <c r="BC1" s="827"/>
      <c r="BD1" s="828"/>
      <c r="BE1" s="61"/>
      <c r="BF1" s="62"/>
      <c r="BG1" s="62"/>
      <c r="BH1" s="62"/>
      <c r="BI1" s="62"/>
    </row>
    <row r="2" spans="1:63" s="63" customFormat="1" ht="52.5" customHeight="1" x14ac:dyDescent="0.35">
      <c r="A2" s="66" t="s">
        <v>4</v>
      </c>
      <c r="B2" s="66" t="s">
        <v>5</v>
      </c>
      <c r="C2" s="66" t="s">
        <v>6</v>
      </c>
      <c r="D2" s="66" t="s">
        <v>7</v>
      </c>
      <c r="E2" s="66" t="s">
        <v>8</v>
      </c>
      <c r="F2" s="66" t="s">
        <v>9</v>
      </c>
      <c r="G2" s="66" t="s">
        <v>1097</v>
      </c>
      <c r="H2" s="67" t="s">
        <v>1098</v>
      </c>
      <c r="I2" s="84" t="s">
        <v>12</v>
      </c>
      <c r="J2" s="66" t="s">
        <v>758</v>
      </c>
      <c r="K2" s="66" t="s">
        <v>759</v>
      </c>
      <c r="L2" s="66" t="s">
        <v>760</v>
      </c>
      <c r="M2" s="66" t="s">
        <v>761</v>
      </c>
      <c r="N2" s="66" t="s">
        <v>764</v>
      </c>
      <c r="O2" s="66" t="s">
        <v>765</v>
      </c>
      <c r="P2" s="66" t="s">
        <v>766</v>
      </c>
      <c r="Q2" s="66" t="s">
        <v>767</v>
      </c>
      <c r="R2" s="66" t="s">
        <v>480</v>
      </c>
      <c r="S2" s="66" t="s">
        <v>768</v>
      </c>
      <c r="T2" s="66" t="s">
        <v>769</v>
      </c>
      <c r="U2" s="66" t="s">
        <v>770</v>
      </c>
      <c r="V2" s="66" t="s">
        <v>774</v>
      </c>
      <c r="W2" s="66" t="s">
        <v>775</v>
      </c>
      <c r="X2" s="66" t="s">
        <v>776</v>
      </c>
      <c r="Y2" s="66" t="s">
        <v>777</v>
      </c>
      <c r="Z2" s="66" t="s">
        <v>779</v>
      </c>
      <c r="AA2" s="66" t="s">
        <v>780</v>
      </c>
      <c r="AB2" s="69" t="s">
        <v>786</v>
      </c>
      <c r="AC2" s="66" t="s">
        <v>789</v>
      </c>
      <c r="AD2" s="67" t="s">
        <v>790</v>
      </c>
      <c r="AE2" s="67" t="s">
        <v>791</v>
      </c>
      <c r="AF2" s="67" t="s">
        <v>792</v>
      </c>
      <c r="AG2" s="67" t="s">
        <v>793</v>
      </c>
      <c r="AH2" s="67" t="s">
        <v>794</v>
      </c>
      <c r="AI2" s="67" t="s">
        <v>795</v>
      </c>
      <c r="AJ2" s="67" t="s">
        <v>796</v>
      </c>
      <c r="AK2" s="67" t="s">
        <v>797</v>
      </c>
      <c r="AL2" s="67" t="s">
        <v>1099</v>
      </c>
      <c r="AM2" s="67" t="s">
        <v>799</v>
      </c>
      <c r="AN2" s="67" t="s">
        <v>800</v>
      </c>
      <c r="AO2" s="67" t="s">
        <v>801</v>
      </c>
      <c r="AP2" s="67" t="s">
        <v>802</v>
      </c>
      <c r="AQ2" s="67" t="s">
        <v>803</v>
      </c>
      <c r="AR2" s="67" t="s">
        <v>804</v>
      </c>
      <c r="AS2" s="67" t="s">
        <v>805</v>
      </c>
      <c r="AT2" s="67" t="s">
        <v>806</v>
      </c>
      <c r="AU2" s="67" t="s">
        <v>807</v>
      </c>
      <c r="AV2" s="67" t="s">
        <v>808</v>
      </c>
      <c r="AW2" s="67" t="s">
        <v>809</v>
      </c>
      <c r="AX2" s="67" t="s">
        <v>810</v>
      </c>
      <c r="AY2" s="67" t="s">
        <v>811</v>
      </c>
      <c r="AZ2" s="67" t="s">
        <v>812</v>
      </c>
      <c r="BA2" s="67" t="s">
        <v>813</v>
      </c>
      <c r="BB2" s="67" t="s">
        <v>814</v>
      </c>
      <c r="BC2" s="67" t="s">
        <v>815</v>
      </c>
      <c r="BD2" s="67" t="s">
        <v>816</v>
      </c>
      <c r="BE2" s="67" t="s">
        <v>817</v>
      </c>
      <c r="BF2" s="67" t="s">
        <v>818</v>
      </c>
      <c r="BG2" s="68" t="s">
        <v>819</v>
      </c>
      <c r="BH2" s="69" t="s">
        <v>820</v>
      </c>
      <c r="BI2" s="69" t="s">
        <v>821</v>
      </c>
      <c r="BJ2" s="69" t="s">
        <v>822</v>
      </c>
      <c r="BK2" s="69" t="s">
        <v>823</v>
      </c>
    </row>
    <row r="3" spans="1:63" ht="27" customHeight="1" x14ac:dyDescent="0.35">
      <c r="A3" s="70">
        <v>1</v>
      </c>
      <c r="B3" s="71" t="s">
        <v>53</v>
      </c>
      <c r="C3" s="71" t="s">
        <v>119</v>
      </c>
      <c r="D3" s="70" t="s">
        <v>119</v>
      </c>
      <c r="E3" s="70" t="s">
        <v>120</v>
      </c>
      <c r="F3" s="70" t="s">
        <v>70</v>
      </c>
      <c r="G3" s="70" t="s">
        <v>422</v>
      </c>
      <c r="H3" s="71"/>
      <c r="I3" s="70" t="s">
        <v>436</v>
      </c>
      <c r="J3" s="70" t="s">
        <v>417</v>
      </c>
      <c r="K3" s="70"/>
      <c r="L3" s="70"/>
      <c r="M3" s="63"/>
      <c r="N3" s="70"/>
      <c r="O3" s="63"/>
      <c r="P3" s="79"/>
      <c r="Q3" s="63"/>
      <c r="R3" s="79" t="s">
        <v>417</v>
      </c>
      <c r="S3" s="63">
        <v>2021</v>
      </c>
      <c r="T3" s="79"/>
      <c r="U3" s="63"/>
      <c r="V3" s="79"/>
      <c r="W3" s="70" t="s">
        <v>824</v>
      </c>
      <c r="X3" s="70">
        <v>300</v>
      </c>
      <c r="Y3" s="70" t="s">
        <v>180</v>
      </c>
      <c r="Z3" s="70" t="s">
        <v>180</v>
      </c>
      <c r="AA3" s="70">
        <v>329.43</v>
      </c>
      <c r="AB3" s="71"/>
      <c r="AC3" s="71"/>
      <c r="AD3" s="87">
        <f>AE3/165</f>
        <v>1.3973939393939394</v>
      </c>
      <c r="AE3" s="71">
        <v>230.57</v>
      </c>
      <c r="AF3" s="71"/>
      <c r="AG3" s="71">
        <v>38.03</v>
      </c>
      <c r="AH3" s="71">
        <v>16.79</v>
      </c>
      <c r="AI3" s="71">
        <v>11.1</v>
      </c>
      <c r="AJ3" s="71">
        <v>32.94</v>
      </c>
      <c r="AK3" s="70"/>
      <c r="AL3" s="74">
        <f>SUM(AE3:AK3)</f>
        <v>329.43000000000006</v>
      </c>
      <c r="AM3" s="71" t="s">
        <v>826</v>
      </c>
      <c r="AN3" s="71" t="s">
        <v>827</v>
      </c>
      <c r="AO3" s="71" t="s">
        <v>828</v>
      </c>
      <c r="AP3" s="71" t="s">
        <v>829</v>
      </c>
      <c r="AQ3" s="71" t="s">
        <v>830</v>
      </c>
      <c r="AR3" s="71" t="s">
        <v>831</v>
      </c>
      <c r="AS3" s="71"/>
      <c r="AT3" s="71"/>
      <c r="AU3" s="71"/>
      <c r="AV3" s="71"/>
      <c r="AW3" s="71"/>
      <c r="AX3" s="71" t="s">
        <v>832</v>
      </c>
      <c r="AY3" s="71" t="s">
        <v>833</v>
      </c>
      <c r="AZ3" s="71" t="s">
        <v>834</v>
      </c>
      <c r="BA3" s="71" t="s">
        <v>835</v>
      </c>
      <c r="BB3" s="88">
        <v>40.1</v>
      </c>
      <c r="BC3" s="88">
        <v>13000</v>
      </c>
      <c r="BD3" s="88">
        <v>15800</v>
      </c>
      <c r="BE3" s="88">
        <v>4939.82</v>
      </c>
      <c r="BF3" s="71"/>
      <c r="BG3" s="71"/>
      <c r="BH3" s="71"/>
      <c r="BI3" s="71" t="s">
        <v>836</v>
      </c>
      <c r="BJ3" s="71"/>
      <c r="BK3" s="71"/>
    </row>
    <row r="4" spans="1:63" ht="27" customHeight="1" x14ac:dyDescent="0.35">
      <c r="A4" s="70">
        <v>2</v>
      </c>
      <c r="B4" s="71" t="s">
        <v>42</v>
      </c>
      <c r="C4" s="71" t="s">
        <v>68</v>
      </c>
      <c r="D4" s="70" t="s">
        <v>68</v>
      </c>
      <c r="E4" s="70" t="s">
        <v>81</v>
      </c>
      <c r="F4" s="70" t="s">
        <v>79</v>
      </c>
      <c r="G4" s="70" t="s">
        <v>410</v>
      </c>
      <c r="H4" s="71" t="s">
        <v>1100</v>
      </c>
      <c r="I4" s="70" t="s">
        <v>415</v>
      </c>
      <c r="J4" s="70" t="s">
        <v>417</v>
      </c>
      <c r="K4" s="70"/>
      <c r="L4" s="70"/>
      <c r="M4" s="63"/>
      <c r="N4" s="70"/>
      <c r="O4" s="63"/>
      <c r="P4" s="79"/>
      <c r="Q4" s="63"/>
      <c r="R4" s="79" t="s">
        <v>417</v>
      </c>
      <c r="S4" s="63">
        <v>2014</v>
      </c>
      <c r="T4" s="79"/>
      <c r="U4" s="63"/>
      <c r="V4" s="79"/>
      <c r="W4" s="70" t="s">
        <v>824</v>
      </c>
      <c r="X4" s="70">
        <v>503.7</v>
      </c>
      <c r="Y4" s="70" t="s">
        <v>180</v>
      </c>
      <c r="Z4" s="70" t="s">
        <v>180</v>
      </c>
      <c r="AA4" s="70">
        <v>1389.5</v>
      </c>
      <c r="AB4" s="71" t="s">
        <v>983</v>
      </c>
      <c r="AC4" s="71"/>
      <c r="AD4" s="87">
        <v>2.4700000000000002</v>
      </c>
      <c r="AE4" s="71">
        <v>895.56</v>
      </c>
      <c r="AF4" s="71"/>
      <c r="AG4" s="71">
        <v>75.37</v>
      </c>
      <c r="AH4" s="71">
        <f>24.56+24.42+5.86+134.73</f>
        <v>189.57</v>
      </c>
      <c r="AI4" s="71">
        <v>18.77</v>
      </c>
      <c r="AJ4" s="71">
        <v>44.67</v>
      </c>
      <c r="AK4" s="70">
        <v>165.56</v>
      </c>
      <c r="AL4" s="74">
        <f>SUM(AE4:AK4)</f>
        <v>1389.5</v>
      </c>
      <c r="AM4" s="71" t="s">
        <v>873</v>
      </c>
      <c r="AN4" s="71" t="s">
        <v>985</v>
      </c>
      <c r="AO4" s="71" t="s">
        <v>986</v>
      </c>
      <c r="AP4" s="71" t="s">
        <v>874</v>
      </c>
      <c r="AQ4" s="71" t="s">
        <v>840</v>
      </c>
      <c r="AR4" s="71" t="s">
        <v>839</v>
      </c>
      <c r="AS4" s="71"/>
      <c r="AT4" s="71"/>
      <c r="AU4" s="71"/>
      <c r="AV4" s="71"/>
      <c r="AW4" s="71"/>
      <c r="AX4" s="71" t="s">
        <v>987</v>
      </c>
      <c r="AY4" s="71" t="s">
        <v>988</v>
      </c>
      <c r="AZ4" s="71" t="s">
        <v>989</v>
      </c>
      <c r="BA4" s="71"/>
      <c r="BB4" s="88">
        <v>98.75</v>
      </c>
      <c r="BC4" s="88">
        <v>36731.339999999997</v>
      </c>
      <c r="BD4" s="88"/>
      <c r="BE4" s="88"/>
      <c r="BF4" s="71"/>
      <c r="BG4" s="71"/>
      <c r="BH4" s="71"/>
      <c r="BI4" s="71" t="s">
        <v>990</v>
      </c>
      <c r="BJ4" s="71"/>
      <c r="BK4" s="71"/>
    </row>
    <row r="5" spans="1:63" ht="27" customHeight="1" x14ac:dyDescent="0.35">
      <c r="A5" s="70">
        <v>3</v>
      </c>
      <c r="B5" s="71" t="s">
        <v>43</v>
      </c>
      <c r="C5" s="71" t="s">
        <v>104</v>
      </c>
      <c r="D5" s="70" t="s">
        <v>105</v>
      </c>
      <c r="E5" s="70" t="s">
        <v>106</v>
      </c>
      <c r="F5" s="70" t="s">
        <v>70</v>
      </c>
      <c r="G5" s="70" t="s">
        <v>410</v>
      </c>
      <c r="H5" s="71"/>
      <c r="I5" s="70" t="s">
        <v>415</v>
      </c>
      <c r="J5" s="70" t="s">
        <v>417</v>
      </c>
      <c r="K5" s="70"/>
      <c r="L5" s="70"/>
      <c r="M5" s="63"/>
      <c r="N5" s="79" t="s">
        <v>417</v>
      </c>
      <c r="O5" s="63">
        <v>2021</v>
      </c>
      <c r="P5" s="79"/>
      <c r="Q5" s="63"/>
      <c r="R5" s="79" t="s">
        <v>417</v>
      </c>
      <c r="S5" s="63">
        <v>2017</v>
      </c>
      <c r="T5" s="79"/>
      <c r="U5" s="63"/>
      <c r="V5" s="79"/>
      <c r="W5" s="70" t="s">
        <v>824</v>
      </c>
      <c r="X5" s="70">
        <v>436</v>
      </c>
      <c r="Y5" s="70" t="s">
        <v>180</v>
      </c>
      <c r="Z5" s="70">
        <v>402.66</v>
      </c>
      <c r="AA5" s="70">
        <v>443</v>
      </c>
      <c r="AB5" s="71"/>
      <c r="AC5" s="71"/>
      <c r="AD5" s="71"/>
      <c r="AE5" s="71">
        <v>268.56</v>
      </c>
      <c r="AF5" s="71"/>
      <c r="AG5" s="71">
        <v>60.27</v>
      </c>
      <c r="AH5" s="71">
        <v>18.32</v>
      </c>
      <c r="AI5" s="71">
        <v>12.31</v>
      </c>
      <c r="AJ5" s="71">
        <v>41.71</v>
      </c>
      <c r="AK5" s="70">
        <f>AL5-SUM(AE5:AJ5)</f>
        <v>35.750000000000057</v>
      </c>
      <c r="AL5" s="74">
        <v>436.92</v>
      </c>
      <c r="AM5" s="71" t="s">
        <v>847</v>
      </c>
      <c r="AN5" s="71" t="s">
        <v>829</v>
      </c>
      <c r="AO5" s="71" t="s">
        <v>840</v>
      </c>
      <c r="AP5" s="71" t="s">
        <v>848</v>
      </c>
      <c r="AQ5" s="71" t="s">
        <v>841</v>
      </c>
      <c r="AR5" s="71" t="s">
        <v>839</v>
      </c>
      <c r="AS5" s="71"/>
      <c r="AT5" s="71"/>
      <c r="AU5" s="71"/>
      <c r="AV5" s="71"/>
      <c r="AW5" s="71"/>
      <c r="AX5" s="71" t="s">
        <v>883</v>
      </c>
      <c r="AY5" s="71" t="s">
        <v>884</v>
      </c>
      <c r="AZ5" s="71" t="s">
        <v>885</v>
      </c>
      <c r="BA5" s="71"/>
      <c r="BB5" s="88">
        <v>47</v>
      </c>
      <c r="BC5" s="88">
        <v>9000</v>
      </c>
      <c r="BD5" s="88">
        <v>18400</v>
      </c>
      <c r="BE5" s="88"/>
      <c r="BF5" s="71"/>
      <c r="BG5" s="71"/>
      <c r="BH5" s="71"/>
      <c r="BI5" s="71" t="s">
        <v>886</v>
      </c>
      <c r="BJ5" s="71"/>
      <c r="BK5" s="71"/>
    </row>
    <row r="6" spans="1:63" ht="27" customHeight="1" x14ac:dyDescent="0.35">
      <c r="A6" s="70">
        <v>4</v>
      </c>
      <c r="B6" s="71" t="s">
        <v>487</v>
      </c>
      <c r="C6" s="71" t="s">
        <v>104</v>
      </c>
      <c r="D6" s="70" t="s">
        <v>136</v>
      </c>
      <c r="E6" s="70" t="s">
        <v>137</v>
      </c>
      <c r="F6" s="70" t="s">
        <v>70</v>
      </c>
      <c r="G6" s="70" t="s">
        <v>422</v>
      </c>
      <c r="H6" s="71"/>
      <c r="I6" s="70" t="s">
        <v>436</v>
      </c>
      <c r="J6" s="70" t="s">
        <v>417</v>
      </c>
      <c r="K6" s="70"/>
      <c r="L6" s="70"/>
      <c r="M6" s="63"/>
      <c r="N6" s="70"/>
      <c r="O6" s="63"/>
      <c r="P6" s="70"/>
      <c r="Q6" s="63"/>
      <c r="R6" s="79" t="s">
        <v>417</v>
      </c>
      <c r="S6" s="63">
        <v>2014</v>
      </c>
      <c r="T6" s="70"/>
      <c r="U6" s="63"/>
      <c r="V6" s="70"/>
      <c r="W6" s="70" t="s">
        <v>824</v>
      </c>
      <c r="X6" s="70">
        <v>361.08</v>
      </c>
      <c r="Y6" s="70" t="s">
        <v>180</v>
      </c>
      <c r="Z6" s="70" t="s">
        <v>180</v>
      </c>
      <c r="AA6" s="70">
        <v>353.53</v>
      </c>
      <c r="AB6" s="71"/>
      <c r="AC6" s="71"/>
      <c r="AD6" s="87">
        <v>2.4700000000000002</v>
      </c>
      <c r="AE6" s="71">
        <v>211.68</v>
      </c>
      <c r="AF6" s="71"/>
      <c r="AG6" s="71">
        <v>38.79</v>
      </c>
      <c r="AH6" s="71">
        <f>4.62+34.23+2.02+2.08+0.81</f>
        <v>43.76</v>
      </c>
      <c r="AI6" s="71">
        <v>11.02</v>
      </c>
      <c r="AJ6" s="71">
        <v>10.94</v>
      </c>
      <c r="AK6" s="70">
        <f>AL6-SUM(AE6:AJ6)</f>
        <v>37.339999999999975</v>
      </c>
      <c r="AL6" s="74">
        <v>353.53</v>
      </c>
      <c r="AM6" s="71" t="s">
        <v>866</v>
      </c>
      <c r="AN6" s="71" t="s">
        <v>961</v>
      </c>
      <c r="AO6" s="71" t="s">
        <v>924</v>
      </c>
      <c r="AP6" s="71" t="s">
        <v>962</v>
      </c>
      <c r="AQ6" s="71" t="s">
        <v>839</v>
      </c>
      <c r="AR6" s="71" t="s">
        <v>963</v>
      </c>
      <c r="AS6" s="71" t="s">
        <v>840</v>
      </c>
      <c r="AT6" s="71" t="s">
        <v>899</v>
      </c>
      <c r="AU6" s="71"/>
      <c r="AV6" s="71"/>
      <c r="AW6" s="71"/>
      <c r="AX6" s="71" t="s">
        <v>964</v>
      </c>
      <c r="AY6" s="71" t="s">
        <v>965</v>
      </c>
      <c r="AZ6" s="71" t="s">
        <v>966</v>
      </c>
      <c r="BA6" s="71"/>
      <c r="BB6" s="88">
        <v>33.04</v>
      </c>
      <c r="BC6" s="88">
        <v>59011</v>
      </c>
      <c r="BD6" s="88">
        <v>655312</v>
      </c>
      <c r="BE6" s="88"/>
      <c r="BF6" s="71"/>
      <c r="BG6" s="71"/>
      <c r="BH6" s="71"/>
      <c r="BI6" s="71"/>
      <c r="BJ6" s="71"/>
      <c r="BK6" s="71"/>
    </row>
    <row r="7" spans="1:63" ht="27" customHeight="1" x14ac:dyDescent="0.35">
      <c r="A7" s="70">
        <v>5</v>
      </c>
      <c r="B7" s="71" t="s">
        <v>27</v>
      </c>
      <c r="C7" s="71" t="s">
        <v>68</v>
      </c>
      <c r="D7" s="70" t="s">
        <v>74</v>
      </c>
      <c r="E7" s="70" t="s">
        <v>88</v>
      </c>
      <c r="F7" s="70" t="s">
        <v>70</v>
      </c>
      <c r="G7" s="70" t="s">
        <v>422</v>
      </c>
      <c r="H7" s="71"/>
      <c r="I7" s="70" t="s">
        <v>415</v>
      </c>
      <c r="J7" s="70" t="s">
        <v>417</v>
      </c>
      <c r="K7" s="70"/>
      <c r="L7" s="70"/>
      <c r="M7" s="63"/>
      <c r="N7" s="70"/>
      <c r="O7" s="63"/>
      <c r="P7" s="79"/>
      <c r="Q7" s="63"/>
      <c r="R7" s="79" t="s">
        <v>417</v>
      </c>
      <c r="S7" s="63">
        <v>2022</v>
      </c>
      <c r="T7" s="79"/>
      <c r="U7" s="63"/>
      <c r="V7" s="79"/>
      <c r="W7" s="70" t="s">
        <v>824</v>
      </c>
      <c r="X7" s="70">
        <v>1501.04</v>
      </c>
      <c r="Y7" s="70" t="s">
        <v>180</v>
      </c>
      <c r="Z7" s="70" t="s">
        <v>180</v>
      </c>
      <c r="AA7" s="70">
        <v>1240</v>
      </c>
      <c r="AB7" s="71"/>
      <c r="AC7" s="71"/>
      <c r="AD7" s="71"/>
      <c r="AE7" s="71"/>
      <c r="AF7" s="71"/>
      <c r="AG7" s="71"/>
      <c r="AH7" s="71"/>
      <c r="AI7" s="71"/>
      <c r="AJ7" s="71"/>
      <c r="AK7" s="70"/>
      <c r="AL7" s="74">
        <v>1240</v>
      </c>
      <c r="AM7" s="71" t="s">
        <v>908</v>
      </c>
      <c r="AN7" s="71" t="s">
        <v>909</v>
      </c>
      <c r="AO7" s="71" t="s">
        <v>873</v>
      </c>
      <c r="AP7" s="71" t="s">
        <v>910</v>
      </c>
      <c r="AQ7" s="71" t="s">
        <v>911</v>
      </c>
      <c r="AR7" s="71" t="s">
        <v>912</v>
      </c>
      <c r="AS7" s="71" t="s">
        <v>913</v>
      </c>
      <c r="AT7" s="71"/>
      <c r="AU7" s="71"/>
      <c r="AV7" s="71"/>
      <c r="AW7" s="71"/>
      <c r="AX7" s="71" t="s">
        <v>914</v>
      </c>
      <c r="AY7" s="71" t="s">
        <v>915</v>
      </c>
      <c r="AZ7" s="71" t="s">
        <v>916</v>
      </c>
      <c r="BA7" s="71"/>
      <c r="BB7" s="88">
        <v>291.7</v>
      </c>
      <c r="BC7" s="88">
        <v>8594</v>
      </c>
      <c r="BD7" s="88">
        <v>2385698</v>
      </c>
      <c r="BE7" s="88"/>
      <c r="BF7" s="71"/>
      <c r="BG7" s="71"/>
      <c r="BH7" s="71"/>
      <c r="BI7" s="71"/>
      <c r="BJ7" s="71"/>
      <c r="BK7" s="71"/>
    </row>
    <row r="8" spans="1:63" ht="27" customHeight="1" x14ac:dyDescent="0.35">
      <c r="A8" s="70">
        <v>6</v>
      </c>
      <c r="B8" s="71" t="s">
        <v>49</v>
      </c>
      <c r="C8" s="71" t="s">
        <v>113</v>
      </c>
      <c r="D8" s="70" t="s">
        <v>114</v>
      </c>
      <c r="E8" s="70" t="s">
        <v>115</v>
      </c>
      <c r="F8" s="70" t="s">
        <v>70</v>
      </c>
      <c r="G8" s="70" t="s">
        <v>422</v>
      </c>
      <c r="H8" s="71"/>
      <c r="I8" s="70" t="s">
        <v>415</v>
      </c>
      <c r="J8" s="70" t="s">
        <v>417</v>
      </c>
      <c r="K8" s="70"/>
      <c r="L8" s="70"/>
      <c r="M8" s="63"/>
      <c r="N8" s="79" t="s">
        <v>417</v>
      </c>
      <c r="O8" s="63">
        <v>2018</v>
      </c>
      <c r="P8" s="79"/>
      <c r="Q8" s="63"/>
      <c r="R8" s="79" t="s">
        <v>417</v>
      </c>
      <c r="S8" s="63">
        <v>2022</v>
      </c>
      <c r="T8" s="79"/>
      <c r="U8" s="63"/>
      <c r="V8" s="79"/>
      <c r="W8" s="70" t="s">
        <v>824</v>
      </c>
      <c r="X8" s="70">
        <v>251.43</v>
      </c>
      <c r="Y8" s="70" t="s">
        <v>180</v>
      </c>
      <c r="Z8" s="70">
        <v>251.43</v>
      </c>
      <c r="AA8" s="70">
        <v>251.43</v>
      </c>
      <c r="AB8" s="71"/>
      <c r="AC8" s="71"/>
      <c r="AD8" s="71">
        <v>1</v>
      </c>
      <c r="AE8" s="71">
        <v>158.53</v>
      </c>
      <c r="AF8" s="71"/>
      <c r="AG8" s="71">
        <v>36.56</v>
      </c>
      <c r="AH8" s="71">
        <v>9.34</v>
      </c>
      <c r="AI8" s="71"/>
      <c r="AJ8" s="71">
        <v>18.12</v>
      </c>
      <c r="AK8" s="70">
        <f>AL8-SUM(AE8:AJ8)</f>
        <v>28.879999999999995</v>
      </c>
      <c r="AL8" s="74">
        <v>251.43</v>
      </c>
      <c r="AM8" s="71" t="s">
        <v>852</v>
      </c>
      <c r="AN8" s="71" t="s">
        <v>853</v>
      </c>
      <c r="AO8" s="71" t="s">
        <v>839</v>
      </c>
      <c r="AP8" s="71" t="s">
        <v>829</v>
      </c>
      <c r="AQ8" s="71" t="s">
        <v>854</v>
      </c>
      <c r="AR8" s="71" t="s">
        <v>827</v>
      </c>
      <c r="AS8" s="71"/>
      <c r="AT8" s="71"/>
      <c r="AU8" s="71"/>
      <c r="AV8" s="71"/>
      <c r="AW8" s="71"/>
      <c r="AX8" s="71" t="s">
        <v>855</v>
      </c>
      <c r="AY8" s="71"/>
      <c r="AZ8" s="71"/>
      <c r="BA8" s="71"/>
      <c r="BB8" s="88">
        <v>25.2</v>
      </c>
      <c r="BC8" s="88">
        <v>28218</v>
      </c>
      <c r="BD8" s="88">
        <v>8199</v>
      </c>
      <c r="BE8" s="88"/>
      <c r="BF8" s="71"/>
      <c r="BG8" s="71"/>
      <c r="BH8" s="71"/>
      <c r="BI8" s="71"/>
      <c r="BJ8" s="71"/>
      <c r="BK8" s="71"/>
    </row>
    <row r="9" spans="1:63" ht="27" customHeight="1" x14ac:dyDescent="0.35">
      <c r="A9" s="70">
        <v>7</v>
      </c>
      <c r="B9" s="71" t="s">
        <v>58</v>
      </c>
      <c r="C9" s="71" t="s">
        <v>104</v>
      </c>
      <c r="D9" s="70" t="s">
        <v>126</v>
      </c>
      <c r="E9" s="70" t="s">
        <v>127</v>
      </c>
      <c r="F9" s="70" t="s">
        <v>70</v>
      </c>
      <c r="G9" s="70" t="s">
        <v>422</v>
      </c>
      <c r="H9" s="71"/>
      <c r="I9" s="70" t="s">
        <v>443</v>
      </c>
      <c r="J9" s="70" t="s">
        <v>417</v>
      </c>
      <c r="K9" s="70"/>
      <c r="L9" s="70"/>
      <c r="M9" s="63"/>
      <c r="N9" s="70"/>
      <c r="O9" s="63"/>
      <c r="P9" s="79"/>
      <c r="Q9" s="63"/>
      <c r="R9" s="79" t="s">
        <v>417</v>
      </c>
      <c r="S9" s="63">
        <v>2021</v>
      </c>
      <c r="T9" s="79"/>
      <c r="U9" s="63"/>
      <c r="V9" s="79"/>
      <c r="W9" s="70" t="s">
        <v>824</v>
      </c>
      <c r="X9" s="70">
        <v>266.755</v>
      </c>
      <c r="Y9" s="70" t="s">
        <v>180</v>
      </c>
      <c r="Z9" s="70" t="s">
        <v>180</v>
      </c>
      <c r="AA9" s="70">
        <v>500</v>
      </c>
      <c r="AB9" s="71"/>
      <c r="AC9" s="71"/>
      <c r="AD9" s="87">
        <f>AE9/157</f>
        <v>1.2954777070063694</v>
      </c>
      <c r="AE9" s="71">
        <v>203.39</v>
      </c>
      <c r="AF9" s="71"/>
      <c r="AG9" s="71"/>
      <c r="AH9" s="71"/>
      <c r="AI9" s="71"/>
      <c r="AJ9" s="71"/>
      <c r="AK9" s="70"/>
      <c r="AL9" s="74">
        <v>500</v>
      </c>
      <c r="AM9" s="71" t="s">
        <v>826</v>
      </c>
      <c r="AN9" s="71" t="s">
        <v>839</v>
      </c>
      <c r="AO9" s="71" t="s">
        <v>940</v>
      </c>
      <c r="AP9" s="71" t="s">
        <v>829</v>
      </c>
      <c r="AQ9" s="71" t="s">
        <v>831</v>
      </c>
      <c r="AR9" s="71" t="s">
        <v>941</v>
      </c>
      <c r="AS9" s="71"/>
      <c r="AT9" s="71"/>
      <c r="AU9" s="71"/>
      <c r="AV9" s="71"/>
      <c r="AW9" s="71"/>
      <c r="AX9" s="71" t="s">
        <v>942</v>
      </c>
      <c r="AY9" s="71" t="s">
        <v>943</v>
      </c>
      <c r="AZ9" s="71"/>
      <c r="BA9" s="71"/>
      <c r="BB9" s="88">
        <v>42.85</v>
      </c>
      <c r="BC9" s="88"/>
      <c r="BD9" s="88">
        <v>40000</v>
      </c>
      <c r="BE9" s="88"/>
      <c r="BF9" s="71"/>
      <c r="BG9" s="71"/>
      <c r="BH9" s="71"/>
      <c r="BI9" s="71"/>
      <c r="BJ9" s="71"/>
      <c r="BK9" s="71"/>
    </row>
    <row r="10" spans="1:63" ht="46.5" customHeight="1" x14ac:dyDescent="0.35">
      <c r="A10" s="70">
        <v>8</v>
      </c>
      <c r="B10" s="72" t="s">
        <v>17</v>
      </c>
      <c r="C10" s="71" t="s">
        <v>68</v>
      </c>
      <c r="D10" s="70" t="s">
        <v>1101</v>
      </c>
      <c r="E10" s="70" t="s">
        <v>71</v>
      </c>
      <c r="F10" s="70" t="s">
        <v>70</v>
      </c>
      <c r="G10" s="70" t="s">
        <v>410</v>
      </c>
      <c r="H10" s="71" t="s">
        <v>1102</v>
      </c>
      <c r="I10" s="70" t="s">
        <v>415</v>
      </c>
      <c r="J10" s="70" t="s">
        <v>417</v>
      </c>
      <c r="K10" s="70"/>
      <c r="L10" s="79" t="s">
        <v>417</v>
      </c>
      <c r="M10" s="63">
        <v>2022</v>
      </c>
      <c r="N10" s="79"/>
      <c r="O10" s="63"/>
      <c r="P10" s="79" t="s">
        <v>417</v>
      </c>
      <c r="Q10" s="63">
        <v>2016</v>
      </c>
      <c r="R10" s="79" t="s">
        <v>417</v>
      </c>
      <c r="S10" s="63">
        <v>2014</v>
      </c>
      <c r="T10" s="79" t="s">
        <v>417</v>
      </c>
      <c r="U10" s="63">
        <v>2014</v>
      </c>
      <c r="V10" s="79"/>
      <c r="W10" s="70" t="s">
        <v>871</v>
      </c>
      <c r="X10" s="70"/>
      <c r="Y10" s="70" t="s">
        <v>440</v>
      </c>
      <c r="Z10" s="70" t="s">
        <v>180</v>
      </c>
      <c r="AA10" s="70">
        <v>7195.3</v>
      </c>
      <c r="AB10" s="71"/>
      <c r="AC10" s="71"/>
      <c r="AD10" s="71">
        <v>2.4700000000000002</v>
      </c>
      <c r="AE10" s="71">
        <v>3110.31</v>
      </c>
      <c r="AF10" s="71"/>
      <c r="AG10" s="71">
        <f>160.27+7.33+379.8</f>
        <v>547.40000000000009</v>
      </c>
      <c r="AH10" s="71"/>
      <c r="AI10" s="71"/>
      <c r="AJ10" s="71">
        <v>365.67</v>
      </c>
      <c r="AK10" s="70"/>
      <c r="AL10" s="74">
        <v>7195.3</v>
      </c>
      <c r="AM10" s="71" t="s">
        <v>865</v>
      </c>
      <c r="AN10" s="71" t="s">
        <v>866</v>
      </c>
      <c r="AO10" s="71" t="s">
        <v>874</v>
      </c>
      <c r="AP10" s="71" t="s">
        <v>847</v>
      </c>
      <c r="AQ10" s="71" t="s">
        <v>899</v>
      </c>
      <c r="AR10" s="71" t="s">
        <v>830</v>
      </c>
      <c r="AS10" s="71" t="s">
        <v>854</v>
      </c>
      <c r="AT10" s="71" t="s">
        <v>900</v>
      </c>
      <c r="AU10" s="71"/>
      <c r="AV10" s="71"/>
      <c r="AW10" s="71"/>
      <c r="AX10" s="71" t="s">
        <v>901</v>
      </c>
      <c r="AY10" s="71" t="s">
        <v>902</v>
      </c>
      <c r="AZ10" s="71" t="s">
        <v>903</v>
      </c>
      <c r="BA10" s="71"/>
      <c r="BB10" s="88">
        <v>600</v>
      </c>
      <c r="BC10" s="88">
        <v>280000</v>
      </c>
      <c r="BD10" s="88"/>
      <c r="BE10" s="88">
        <v>224000</v>
      </c>
      <c r="BF10" s="71" t="s">
        <v>904</v>
      </c>
      <c r="BG10" s="71"/>
      <c r="BH10" s="71"/>
      <c r="BI10" s="71"/>
      <c r="BJ10" s="71"/>
      <c r="BK10" s="71"/>
    </row>
    <row r="11" spans="1:63" ht="27" customHeight="1" x14ac:dyDescent="0.35">
      <c r="A11" s="70">
        <v>9</v>
      </c>
      <c r="B11" s="71" t="s">
        <v>1103</v>
      </c>
      <c r="C11" s="71" t="s">
        <v>68</v>
      </c>
      <c r="D11" s="70" t="s">
        <v>74</v>
      </c>
      <c r="E11" s="70" t="s">
        <v>88</v>
      </c>
      <c r="F11" s="70" t="s">
        <v>70</v>
      </c>
      <c r="G11" s="70" t="s">
        <v>410</v>
      </c>
      <c r="H11" s="71"/>
      <c r="I11" s="70" t="s">
        <v>415</v>
      </c>
      <c r="J11" s="70" t="s">
        <v>417</v>
      </c>
      <c r="K11" s="70"/>
      <c r="L11" s="70"/>
      <c r="M11" s="63"/>
      <c r="N11" s="70"/>
      <c r="O11" s="63"/>
      <c r="P11" s="70"/>
      <c r="Q11" s="63"/>
      <c r="R11" s="79" t="s">
        <v>417</v>
      </c>
      <c r="S11" s="63">
        <v>2021</v>
      </c>
      <c r="T11" s="70"/>
      <c r="U11" s="63"/>
      <c r="V11" s="70"/>
      <c r="W11" s="70" t="s">
        <v>824</v>
      </c>
      <c r="X11" s="70">
        <v>12962.22</v>
      </c>
      <c r="Y11" s="70" t="s">
        <v>180</v>
      </c>
      <c r="Z11" s="70" t="s">
        <v>180</v>
      </c>
      <c r="AA11" s="70">
        <v>8967</v>
      </c>
      <c r="AB11" s="71"/>
      <c r="AC11" s="71"/>
      <c r="AD11" s="71"/>
      <c r="AE11" s="71"/>
      <c r="AF11" s="71"/>
      <c r="AG11" s="71"/>
      <c r="AH11" s="71"/>
      <c r="AI11" s="71"/>
      <c r="AJ11" s="71"/>
      <c r="AK11" s="70"/>
      <c r="AL11" s="74">
        <v>8967</v>
      </c>
      <c r="AM11" s="71" t="s">
        <v>920</v>
      </c>
      <c r="AN11" s="71"/>
      <c r="AO11" s="71"/>
      <c r="AP11" s="71"/>
      <c r="AQ11" s="71"/>
      <c r="AR11" s="71"/>
      <c r="AS11" s="71"/>
      <c r="AT11" s="71"/>
      <c r="AU11" s="71"/>
      <c r="AV11" s="71"/>
      <c r="AW11" s="71"/>
      <c r="AX11" s="71" t="s">
        <v>921</v>
      </c>
      <c r="AY11" s="71" t="s">
        <v>922</v>
      </c>
      <c r="AZ11" s="71" t="s">
        <v>923</v>
      </c>
      <c r="BA11" s="71"/>
      <c r="BB11" s="88">
        <v>35.76</v>
      </c>
      <c r="BC11" s="88">
        <v>3464.97</v>
      </c>
      <c r="BD11" s="88"/>
      <c r="BE11" s="88"/>
      <c r="BF11" s="71"/>
      <c r="BG11" s="71"/>
      <c r="BH11" s="71"/>
      <c r="BI11" s="71"/>
      <c r="BJ11" s="71"/>
      <c r="BK11" s="71"/>
    </row>
    <row r="12" spans="1:63" ht="43.5" customHeight="1" x14ac:dyDescent="0.35">
      <c r="A12" s="70">
        <v>10</v>
      </c>
      <c r="B12" s="71" t="s">
        <v>18</v>
      </c>
      <c r="C12" s="71" t="s">
        <v>68</v>
      </c>
      <c r="D12" s="70" t="s">
        <v>72</v>
      </c>
      <c r="E12" s="70" t="s">
        <v>73</v>
      </c>
      <c r="F12" s="70" t="s">
        <v>70</v>
      </c>
      <c r="G12" s="70" t="s">
        <v>422</v>
      </c>
      <c r="H12" s="71"/>
      <c r="I12" s="70" t="s">
        <v>415</v>
      </c>
      <c r="J12" s="70"/>
      <c r="K12" s="70"/>
      <c r="L12" s="70"/>
      <c r="M12" s="63"/>
      <c r="N12" s="79" t="s">
        <v>417</v>
      </c>
      <c r="O12" s="63">
        <v>2019</v>
      </c>
      <c r="P12" s="70"/>
      <c r="Q12" s="63"/>
      <c r="R12" s="70"/>
      <c r="S12" s="63"/>
      <c r="T12" s="70"/>
      <c r="U12" s="63"/>
      <c r="V12" s="70"/>
      <c r="W12" s="70" t="s">
        <v>871</v>
      </c>
      <c r="X12" s="70">
        <v>7219.79</v>
      </c>
      <c r="Y12" s="70" t="s">
        <v>180</v>
      </c>
      <c r="Z12" s="70">
        <v>7000</v>
      </c>
      <c r="AA12" s="70" t="s">
        <v>180</v>
      </c>
      <c r="AB12" s="71"/>
      <c r="AC12" s="71"/>
      <c r="AD12" s="87">
        <f>(75%*AL12)/1070</f>
        <v>4.9065420560747661</v>
      </c>
      <c r="AE12" s="71"/>
      <c r="AF12" s="71"/>
      <c r="AG12" s="71"/>
      <c r="AH12" s="71"/>
      <c r="AI12" s="71"/>
      <c r="AJ12" s="71"/>
      <c r="AK12" s="70"/>
      <c r="AL12" s="74">
        <v>7000</v>
      </c>
      <c r="AM12" s="71" t="s">
        <v>826</v>
      </c>
      <c r="AN12" s="71" t="s">
        <v>859</v>
      </c>
      <c r="AO12" s="71" t="s">
        <v>841</v>
      </c>
      <c r="AP12" s="71" t="s">
        <v>840</v>
      </c>
      <c r="AQ12" s="71" t="s">
        <v>849</v>
      </c>
      <c r="AR12" s="71" t="s">
        <v>858</v>
      </c>
      <c r="AS12" s="71" t="s">
        <v>857</v>
      </c>
      <c r="AT12" s="71" t="s">
        <v>873</v>
      </c>
      <c r="AU12" s="71" t="s">
        <v>874</v>
      </c>
      <c r="AV12" s="71"/>
      <c r="AW12" s="71"/>
      <c r="AX12" s="71" t="s">
        <v>875</v>
      </c>
      <c r="AY12" s="71" t="s">
        <v>876</v>
      </c>
      <c r="AZ12" s="71" t="s">
        <v>877</v>
      </c>
      <c r="BA12" s="71" t="s">
        <v>878</v>
      </c>
      <c r="BB12" s="88">
        <v>589</v>
      </c>
      <c r="BC12" s="88">
        <v>127600</v>
      </c>
      <c r="BD12" s="88"/>
      <c r="BE12" s="88">
        <v>91100</v>
      </c>
      <c r="BF12" s="71"/>
      <c r="BG12" s="71"/>
      <c r="BH12" s="71"/>
      <c r="BI12" s="71"/>
      <c r="BJ12" s="71"/>
      <c r="BK12" s="71"/>
    </row>
    <row r="13" spans="1:63" ht="27" customHeight="1" x14ac:dyDescent="0.35">
      <c r="A13" s="70">
        <v>11</v>
      </c>
      <c r="B13" s="71" t="s">
        <v>218</v>
      </c>
      <c r="C13" s="71" t="s">
        <v>76</v>
      </c>
      <c r="D13" s="70" t="s">
        <v>82</v>
      </c>
      <c r="E13" s="70" t="s">
        <v>219</v>
      </c>
      <c r="F13" s="70" t="s">
        <v>70</v>
      </c>
      <c r="G13" s="70" t="s">
        <v>422</v>
      </c>
      <c r="H13" s="71"/>
      <c r="I13" s="70" t="s">
        <v>436</v>
      </c>
      <c r="J13" s="70"/>
      <c r="K13" s="70"/>
      <c r="L13" s="70"/>
      <c r="M13" s="63"/>
      <c r="N13" s="70"/>
      <c r="O13" s="63"/>
      <c r="P13" s="70"/>
      <c r="Q13" s="63"/>
      <c r="R13" s="70"/>
      <c r="S13" s="63"/>
      <c r="T13" s="70"/>
      <c r="U13" s="63"/>
      <c r="V13" s="70"/>
      <c r="W13" s="70"/>
      <c r="X13" s="70"/>
      <c r="Y13" s="70" t="s">
        <v>180</v>
      </c>
      <c r="Z13" s="70" t="s">
        <v>180</v>
      </c>
      <c r="AA13" s="70" t="s">
        <v>180</v>
      </c>
      <c r="AB13" s="71"/>
      <c r="AC13" s="71"/>
      <c r="AD13" s="71"/>
      <c r="AE13" s="71"/>
      <c r="AF13" s="71"/>
      <c r="AG13" s="71"/>
      <c r="AH13" s="71"/>
      <c r="AI13" s="71"/>
      <c r="AJ13" s="71"/>
      <c r="AK13" s="70"/>
      <c r="AL13" s="75"/>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row>
    <row r="14" spans="1:63" ht="27" customHeight="1" x14ac:dyDescent="0.35">
      <c r="A14" s="70">
        <v>12</v>
      </c>
      <c r="B14" s="71" t="s">
        <v>61</v>
      </c>
      <c r="C14" s="71" t="s">
        <v>76</v>
      </c>
      <c r="D14" s="70" t="s">
        <v>132</v>
      </c>
      <c r="E14" s="70" t="s">
        <v>133</v>
      </c>
      <c r="F14" s="70" t="s">
        <v>70</v>
      </c>
      <c r="G14" s="70" t="s">
        <v>422</v>
      </c>
      <c r="H14" s="71"/>
      <c r="I14" s="70" t="s">
        <v>436</v>
      </c>
      <c r="J14" s="70"/>
      <c r="K14" s="70"/>
      <c r="L14" s="70"/>
      <c r="M14" s="63"/>
      <c r="N14" s="79" t="s">
        <v>417</v>
      </c>
      <c r="O14" s="63">
        <v>2019</v>
      </c>
      <c r="P14" s="70"/>
      <c r="Q14" s="63"/>
      <c r="R14" s="70"/>
      <c r="S14" s="63"/>
      <c r="T14" s="70"/>
      <c r="U14" s="63"/>
      <c r="V14" s="70"/>
      <c r="W14" s="70" t="s">
        <v>824</v>
      </c>
      <c r="X14" s="70">
        <v>525.26499999999999</v>
      </c>
      <c r="Y14" s="70" t="s">
        <v>180</v>
      </c>
      <c r="Z14" s="70">
        <v>532.14</v>
      </c>
      <c r="AA14" s="70" t="s">
        <v>180</v>
      </c>
      <c r="AB14" s="71"/>
      <c r="AC14" s="71"/>
      <c r="AD14" s="71">
        <v>1</v>
      </c>
      <c r="AE14" s="71">
        <v>349.13</v>
      </c>
      <c r="AF14" s="71"/>
      <c r="AG14" s="71">
        <v>76.7</v>
      </c>
      <c r="AH14" s="71">
        <v>17.739999999999998</v>
      </c>
      <c r="AI14" s="71">
        <v>21.54</v>
      </c>
      <c r="AJ14" s="71">
        <v>52.96</v>
      </c>
      <c r="AK14" s="89">
        <f>AL14-SUM(AE14:AJ14)</f>
        <v>11.539999999999964</v>
      </c>
      <c r="AL14" s="74">
        <v>529.61</v>
      </c>
      <c r="AM14" s="71" t="s">
        <v>847</v>
      </c>
      <c r="AN14" s="71" t="s">
        <v>848</v>
      </c>
      <c r="AO14" s="71" t="s">
        <v>839</v>
      </c>
      <c r="AP14" s="71" t="s">
        <v>859</v>
      </c>
      <c r="AQ14" s="71"/>
      <c r="AR14" s="71"/>
      <c r="AS14" s="71"/>
      <c r="AT14" s="71"/>
      <c r="AU14" s="71"/>
      <c r="AV14" s="71"/>
      <c r="AW14" s="71"/>
      <c r="AX14" s="71" t="s">
        <v>957</v>
      </c>
      <c r="AY14" s="71" t="s">
        <v>958</v>
      </c>
      <c r="AZ14" s="71" t="s">
        <v>959</v>
      </c>
      <c r="BA14" s="71"/>
      <c r="BB14" s="88">
        <v>59.27</v>
      </c>
      <c r="BC14" s="88">
        <v>18500</v>
      </c>
      <c r="BD14" s="88"/>
      <c r="BE14" s="88">
        <v>12790</v>
      </c>
      <c r="BF14" s="71"/>
      <c r="BG14" s="71"/>
      <c r="BH14" s="71"/>
      <c r="BI14" s="71"/>
      <c r="BJ14" s="71"/>
      <c r="BK14" s="71"/>
    </row>
    <row r="15" spans="1:63" ht="27" customHeight="1" x14ac:dyDescent="0.35">
      <c r="A15" s="70">
        <v>13</v>
      </c>
      <c r="B15" s="71" t="s">
        <v>845</v>
      </c>
      <c r="C15" s="71" t="s">
        <v>76</v>
      </c>
      <c r="D15" s="70" t="s">
        <v>77</v>
      </c>
      <c r="E15" s="70" t="s">
        <v>78</v>
      </c>
      <c r="F15" s="70" t="s">
        <v>79</v>
      </c>
      <c r="G15" s="70" t="s">
        <v>410</v>
      </c>
      <c r="H15" s="71"/>
      <c r="I15" s="70" t="s">
        <v>415</v>
      </c>
      <c r="J15" s="70"/>
      <c r="K15" s="70"/>
      <c r="L15" s="70"/>
      <c r="M15" s="63"/>
      <c r="N15" s="79" t="s">
        <v>417</v>
      </c>
      <c r="O15" s="63">
        <v>2021</v>
      </c>
      <c r="P15" s="70"/>
      <c r="Q15" s="63"/>
      <c r="R15" s="70"/>
      <c r="S15" s="63"/>
      <c r="T15" s="70"/>
      <c r="U15" s="63"/>
      <c r="V15" s="70"/>
      <c r="W15" s="70" t="s">
        <v>824</v>
      </c>
      <c r="X15" s="70">
        <v>400</v>
      </c>
      <c r="Y15" s="70" t="s">
        <v>180</v>
      </c>
      <c r="Z15" s="70">
        <v>413</v>
      </c>
      <c r="AA15" s="70" t="s">
        <v>180</v>
      </c>
      <c r="AB15" s="71"/>
      <c r="AC15" s="71"/>
      <c r="AD15" s="71">
        <v>1</v>
      </c>
      <c r="AE15" s="71">
        <v>276.16000000000003</v>
      </c>
      <c r="AF15" s="71"/>
      <c r="AG15" s="71">
        <f>52.96+1.48</f>
        <v>54.44</v>
      </c>
      <c r="AH15" s="71">
        <v>19.3</v>
      </c>
      <c r="AI15" s="71">
        <v>12.84</v>
      </c>
      <c r="AJ15" s="71">
        <v>50.26</v>
      </c>
      <c r="AK15" s="70"/>
      <c r="AL15" s="74">
        <f t="shared" ref="AL15:AL22" si="0">SUM(AE15:AK15)</f>
        <v>413</v>
      </c>
      <c r="AM15" s="71" t="s">
        <v>847</v>
      </c>
      <c r="AN15" s="71" t="s">
        <v>840</v>
      </c>
      <c r="AO15" s="71" t="s">
        <v>848</v>
      </c>
      <c r="AP15" s="71" t="s">
        <v>849</v>
      </c>
      <c r="AQ15" s="71" t="s">
        <v>857</v>
      </c>
      <c r="AR15" s="71" t="s">
        <v>830</v>
      </c>
      <c r="AS15" s="71" t="s">
        <v>839</v>
      </c>
      <c r="AT15" s="71" t="s">
        <v>859</v>
      </c>
      <c r="AU15" s="71"/>
      <c r="AV15" s="71"/>
      <c r="AW15" s="71"/>
      <c r="AX15" s="71" t="s">
        <v>991</v>
      </c>
      <c r="AY15" s="71" t="s">
        <v>992</v>
      </c>
      <c r="AZ15" s="71" t="s">
        <v>993</v>
      </c>
      <c r="BA15" s="71" t="s">
        <v>994</v>
      </c>
      <c r="BB15" s="88">
        <v>48</v>
      </c>
      <c r="BC15" s="88">
        <v>5000</v>
      </c>
      <c r="BD15" s="88">
        <v>18900</v>
      </c>
      <c r="BE15" s="88">
        <v>4735.03</v>
      </c>
      <c r="BF15" s="71"/>
      <c r="BG15" s="71"/>
      <c r="BH15" s="71"/>
      <c r="BI15" s="71"/>
      <c r="BJ15" s="71"/>
      <c r="BK15" s="71"/>
    </row>
    <row r="16" spans="1:63" ht="27" customHeight="1" x14ac:dyDescent="0.35">
      <c r="A16" s="70">
        <v>14</v>
      </c>
      <c r="B16" s="71" t="s">
        <v>62</v>
      </c>
      <c r="C16" s="71" t="s">
        <v>119</v>
      </c>
      <c r="D16" s="70" t="s">
        <v>134</v>
      </c>
      <c r="E16" s="70" t="s">
        <v>135</v>
      </c>
      <c r="F16" s="70" t="s">
        <v>70</v>
      </c>
      <c r="G16" s="70" t="s">
        <v>422</v>
      </c>
      <c r="H16" s="71"/>
      <c r="I16" s="70" t="s">
        <v>436</v>
      </c>
      <c r="J16" s="70"/>
      <c r="K16" s="70"/>
      <c r="L16" s="70"/>
      <c r="M16" s="63"/>
      <c r="N16" s="79" t="s">
        <v>417</v>
      </c>
      <c r="O16" s="63">
        <v>2021</v>
      </c>
      <c r="P16" s="70"/>
      <c r="Q16" s="63"/>
      <c r="R16" s="70"/>
      <c r="S16" s="63"/>
      <c r="T16" s="70"/>
      <c r="U16" s="63"/>
      <c r="V16" s="70"/>
      <c r="W16" s="70" t="s">
        <v>846</v>
      </c>
      <c r="X16" s="70">
        <v>304.07</v>
      </c>
      <c r="Y16" s="70" t="s">
        <v>180</v>
      </c>
      <c r="Z16" s="70">
        <v>304.07</v>
      </c>
      <c r="AA16" s="70" t="s">
        <v>180</v>
      </c>
      <c r="AB16" s="71"/>
      <c r="AC16" s="71"/>
      <c r="AD16" s="71">
        <v>1</v>
      </c>
      <c r="AE16" s="71">
        <v>212.27</v>
      </c>
      <c r="AF16" s="71"/>
      <c r="AG16" s="71">
        <f>38.8+1.19</f>
        <v>39.989999999999995</v>
      </c>
      <c r="AH16" s="71">
        <v>14.83</v>
      </c>
      <c r="AI16" s="71">
        <v>4.9400000000000004</v>
      </c>
      <c r="AJ16" s="71">
        <v>31.97</v>
      </c>
      <c r="AK16" s="70"/>
      <c r="AL16" s="74">
        <f t="shared" si="0"/>
        <v>304</v>
      </c>
      <c r="AM16" s="71" t="s">
        <v>847</v>
      </c>
      <c r="AN16" s="71" t="s">
        <v>829</v>
      </c>
      <c r="AO16" s="71" t="s">
        <v>848</v>
      </c>
      <c r="AP16" s="71" t="s">
        <v>849</v>
      </c>
      <c r="AQ16" s="71"/>
      <c r="AR16" s="71"/>
      <c r="AS16" s="71"/>
      <c r="AT16" s="71"/>
      <c r="AU16" s="71"/>
      <c r="AV16" s="71"/>
      <c r="AW16" s="71"/>
      <c r="AX16" s="71" t="s">
        <v>850</v>
      </c>
      <c r="AY16" s="71"/>
      <c r="AZ16" s="71" t="s">
        <v>851</v>
      </c>
      <c r="BA16" s="71"/>
      <c r="BB16" s="88">
        <v>36</v>
      </c>
      <c r="BC16" s="88">
        <v>7000</v>
      </c>
      <c r="BD16" s="88">
        <v>14550</v>
      </c>
      <c r="BE16" s="88"/>
      <c r="BF16" s="71"/>
      <c r="BG16" s="71"/>
      <c r="BH16" s="71"/>
      <c r="BI16" s="71"/>
      <c r="BJ16" s="71"/>
      <c r="BK16" s="71"/>
    </row>
    <row r="17" spans="1:63" ht="27" customHeight="1" x14ac:dyDescent="0.35">
      <c r="A17" s="70">
        <v>15</v>
      </c>
      <c r="B17" s="71" t="s">
        <v>31</v>
      </c>
      <c r="C17" s="71" t="s">
        <v>68</v>
      </c>
      <c r="D17" s="70" t="s">
        <v>90</v>
      </c>
      <c r="E17" s="70" t="s">
        <v>91</v>
      </c>
      <c r="F17" s="70" t="s">
        <v>70</v>
      </c>
      <c r="G17" s="70" t="s">
        <v>422</v>
      </c>
      <c r="H17" s="71"/>
      <c r="I17" s="70" t="s">
        <v>436</v>
      </c>
      <c r="J17" s="70"/>
      <c r="K17" s="70"/>
      <c r="L17" s="70"/>
      <c r="M17" s="63"/>
      <c r="N17" s="79" t="s">
        <v>417</v>
      </c>
      <c r="O17" s="63">
        <v>2021</v>
      </c>
      <c r="P17" s="70"/>
      <c r="Q17" s="63"/>
      <c r="R17" s="70"/>
      <c r="S17" s="63"/>
      <c r="T17" s="70"/>
      <c r="U17" s="63"/>
      <c r="V17" s="70"/>
      <c r="W17" s="70" t="s">
        <v>824</v>
      </c>
      <c r="X17" s="70"/>
      <c r="Y17" s="70" t="s">
        <v>180</v>
      </c>
      <c r="Z17" s="70">
        <v>3037.85</v>
      </c>
      <c r="AA17" s="70" t="s">
        <v>180</v>
      </c>
      <c r="AB17" s="71"/>
      <c r="AC17" s="71"/>
      <c r="AD17" s="71">
        <v>1</v>
      </c>
      <c r="AE17" s="71">
        <v>2109.88</v>
      </c>
      <c r="AF17" s="71"/>
      <c r="AG17" s="71">
        <f>387.65+32.29</f>
        <v>419.94</v>
      </c>
      <c r="AH17" s="71">
        <v>170.93</v>
      </c>
      <c r="AI17" s="71">
        <v>32.29</v>
      </c>
      <c r="AJ17" s="71">
        <v>334.14</v>
      </c>
      <c r="AK17" s="70"/>
      <c r="AL17" s="74">
        <f t="shared" si="0"/>
        <v>3067.18</v>
      </c>
      <c r="AM17" s="71" t="s">
        <v>847</v>
      </c>
      <c r="AN17" s="71" t="s">
        <v>829</v>
      </c>
      <c r="AO17" s="71" t="s">
        <v>840</v>
      </c>
      <c r="AP17" s="71" t="s">
        <v>856</v>
      </c>
      <c r="AQ17" s="71" t="s">
        <v>830</v>
      </c>
      <c r="AR17" s="71" t="s">
        <v>848</v>
      </c>
      <c r="AS17" s="71" t="s">
        <v>849</v>
      </c>
      <c r="AT17" s="71" t="s">
        <v>857</v>
      </c>
      <c r="AU17" s="71" t="s">
        <v>858</v>
      </c>
      <c r="AV17" s="71" t="s">
        <v>859</v>
      </c>
      <c r="AW17" s="71"/>
      <c r="AX17" s="71" t="s">
        <v>860</v>
      </c>
      <c r="AY17" s="71" t="s">
        <v>861</v>
      </c>
      <c r="AZ17" s="71" t="s">
        <v>862</v>
      </c>
      <c r="BA17" s="71" t="s">
        <v>863</v>
      </c>
      <c r="BB17" s="88">
        <v>360</v>
      </c>
      <c r="BC17" s="88">
        <v>93000</v>
      </c>
      <c r="BD17" s="88">
        <v>144632</v>
      </c>
      <c r="BE17" s="88">
        <v>36175.410000000003</v>
      </c>
      <c r="BF17" s="71"/>
      <c r="BG17" s="71"/>
      <c r="BH17" s="71"/>
      <c r="BI17" s="71"/>
      <c r="BJ17" s="71"/>
      <c r="BK17" s="71"/>
    </row>
    <row r="18" spans="1:63" ht="54" customHeight="1" x14ac:dyDescent="0.35">
      <c r="A18" s="70">
        <v>16</v>
      </c>
      <c r="B18" s="71" t="s">
        <v>892</v>
      </c>
      <c r="C18" s="71" t="s">
        <v>76</v>
      </c>
      <c r="D18" s="70" t="s">
        <v>124</v>
      </c>
      <c r="E18" s="70" t="s">
        <v>125</v>
      </c>
      <c r="F18" s="70" t="s">
        <v>70</v>
      </c>
      <c r="G18" s="70" t="s">
        <v>422</v>
      </c>
      <c r="H18" s="71"/>
      <c r="I18" s="70" t="s">
        <v>436</v>
      </c>
      <c r="J18" s="70"/>
      <c r="K18" s="70"/>
      <c r="L18" s="70"/>
      <c r="M18" s="63"/>
      <c r="N18" s="79" t="s">
        <v>417</v>
      </c>
      <c r="O18" s="63">
        <v>2021</v>
      </c>
      <c r="P18" s="70"/>
      <c r="Q18" s="63"/>
      <c r="R18" s="70"/>
      <c r="S18" s="63"/>
      <c r="T18" s="70"/>
      <c r="U18" s="63"/>
      <c r="V18" s="70"/>
      <c r="W18" s="70" t="s">
        <v>824</v>
      </c>
      <c r="X18" s="70">
        <v>300</v>
      </c>
      <c r="Y18" s="70" t="s">
        <v>180</v>
      </c>
      <c r="Z18" s="70">
        <v>320.37</v>
      </c>
      <c r="AA18" s="70" t="s">
        <v>180</v>
      </c>
      <c r="AB18" s="71"/>
      <c r="AC18" s="71"/>
      <c r="AD18" s="71">
        <v>1</v>
      </c>
      <c r="AE18" s="71">
        <v>226.68</v>
      </c>
      <c r="AF18" s="71"/>
      <c r="AG18" s="71">
        <f>38.62+1.11</f>
        <v>39.729999999999997</v>
      </c>
      <c r="AH18" s="71">
        <v>13.55</v>
      </c>
      <c r="AI18" s="71">
        <v>8.3699999999999992</v>
      </c>
      <c r="AJ18" s="71">
        <v>32.04</v>
      </c>
      <c r="AK18" s="70"/>
      <c r="AL18" s="74">
        <f t="shared" si="0"/>
        <v>320.37000000000006</v>
      </c>
      <c r="AM18" s="71" t="s">
        <v>826</v>
      </c>
      <c r="AN18" s="71" t="s">
        <v>847</v>
      </c>
      <c r="AO18" s="71" t="s">
        <v>840</v>
      </c>
      <c r="AP18" s="71" t="s">
        <v>848</v>
      </c>
      <c r="AQ18" s="71" t="s">
        <v>849</v>
      </c>
      <c r="AR18" s="71" t="s">
        <v>841</v>
      </c>
      <c r="AS18" s="71" t="s">
        <v>839</v>
      </c>
      <c r="AT18" s="71"/>
      <c r="AU18" s="71"/>
      <c r="AV18" s="71"/>
      <c r="AW18" s="71"/>
      <c r="AX18" s="71" t="s">
        <v>894</v>
      </c>
      <c r="AY18" s="71" t="s">
        <v>895</v>
      </c>
      <c r="AZ18" s="71" t="s">
        <v>896</v>
      </c>
      <c r="BA18" s="71" t="s">
        <v>897</v>
      </c>
      <c r="BB18" s="88">
        <v>38</v>
      </c>
      <c r="BC18" s="88">
        <v>12000</v>
      </c>
      <c r="BD18" s="88">
        <v>15500</v>
      </c>
      <c r="BE18" s="88">
        <v>1000</v>
      </c>
      <c r="BF18" s="71"/>
      <c r="BG18" s="71"/>
      <c r="BH18" s="71"/>
      <c r="BI18" s="71"/>
      <c r="BJ18" s="71"/>
      <c r="BK18" s="71"/>
    </row>
    <row r="19" spans="1:63" ht="27" customHeight="1" x14ac:dyDescent="0.35">
      <c r="A19" s="70">
        <v>17</v>
      </c>
      <c r="B19" s="71" t="s">
        <v>22</v>
      </c>
      <c r="C19" s="71" t="s">
        <v>76</v>
      </c>
      <c r="D19" s="70" t="s">
        <v>76</v>
      </c>
      <c r="E19" s="70" t="s">
        <v>80</v>
      </c>
      <c r="F19" s="70" t="s">
        <v>70</v>
      </c>
      <c r="G19" s="70" t="s">
        <v>422</v>
      </c>
      <c r="H19" s="71"/>
      <c r="I19" s="70" t="s">
        <v>415</v>
      </c>
      <c r="J19" s="70"/>
      <c r="K19" s="70"/>
      <c r="L19" s="79" t="s">
        <v>417</v>
      </c>
      <c r="M19" s="63">
        <v>2019</v>
      </c>
      <c r="N19" s="79" t="s">
        <v>417</v>
      </c>
      <c r="O19" s="63">
        <v>2021</v>
      </c>
      <c r="P19" s="70"/>
      <c r="Q19" s="63"/>
      <c r="R19" s="70"/>
      <c r="S19" s="63"/>
      <c r="T19" s="70"/>
      <c r="U19" s="63"/>
      <c r="V19" s="70"/>
      <c r="W19" s="70" t="s">
        <v>846</v>
      </c>
      <c r="X19" s="70"/>
      <c r="Y19" s="70">
        <v>600</v>
      </c>
      <c r="Z19" s="70">
        <v>874</v>
      </c>
      <c r="AA19" s="70" t="s">
        <v>180</v>
      </c>
      <c r="AB19" s="71"/>
      <c r="AC19" s="71"/>
      <c r="AD19" s="71">
        <v>1</v>
      </c>
      <c r="AE19" s="71">
        <v>588.80999999999995</v>
      </c>
      <c r="AF19" s="71"/>
      <c r="AG19" s="71">
        <f>7.15+97.29</f>
        <v>104.44000000000001</v>
      </c>
      <c r="AH19" s="71">
        <v>65.67</v>
      </c>
      <c r="AI19" s="71">
        <v>18.88</v>
      </c>
      <c r="AJ19" s="71">
        <v>96.14</v>
      </c>
      <c r="AK19" s="70"/>
      <c r="AL19" s="74">
        <f t="shared" si="0"/>
        <v>873.93999999999994</v>
      </c>
      <c r="AM19" s="71" t="s">
        <v>826</v>
      </c>
      <c r="AN19" s="71" t="s">
        <v>847</v>
      </c>
      <c r="AO19" s="71" t="s">
        <v>840</v>
      </c>
      <c r="AP19" s="71" t="s">
        <v>856</v>
      </c>
      <c r="AQ19" s="71" t="s">
        <v>848</v>
      </c>
      <c r="AR19" s="71" t="s">
        <v>849</v>
      </c>
      <c r="AS19" s="71" t="s">
        <v>841</v>
      </c>
      <c r="AT19" s="71" t="s">
        <v>839</v>
      </c>
      <c r="AU19" s="71" t="s">
        <v>859</v>
      </c>
      <c r="AV19" s="71"/>
      <c r="AW19" s="71"/>
      <c r="AX19" s="71" t="s">
        <v>935</v>
      </c>
      <c r="AY19" s="71" t="s">
        <v>936</v>
      </c>
      <c r="AZ19" s="71" t="s">
        <v>937</v>
      </c>
      <c r="BA19" s="71" t="s">
        <v>938</v>
      </c>
      <c r="BB19" s="88">
        <v>97</v>
      </c>
      <c r="BC19" s="88">
        <v>18000</v>
      </c>
      <c r="BD19" s="88">
        <v>40300</v>
      </c>
      <c r="BE19" s="88">
        <v>2000</v>
      </c>
      <c r="BF19" s="71"/>
      <c r="BG19" s="71"/>
      <c r="BH19" s="71"/>
      <c r="BI19" s="71"/>
      <c r="BJ19" s="71"/>
      <c r="BK19" s="71"/>
    </row>
    <row r="20" spans="1:63" ht="27" customHeight="1" x14ac:dyDescent="0.35">
      <c r="A20" s="70">
        <v>18</v>
      </c>
      <c r="B20" s="71" t="s">
        <v>56</v>
      </c>
      <c r="C20" s="71" t="s">
        <v>68</v>
      </c>
      <c r="D20" s="70" t="s">
        <v>74</v>
      </c>
      <c r="E20" s="70" t="s">
        <v>88</v>
      </c>
      <c r="F20" s="70" t="s">
        <v>70</v>
      </c>
      <c r="G20" s="70" t="s">
        <v>422</v>
      </c>
      <c r="H20" s="71" t="s">
        <v>1104</v>
      </c>
      <c r="I20" s="70" t="s">
        <v>436</v>
      </c>
      <c r="J20" s="70"/>
      <c r="K20" s="70"/>
      <c r="L20" s="70"/>
      <c r="M20" s="63"/>
      <c r="N20" s="79" t="s">
        <v>417</v>
      </c>
      <c r="O20" s="63">
        <v>2019</v>
      </c>
      <c r="P20" s="70"/>
      <c r="Q20" s="63"/>
      <c r="R20" s="70"/>
      <c r="S20" s="63"/>
      <c r="T20" s="70"/>
      <c r="U20" s="63"/>
      <c r="V20" s="70"/>
      <c r="W20" s="70" t="s">
        <v>824</v>
      </c>
      <c r="X20" s="70">
        <v>1438.52</v>
      </c>
      <c r="Y20" s="70" t="s">
        <v>180</v>
      </c>
      <c r="Z20" s="70">
        <v>2847</v>
      </c>
      <c r="AA20" s="70" t="s">
        <v>180</v>
      </c>
      <c r="AB20" s="71" t="s">
        <v>1105</v>
      </c>
      <c r="AC20" s="71"/>
      <c r="AD20" s="71">
        <v>1</v>
      </c>
      <c r="AE20" s="90">
        <v>2047.11</v>
      </c>
      <c r="AF20" s="71"/>
      <c r="AG20" s="71">
        <f>286.74</f>
        <v>286.74</v>
      </c>
      <c r="AH20" s="71">
        <v>35.1</v>
      </c>
      <c r="AI20" s="71">
        <v>54.78</v>
      </c>
      <c r="AJ20" s="71">
        <v>321.58999999999997</v>
      </c>
      <c r="AK20" s="70">
        <f>69.38+31.91</f>
        <v>101.28999999999999</v>
      </c>
      <c r="AL20" s="74">
        <f t="shared" si="0"/>
        <v>2846.61</v>
      </c>
      <c r="AM20" s="71" t="s">
        <v>847</v>
      </c>
      <c r="AN20" s="71" t="s">
        <v>829</v>
      </c>
      <c r="AO20" s="71" t="s">
        <v>848</v>
      </c>
      <c r="AP20" s="71" t="s">
        <v>849</v>
      </c>
      <c r="AQ20" s="71" t="s">
        <v>839</v>
      </c>
      <c r="AR20" s="71" t="s">
        <v>857</v>
      </c>
      <c r="AS20" s="71" t="s">
        <v>873</v>
      </c>
      <c r="AT20" s="71" t="s">
        <v>858</v>
      </c>
      <c r="AU20" s="71"/>
      <c r="AV20" s="71"/>
      <c r="AW20" s="71"/>
      <c r="AX20" s="71" t="s">
        <v>905</v>
      </c>
      <c r="AY20" s="71" t="s">
        <v>906</v>
      </c>
      <c r="AZ20" s="71" t="s">
        <v>907</v>
      </c>
      <c r="BA20" s="71"/>
      <c r="BB20" s="88">
        <v>358.63</v>
      </c>
      <c r="BC20" s="88">
        <v>73000</v>
      </c>
      <c r="BD20" s="71"/>
      <c r="BE20" s="88">
        <v>47963.27</v>
      </c>
      <c r="BF20" s="71"/>
      <c r="BG20" s="71"/>
      <c r="BH20" s="71"/>
      <c r="BI20" s="71"/>
      <c r="BJ20" s="71"/>
      <c r="BK20" s="71"/>
    </row>
    <row r="21" spans="1:63" ht="27" customHeight="1" x14ac:dyDescent="0.35">
      <c r="A21" s="70">
        <v>19</v>
      </c>
      <c r="B21" s="71" t="s">
        <v>59</v>
      </c>
      <c r="C21" s="71" t="s">
        <v>121</v>
      </c>
      <c r="D21" s="70" t="s">
        <v>128</v>
      </c>
      <c r="E21" s="70" t="s">
        <v>129</v>
      </c>
      <c r="F21" s="70" t="s">
        <v>70</v>
      </c>
      <c r="G21" s="70" t="s">
        <v>422</v>
      </c>
      <c r="H21" s="71"/>
      <c r="I21" s="70" t="s">
        <v>443</v>
      </c>
      <c r="J21" s="70"/>
      <c r="K21" s="70"/>
      <c r="L21" s="70"/>
      <c r="M21" s="63"/>
      <c r="N21" s="79" t="s">
        <v>417</v>
      </c>
      <c r="O21" s="63">
        <v>2021</v>
      </c>
      <c r="P21" s="70"/>
      <c r="Q21" s="63"/>
      <c r="R21" s="70"/>
      <c r="S21" s="63"/>
      <c r="T21" s="70"/>
      <c r="U21" s="63"/>
      <c r="V21" s="70"/>
      <c r="W21" s="70" t="s">
        <v>824</v>
      </c>
      <c r="X21" s="70">
        <v>357.76</v>
      </c>
      <c r="Y21" s="70" t="s">
        <v>180</v>
      </c>
      <c r="Z21" s="70">
        <v>357.76</v>
      </c>
      <c r="AA21" s="70" t="s">
        <v>180</v>
      </c>
      <c r="AB21" s="71"/>
      <c r="AC21" s="71"/>
      <c r="AD21" s="71">
        <v>1</v>
      </c>
      <c r="AE21" s="71">
        <v>238.09</v>
      </c>
      <c r="AF21" s="71"/>
      <c r="AG21" s="71">
        <f>46.66+1.48</f>
        <v>48.139999999999993</v>
      </c>
      <c r="AH21" s="71">
        <v>12.68</v>
      </c>
      <c r="AI21" s="71">
        <v>14.35</v>
      </c>
      <c r="AJ21" s="71">
        <v>44.5</v>
      </c>
      <c r="AK21" s="70"/>
      <c r="AL21" s="74">
        <f t="shared" si="0"/>
        <v>357.76000000000005</v>
      </c>
      <c r="AM21" s="71" t="s">
        <v>826</v>
      </c>
      <c r="AN21" s="71" t="s">
        <v>847</v>
      </c>
      <c r="AO21" s="71" t="s">
        <v>829</v>
      </c>
      <c r="AP21" s="71" t="s">
        <v>841</v>
      </c>
      <c r="AQ21" s="71" t="s">
        <v>839</v>
      </c>
      <c r="AR21" s="71" t="s">
        <v>859</v>
      </c>
      <c r="AS21" s="71"/>
      <c r="AT21" s="71"/>
      <c r="AU21" s="71"/>
      <c r="AV21" s="71"/>
      <c r="AW21" s="71"/>
      <c r="AX21" s="71" t="s">
        <v>944</v>
      </c>
      <c r="AY21" s="71" t="s">
        <v>945</v>
      </c>
      <c r="AZ21" s="71" t="s">
        <v>946</v>
      </c>
      <c r="BA21" s="71" t="s">
        <v>947</v>
      </c>
      <c r="BB21" s="88">
        <v>41</v>
      </c>
      <c r="BC21" s="71">
        <v>8174.79</v>
      </c>
      <c r="BD21" s="88">
        <v>16300</v>
      </c>
      <c r="BE21" s="71">
        <v>629.75</v>
      </c>
      <c r="BF21" s="71"/>
      <c r="BG21" s="71"/>
      <c r="BH21" s="71"/>
      <c r="BI21" s="71"/>
      <c r="BJ21" s="71"/>
      <c r="BK21" s="71"/>
    </row>
    <row r="22" spans="1:63" ht="27" customHeight="1" x14ac:dyDescent="0.35">
      <c r="A22" s="70">
        <v>20</v>
      </c>
      <c r="B22" s="71" t="s">
        <v>55</v>
      </c>
      <c r="C22" s="71" t="s">
        <v>121</v>
      </c>
      <c r="D22" s="70" t="s">
        <v>122</v>
      </c>
      <c r="E22" s="70" t="s">
        <v>123</v>
      </c>
      <c r="F22" s="70" t="s">
        <v>70</v>
      </c>
      <c r="G22" s="70" t="s">
        <v>422</v>
      </c>
      <c r="H22" s="71"/>
      <c r="I22" s="70" t="s">
        <v>443</v>
      </c>
      <c r="J22" s="70"/>
      <c r="K22" s="70"/>
      <c r="L22" s="70"/>
      <c r="M22" s="63"/>
      <c r="N22" s="79" t="s">
        <v>417</v>
      </c>
      <c r="O22" s="63">
        <v>2021</v>
      </c>
      <c r="P22" s="70"/>
      <c r="Q22" s="63"/>
      <c r="R22" s="70"/>
      <c r="S22" s="63"/>
      <c r="T22" s="70"/>
      <c r="U22" s="63"/>
      <c r="V22" s="70"/>
      <c r="W22" s="70" t="s">
        <v>824</v>
      </c>
      <c r="X22" s="70">
        <v>595.01</v>
      </c>
      <c r="Y22" s="70" t="s">
        <v>180</v>
      </c>
      <c r="Z22" s="70">
        <v>580</v>
      </c>
      <c r="AA22" s="70" t="s">
        <v>180</v>
      </c>
      <c r="AB22" s="71"/>
      <c r="AC22" s="71"/>
      <c r="AD22" s="71">
        <v>1</v>
      </c>
      <c r="AE22" s="71">
        <v>360.04</v>
      </c>
      <c r="AF22" s="71"/>
      <c r="AG22" s="71">
        <f>72.65+3.47</f>
        <v>76.12</v>
      </c>
      <c r="AH22" s="71">
        <v>29.65</v>
      </c>
      <c r="AI22" s="71">
        <v>12.36</v>
      </c>
      <c r="AJ22" s="71">
        <v>56.83</v>
      </c>
      <c r="AK22" s="70"/>
      <c r="AL22" s="74">
        <f t="shared" si="0"/>
        <v>535</v>
      </c>
      <c r="AM22" s="71" t="s">
        <v>826</v>
      </c>
      <c r="AN22" s="71" t="s">
        <v>847</v>
      </c>
      <c r="AO22" s="71" t="s">
        <v>829</v>
      </c>
      <c r="AP22" s="71" t="s">
        <v>856</v>
      </c>
      <c r="AQ22" s="71" t="s">
        <v>848</v>
      </c>
      <c r="AR22" s="71"/>
      <c r="AS22" s="71"/>
      <c r="AT22" s="71"/>
      <c r="AU22" s="71"/>
      <c r="AV22" s="71"/>
      <c r="AW22" s="71"/>
      <c r="AX22" s="71" t="s">
        <v>948</v>
      </c>
      <c r="AY22" s="71" t="s">
        <v>949</v>
      </c>
      <c r="AZ22" s="71" t="s">
        <v>950</v>
      </c>
      <c r="BA22" s="71" t="s">
        <v>951</v>
      </c>
      <c r="BB22" s="71">
        <v>62</v>
      </c>
      <c r="BC22" s="88">
        <v>12300</v>
      </c>
      <c r="BD22" s="88">
        <v>24680</v>
      </c>
      <c r="BE22" s="88">
        <v>6000</v>
      </c>
      <c r="BF22" s="71"/>
      <c r="BG22" s="71"/>
      <c r="BH22" s="71"/>
      <c r="BI22" s="71"/>
      <c r="BJ22" s="71"/>
      <c r="BK22" s="71"/>
    </row>
    <row r="23" spans="1:63" ht="27" customHeight="1" x14ac:dyDescent="0.35">
      <c r="A23" s="70">
        <v>21</v>
      </c>
      <c r="B23" s="71" t="s">
        <v>37</v>
      </c>
      <c r="C23" s="71" t="s">
        <v>84</v>
      </c>
      <c r="D23" s="70" t="s">
        <v>97</v>
      </c>
      <c r="E23" s="70" t="s">
        <v>98</v>
      </c>
      <c r="F23" s="70" t="s">
        <v>79</v>
      </c>
      <c r="G23" s="70"/>
      <c r="H23" s="71"/>
      <c r="I23" s="70" t="s">
        <v>415</v>
      </c>
      <c r="J23" s="70"/>
      <c r="K23" s="70"/>
      <c r="L23" s="70"/>
      <c r="M23" s="63"/>
      <c r="N23" s="70"/>
      <c r="O23" s="63"/>
      <c r="P23" s="79"/>
      <c r="Q23" s="63"/>
      <c r="R23" s="79" t="s">
        <v>417</v>
      </c>
      <c r="S23" s="63"/>
      <c r="T23" s="79"/>
      <c r="U23" s="63"/>
      <c r="V23" s="79"/>
      <c r="W23" s="70" t="s">
        <v>824</v>
      </c>
      <c r="X23" s="70">
        <v>205</v>
      </c>
      <c r="Y23" s="70" t="s">
        <v>180</v>
      </c>
      <c r="Z23" s="70" t="s">
        <v>180</v>
      </c>
      <c r="AA23" s="70">
        <v>205</v>
      </c>
      <c r="AB23" s="71"/>
      <c r="AC23" s="71"/>
      <c r="AD23" s="71">
        <v>1</v>
      </c>
      <c r="AE23" s="71">
        <v>119.66</v>
      </c>
      <c r="AF23" s="71"/>
      <c r="AG23" s="71">
        <f>26.77+0.89</f>
        <v>27.66</v>
      </c>
      <c r="AH23" s="71">
        <v>4.96</v>
      </c>
      <c r="AI23" s="71">
        <v>3.79</v>
      </c>
      <c r="AJ23" s="71">
        <f>24.1+2.02</f>
        <v>26.12</v>
      </c>
      <c r="AK23" s="70">
        <f>AL23-SUM(AE23:AJ23)</f>
        <v>22.909999999999997</v>
      </c>
      <c r="AL23" s="75">
        <v>205.1</v>
      </c>
      <c r="AM23" s="71" t="s">
        <v>826</v>
      </c>
      <c r="AN23" s="71" t="s">
        <v>924</v>
      </c>
      <c r="AO23" s="71" t="s">
        <v>831</v>
      </c>
      <c r="AP23" s="71"/>
      <c r="AQ23" s="71"/>
      <c r="AR23" s="71"/>
      <c r="AS23" s="71"/>
      <c r="AT23" s="71"/>
      <c r="AU23" s="71"/>
      <c r="AV23" s="71"/>
      <c r="AW23" s="71"/>
      <c r="AX23" s="71" t="s">
        <v>925</v>
      </c>
      <c r="AY23" s="71"/>
      <c r="AZ23" s="71" t="s">
        <v>926</v>
      </c>
      <c r="BA23" s="71"/>
      <c r="BB23" s="71">
        <v>19.8</v>
      </c>
      <c r="BC23" s="88">
        <v>3303.82</v>
      </c>
      <c r="BD23" s="71"/>
      <c r="BE23" s="71">
        <v>2242.7399999999998</v>
      </c>
      <c r="BF23" s="71"/>
      <c r="BG23" s="71"/>
      <c r="BH23" s="71"/>
      <c r="BI23" s="71"/>
      <c r="BJ23" s="71"/>
      <c r="BK23" s="71"/>
    </row>
    <row r="24" spans="1:63" ht="27" customHeight="1" x14ac:dyDescent="0.35">
      <c r="A24" s="70">
        <v>22</v>
      </c>
      <c r="B24" s="71" t="s">
        <v>28</v>
      </c>
      <c r="C24" s="71" t="s">
        <v>68</v>
      </c>
      <c r="D24" s="70" t="s">
        <v>74</v>
      </c>
      <c r="E24" s="70" t="s">
        <v>75</v>
      </c>
      <c r="F24" s="70" t="s">
        <v>70</v>
      </c>
      <c r="G24" s="70" t="s">
        <v>410</v>
      </c>
      <c r="H24" s="71" t="s">
        <v>1106</v>
      </c>
      <c r="I24" s="70" t="s">
        <v>415</v>
      </c>
      <c r="J24" s="70"/>
      <c r="K24" s="70"/>
      <c r="L24" s="70"/>
      <c r="M24" s="63"/>
      <c r="N24" s="79" t="s">
        <v>417</v>
      </c>
      <c r="O24" s="63">
        <v>2016</v>
      </c>
      <c r="P24" s="70"/>
      <c r="Q24" s="63"/>
      <c r="R24" s="70"/>
      <c r="S24" s="63"/>
      <c r="T24" s="70"/>
      <c r="U24" s="63"/>
      <c r="V24" s="70"/>
      <c r="W24" s="70" t="s">
        <v>824</v>
      </c>
      <c r="X24" s="70">
        <v>271.93</v>
      </c>
      <c r="Y24" s="70" t="s">
        <v>180</v>
      </c>
      <c r="Z24" s="70">
        <v>271.93</v>
      </c>
      <c r="AA24" s="70" t="s">
        <v>180</v>
      </c>
      <c r="AB24" s="71"/>
      <c r="AC24" s="71"/>
      <c r="AD24" s="71"/>
      <c r="AE24" s="71"/>
      <c r="AF24" s="71"/>
      <c r="AG24" s="71"/>
      <c r="AH24" s="71"/>
      <c r="AI24" s="71"/>
      <c r="AJ24" s="71"/>
      <c r="AK24" s="70"/>
      <c r="AL24" s="75">
        <v>271.93</v>
      </c>
      <c r="AM24" s="71" t="s">
        <v>920</v>
      </c>
      <c r="AN24" s="71"/>
      <c r="AO24" s="71"/>
      <c r="AP24" s="71"/>
      <c r="AQ24" s="71"/>
      <c r="AR24" s="71"/>
      <c r="AS24" s="71"/>
      <c r="AT24" s="71"/>
      <c r="AU24" s="71"/>
      <c r="AV24" s="71"/>
      <c r="AW24" s="71"/>
      <c r="AX24" s="71" t="s">
        <v>927</v>
      </c>
      <c r="AY24" s="71" t="s">
        <v>928</v>
      </c>
      <c r="AZ24" s="71"/>
      <c r="BA24" s="71"/>
      <c r="BB24" s="71"/>
      <c r="BC24" s="71"/>
      <c r="BD24" s="71"/>
      <c r="BE24" s="71"/>
      <c r="BF24" s="71"/>
      <c r="BG24" s="71"/>
      <c r="BH24" s="71"/>
      <c r="BI24" s="71"/>
      <c r="BJ24" s="71"/>
      <c r="BK24" s="71"/>
    </row>
    <row r="25" spans="1:63" ht="27" customHeight="1" x14ac:dyDescent="0.35">
      <c r="A25" s="70">
        <v>23</v>
      </c>
      <c r="B25" s="71" t="s">
        <v>1107</v>
      </c>
      <c r="C25" s="71" t="s">
        <v>68</v>
      </c>
      <c r="D25" s="70" t="s">
        <v>68</v>
      </c>
      <c r="E25" s="70" t="s">
        <v>81</v>
      </c>
      <c r="F25" s="70" t="s">
        <v>70</v>
      </c>
      <c r="G25" s="70" t="s">
        <v>422</v>
      </c>
      <c r="H25" s="71" t="s">
        <v>1108</v>
      </c>
      <c r="I25" s="70" t="s">
        <v>436</v>
      </c>
      <c r="J25" s="70"/>
      <c r="K25" s="70"/>
      <c r="L25" s="70"/>
      <c r="M25" s="63"/>
      <c r="N25" s="79" t="s">
        <v>417</v>
      </c>
      <c r="O25" s="63">
        <v>2016</v>
      </c>
      <c r="P25" s="70"/>
      <c r="Q25" s="63"/>
      <c r="R25" s="70"/>
      <c r="S25" s="63"/>
      <c r="T25" s="70"/>
      <c r="U25" s="63"/>
      <c r="V25" s="70"/>
      <c r="W25" s="70" t="s">
        <v>824</v>
      </c>
      <c r="X25" s="70">
        <v>774.48</v>
      </c>
      <c r="Y25" s="70" t="s">
        <v>180</v>
      </c>
      <c r="Z25" s="70">
        <v>774.43</v>
      </c>
      <c r="AA25" s="70" t="s">
        <v>180</v>
      </c>
      <c r="AB25" s="71"/>
      <c r="AC25" s="71"/>
      <c r="AD25" s="71"/>
      <c r="AE25" s="71">
        <v>420.57</v>
      </c>
      <c r="AF25" s="71"/>
      <c r="AG25" s="71"/>
      <c r="AH25" s="71"/>
      <c r="AI25" s="71"/>
      <c r="AJ25" s="71"/>
      <c r="AK25" s="70"/>
      <c r="AL25" s="75">
        <v>774.43</v>
      </c>
      <c r="AM25" s="71" t="s">
        <v>826</v>
      </c>
      <c r="AN25" s="71" t="s">
        <v>839</v>
      </c>
      <c r="AO25" s="71" t="s">
        <v>840</v>
      </c>
      <c r="AP25" s="71" t="s">
        <v>831</v>
      </c>
      <c r="AQ25" s="71" t="s">
        <v>841</v>
      </c>
      <c r="AR25" s="71"/>
      <c r="AS25" s="71"/>
      <c r="AT25" s="71"/>
      <c r="AU25" s="71"/>
      <c r="AV25" s="71"/>
      <c r="AW25" s="71"/>
      <c r="AX25" s="71" t="s">
        <v>842</v>
      </c>
      <c r="AY25" s="71" t="s">
        <v>843</v>
      </c>
      <c r="AZ25" s="71" t="s">
        <v>844</v>
      </c>
      <c r="BA25" s="71"/>
      <c r="BB25" s="71">
        <v>100</v>
      </c>
      <c r="BC25" s="91">
        <v>90000</v>
      </c>
      <c r="BD25" s="71"/>
      <c r="BE25" s="71"/>
      <c r="BF25" s="71"/>
      <c r="BG25" s="71"/>
      <c r="BH25" s="71"/>
      <c r="BI25" s="71"/>
      <c r="BJ25" s="71"/>
      <c r="BK25" s="71"/>
    </row>
    <row r="26" spans="1:63" ht="27" customHeight="1" x14ac:dyDescent="0.35">
      <c r="A26" s="70">
        <v>24</v>
      </c>
      <c r="B26" s="71" t="s">
        <v>26</v>
      </c>
      <c r="C26" s="71" t="s">
        <v>76</v>
      </c>
      <c r="D26" s="70" t="s">
        <v>76</v>
      </c>
      <c r="E26" s="70" t="s">
        <v>87</v>
      </c>
      <c r="F26" s="70" t="s">
        <v>70</v>
      </c>
      <c r="G26" s="70" t="s">
        <v>422</v>
      </c>
      <c r="H26" s="71"/>
      <c r="I26" s="70" t="s">
        <v>436</v>
      </c>
      <c r="J26" s="70"/>
      <c r="K26" s="70"/>
      <c r="L26" s="70"/>
      <c r="M26" s="63"/>
      <c r="N26" s="79" t="s">
        <v>417</v>
      </c>
      <c r="O26" s="63">
        <v>2016</v>
      </c>
      <c r="P26" s="70"/>
      <c r="Q26" s="63"/>
      <c r="R26" s="70"/>
      <c r="S26" s="63"/>
      <c r="T26" s="70"/>
      <c r="U26" s="63"/>
      <c r="V26" s="70"/>
      <c r="W26" s="70" t="s">
        <v>824</v>
      </c>
      <c r="X26" s="70">
        <v>105</v>
      </c>
      <c r="Y26" s="70" t="s">
        <v>180</v>
      </c>
      <c r="Z26" s="70">
        <v>105</v>
      </c>
      <c r="AA26" s="70" t="s">
        <v>180</v>
      </c>
      <c r="AB26" s="71"/>
      <c r="AC26" s="71"/>
      <c r="AD26" s="71"/>
      <c r="AE26" s="71"/>
      <c r="AF26" s="71"/>
      <c r="AG26" s="71"/>
      <c r="AH26" s="71"/>
      <c r="AI26" s="71"/>
      <c r="AJ26" s="71"/>
      <c r="AK26" s="70"/>
      <c r="AL26" s="75">
        <v>104.985</v>
      </c>
      <c r="AM26" s="71" t="s">
        <v>865</v>
      </c>
      <c r="AN26" s="71" t="s">
        <v>866</v>
      </c>
      <c r="AO26" s="71" t="s">
        <v>839</v>
      </c>
      <c r="AP26" s="71" t="s">
        <v>831</v>
      </c>
      <c r="AQ26" s="71" t="s">
        <v>854</v>
      </c>
      <c r="AR26" s="71"/>
      <c r="AS26" s="71"/>
      <c r="AT26" s="71"/>
      <c r="AU26" s="71"/>
      <c r="AV26" s="71"/>
      <c r="AW26" s="71"/>
      <c r="AX26" s="71" t="s">
        <v>867</v>
      </c>
      <c r="AY26" s="71" t="s">
        <v>868</v>
      </c>
      <c r="AZ26" s="71"/>
      <c r="BA26" s="71"/>
      <c r="BB26" s="71">
        <v>10</v>
      </c>
      <c r="BC26" s="91">
        <v>10000</v>
      </c>
      <c r="BD26" s="71"/>
      <c r="BE26" s="71"/>
      <c r="BF26" s="71"/>
      <c r="BG26" s="71"/>
      <c r="BH26" s="71"/>
      <c r="BI26" s="71"/>
      <c r="BJ26" s="71"/>
      <c r="BK26" s="71"/>
    </row>
    <row r="27" spans="1:63" ht="27" customHeight="1" x14ac:dyDescent="0.35">
      <c r="A27" s="70">
        <v>25</v>
      </c>
      <c r="B27" s="71" t="s">
        <v>19</v>
      </c>
      <c r="C27" s="71" t="s">
        <v>68</v>
      </c>
      <c r="D27" s="70" t="s">
        <v>68</v>
      </c>
      <c r="E27" s="70" t="s">
        <v>69</v>
      </c>
      <c r="F27" s="70" t="s">
        <v>70</v>
      </c>
      <c r="G27" s="70" t="s">
        <v>422</v>
      </c>
      <c r="H27" s="71"/>
      <c r="I27" s="70" t="s">
        <v>415</v>
      </c>
      <c r="J27" s="70"/>
      <c r="K27" s="70"/>
      <c r="L27" s="70"/>
      <c r="M27" s="63"/>
      <c r="N27" s="79" t="s">
        <v>417</v>
      </c>
      <c r="O27" s="63">
        <v>2021</v>
      </c>
      <c r="P27" s="70"/>
      <c r="Q27" s="63"/>
      <c r="R27" s="70"/>
      <c r="S27" s="63"/>
      <c r="T27" s="70"/>
      <c r="U27" s="63"/>
      <c r="V27" s="70"/>
      <c r="W27" s="70" t="s">
        <v>871</v>
      </c>
      <c r="X27" s="70"/>
      <c r="Y27" s="70" t="s">
        <v>180</v>
      </c>
      <c r="Z27" s="70">
        <v>2368.5700000000002</v>
      </c>
      <c r="AA27" s="70" t="s">
        <v>180</v>
      </c>
      <c r="AB27" s="71"/>
      <c r="AC27" s="71"/>
      <c r="AD27" s="71"/>
      <c r="AE27" s="71"/>
      <c r="AF27" s="71"/>
      <c r="AG27" s="71"/>
      <c r="AH27" s="71"/>
      <c r="AI27" s="71"/>
      <c r="AJ27" s="71"/>
      <c r="AK27" s="70"/>
      <c r="AL27" s="75">
        <v>2368.5700000000002</v>
      </c>
      <c r="AM27" s="71" t="s">
        <v>848</v>
      </c>
      <c r="AN27" s="71" t="s">
        <v>849</v>
      </c>
      <c r="AO27" s="71" t="s">
        <v>874</v>
      </c>
      <c r="AP27" s="71" t="s">
        <v>857</v>
      </c>
      <c r="AQ27" s="71" t="s">
        <v>858</v>
      </c>
      <c r="AR27" s="71"/>
      <c r="AS27" s="71"/>
      <c r="AT27" s="71"/>
      <c r="AU27" s="71"/>
      <c r="AV27" s="71"/>
      <c r="AW27" s="71"/>
      <c r="AX27" s="71" t="s">
        <v>969</v>
      </c>
      <c r="AY27" s="71" t="s">
        <v>970</v>
      </c>
      <c r="AZ27" s="71" t="s">
        <v>971</v>
      </c>
      <c r="BA27" s="71" t="s">
        <v>972</v>
      </c>
      <c r="BB27" s="71">
        <v>207.3</v>
      </c>
      <c r="BC27" s="91">
        <v>72000</v>
      </c>
      <c r="BD27" s="71"/>
      <c r="BE27" s="88">
        <v>32000</v>
      </c>
      <c r="BF27" s="71"/>
      <c r="BG27" s="71"/>
      <c r="BH27" s="71"/>
      <c r="BI27" s="71"/>
      <c r="BJ27" s="71"/>
      <c r="BK27" s="71"/>
    </row>
    <row r="28" spans="1:63" ht="27" customHeight="1" x14ac:dyDescent="0.35">
      <c r="A28" s="70">
        <v>26</v>
      </c>
      <c r="B28" s="71" t="s">
        <v>50</v>
      </c>
      <c r="C28" s="71" t="s">
        <v>94</v>
      </c>
      <c r="D28" s="70" t="s">
        <v>94</v>
      </c>
      <c r="E28" s="70" t="s">
        <v>116</v>
      </c>
      <c r="F28" s="70" t="s">
        <v>70</v>
      </c>
      <c r="G28" s="70" t="s">
        <v>422</v>
      </c>
      <c r="H28" s="71"/>
      <c r="I28" s="70" t="s">
        <v>443</v>
      </c>
      <c r="J28" s="70"/>
      <c r="K28" s="70"/>
      <c r="L28" s="70"/>
      <c r="M28" s="63"/>
      <c r="N28" s="79" t="s">
        <v>417</v>
      </c>
      <c r="O28" s="63">
        <v>2021</v>
      </c>
      <c r="P28" s="70"/>
      <c r="Q28" s="63"/>
      <c r="R28" s="70"/>
      <c r="S28" s="63"/>
      <c r="T28" s="70"/>
      <c r="U28" s="63"/>
      <c r="V28" s="70"/>
      <c r="W28" s="70" t="s">
        <v>824</v>
      </c>
      <c r="X28" s="70">
        <v>255.83</v>
      </c>
      <c r="Y28" s="70" t="s">
        <v>180</v>
      </c>
      <c r="Z28" s="70">
        <v>255.83</v>
      </c>
      <c r="AA28" s="70" t="s">
        <v>180</v>
      </c>
      <c r="AB28" s="71"/>
      <c r="AC28" s="71"/>
      <c r="AD28" s="71">
        <v>1</v>
      </c>
      <c r="AE28" s="71">
        <v>176.93</v>
      </c>
      <c r="AF28" s="71"/>
      <c r="AG28" s="71">
        <v>38.61</v>
      </c>
      <c r="AH28" s="71">
        <v>10.220000000000001</v>
      </c>
      <c r="AI28" s="71"/>
      <c r="AJ28" s="71">
        <v>26.08</v>
      </c>
      <c r="AK28" s="70">
        <v>3.99</v>
      </c>
      <c r="AL28" s="75">
        <v>255.83000000000004</v>
      </c>
      <c r="AM28" s="71" t="s">
        <v>826</v>
      </c>
      <c r="AN28" s="71" t="s">
        <v>847</v>
      </c>
      <c r="AO28" s="71" t="s">
        <v>829</v>
      </c>
      <c r="AP28" s="71" t="s">
        <v>841</v>
      </c>
      <c r="AQ28" s="71" t="s">
        <v>859</v>
      </c>
      <c r="AR28" s="71"/>
      <c r="AS28" s="71"/>
      <c r="AT28" s="71"/>
      <c r="AU28" s="71"/>
      <c r="AV28" s="71"/>
      <c r="AW28" s="71"/>
      <c r="AX28" s="71" t="s">
        <v>974</v>
      </c>
      <c r="AY28" s="71" t="s">
        <v>975</v>
      </c>
      <c r="AZ28" s="71" t="s">
        <v>976</v>
      </c>
      <c r="BA28" s="71" t="s">
        <v>977</v>
      </c>
      <c r="BB28" s="71">
        <v>30</v>
      </c>
      <c r="BC28" s="91">
        <v>11000</v>
      </c>
      <c r="BD28" s="88">
        <v>12128</v>
      </c>
      <c r="BE28" s="88">
        <v>3000</v>
      </c>
      <c r="BF28" s="71"/>
      <c r="BG28" s="71"/>
      <c r="BH28" s="71"/>
      <c r="BI28" s="71"/>
      <c r="BJ28" s="71"/>
      <c r="BK28" s="71"/>
    </row>
    <row r="29" spans="1:63" ht="27" customHeight="1" x14ac:dyDescent="0.35">
      <c r="A29" s="70">
        <v>27</v>
      </c>
      <c r="B29" s="71" t="s">
        <v>41</v>
      </c>
      <c r="C29" s="71" t="s">
        <v>76</v>
      </c>
      <c r="D29" s="70" t="s">
        <v>102</v>
      </c>
      <c r="E29" s="70" t="s">
        <v>103</v>
      </c>
      <c r="F29" s="70" t="s">
        <v>70</v>
      </c>
      <c r="G29" s="70" t="s">
        <v>422</v>
      </c>
      <c r="H29" s="71"/>
      <c r="I29" s="70" t="s">
        <v>443</v>
      </c>
      <c r="J29" s="70"/>
      <c r="K29" s="70"/>
      <c r="L29" s="79" t="s">
        <v>417</v>
      </c>
      <c r="M29" s="63">
        <v>2020</v>
      </c>
      <c r="N29" s="79" t="s">
        <v>417</v>
      </c>
      <c r="O29" s="63">
        <v>2021</v>
      </c>
      <c r="P29" s="70"/>
      <c r="Q29" s="63"/>
      <c r="R29" s="70"/>
      <c r="S29" s="63"/>
      <c r="T29" s="70"/>
      <c r="U29" s="63"/>
      <c r="V29" s="70"/>
      <c r="W29" s="70" t="s">
        <v>846</v>
      </c>
      <c r="X29" s="70"/>
      <c r="Y29" s="70">
        <v>502.02</v>
      </c>
      <c r="Z29" s="70">
        <v>1761.85</v>
      </c>
      <c r="AA29" s="70" t="s">
        <v>180</v>
      </c>
      <c r="AB29" s="71"/>
      <c r="AC29" s="71"/>
      <c r="AD29" s="71"/>
      <c r="AE29" s="71">
        <v>1277.5999999999999</v>
      </c>
      <c r="AF29" s="71"/>
      <c r="AG29" s="71">
        <v>183.85</v>
      </c>
      <c r="AH29" s="71">
        <v>98.43</v>
      </c>
      <c r="AI29" s="71">
        <v>22.82</v>
      </c>
      <c r="AJ29" s="71">
        <v>176.19</v>
      </c>
      <c r="AK29" s="70">
        <v>2.97</v>
      </c>
      <c r="AL29" s="75">
        <v>1761.85</v>
      </c>
      <c r="AM29" s="71" t="s">
        <v>826</v>
      </c>
      <c r="AN29" s="71" t="s">
        <v>847</v>
      </c>
      <c r="AO29" s="71" t="s">
        <v>829</v>
      </c>
      <c r="AP29" s="71" t="s">
        <v>856</v>
      </c>
      <c r="AQ29" s="71" t="s">
        <v>830</v>
      </c>
      <c r="AR29" s="71" t="s">
        <v>848</v>
      </c>
      <c r="AS29" s="71" t="s">
        <v>849</v>
      </c>
      <c r="AT29" s="71" t="s">
        <v>841</v>
      </c>
      <c r="AU29" s="71" t="s">
        <v>859</v>
      </c>
      <c r="AV29" s="71"/>
      <c r="AW29" s="71"/>
      <c r="AX29" s="71" t="s">
        <v>979</v>
      </c>
      <c r="AY29" s="71" t="s">
        <v>980</v>
      </c>
      <c r="AZ29" s="71" t="s">
        <v>981</v>
      </c>
      <c r="BA29" s="71" t="s">
        <v>982</v>
      </c>
      <c r="BB29" s="71">
        <v>217</v>
      </c>
      <c r="BC29" s="91">
        <v>62000</v>
      </c>
      <c r="BD29" s="88">
        <v>87000</v>
      </c>
      <c r="BE29" s="88">
        <v>3027.31</v>
      </c>
      <c r="BF29" s="71"/>
      <c r="BG29" s="71"/>
      <c r="BH29" s="71"/>
      <c r="BI29" s="71"/>
      <c r="BJ29" s="71"/>
      <c r="BK29" s="71"/>
    </row>
    <row r="30" spans="1:63" ht="27" customHeight="1" x14ac:dyDescent="0.35">
      <c r="A30" s="70">
        <v>28</v>
      </c>
      <c r="B30" s="71" t="s">
        <v>220</v>
      </c>
      <c r="C30" s="71" t="s">
        <v>68</v>
      </c>
      <c r="D30" s="70" t="s">
        <v>221</v>
      </c>
      <c r="E30" s="70" t="s">
        <v>222</v>
      </c>
      <c r="F30" s="70" t="s">
        <v>70</v>
      </c>
      <c r="G30" s="70" t="s">
        <v>430</v>
      </c>
      <c r="H30" s="71"/>
      <c r="I30" s="70" t="s">
        <v>436</v>
      </c>
      <c r="J30" s="70"/>
      <c r="K30" s="70"/>
      <c r="L30" s="70"/>
      <c r="M30" s="63"/>
      <c r="N30" s="70"/>
      <c r="O30" s="63"/>
      <c r="P30" s="70"/>
      <c r="Q30" s="63"/>
      <c r="R30" s="70"/>
      <c r="S30" s="63"/>
      <c r="T30" s="70"/>
      <c r="U30" s="63"/>
      <c r="V30" s="70"/>
      <c r="W30" s="70"/>
      <c r="X30" s="70"/>
      <c r="Y30" s="70" t="s">
        <v>180</v>
      </c>
      <c r="Z30" s="70" t="s">
        <v>180</v>
      </c>
      <c r="AA30" s="70" t="s">
        <v>180</v>
      </c>
      <c r="AB30" s="71"/>
      <c r="AC30" s="71"/>
      <c r="AD30" s="71"/>
      <c r="AE30" s="71"/>
      <c r="AF30" s="71"/>
      <c r="AG30" s="71"/>
      <c r="AH30" s="71"/>
      <c r="AI30" s="71"/>
      <c r="AJ30" s="71"/>
      <c r="AK30" s="70"/>
      <c r="AL30" s="75"/>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row>
    <row r="31" spans="1:63" ht="27" customHeight="1" x14ac:dyDescent="0.35">
      <c r="A31" s="70">
        <v>29</v>
      </c>
      <c r="B31" s="71" t="s">
        <v>21</v>
      </c>
      <c r="C31" s="71" t="s">
        <v>76</v>
      </c>
      <c r="D31" s="70" t="s">
        <v>77</v>
      </c>
      <c r="E31" s="70" t="s">
        <v>78</v>
      </c>
      <c r="F31" s="70" t="s">
        <v>70</v>
      </c>
      <c r="G31" s="70" t="s">
        <v>430</v>
      </c>
      <c r="H31" s="71"/>
      <c r="I31" s="70" t="s">
        <v>436</v>
      </c>
      <c r="J31" s="70"/>
      <c r="K31" s="70"/>
      <c r="L31" s="70"/>
      <c r="M31" s="63"/>
      <c r="N31" s="70"/>
      <c r="O31" s="63"/>
      <c r="P31" s="70"/>
      <c r="Q31" s="63"/>
      <c r="R31" s="70"/>
      <c r="S31" s="63"/>
      <c r="T31" s="70"/>
      <c r="U31" s="63"/>
      <c r="V31" s="70"/>
      <c r="W31" s="70"/>
      <c r="X31" s="70"/>
      <c r="Y31" s="70" t="s">
        <v>180</v>
      </c>
      <c r="Z31" s="70" t="s">
        <v>180</v>
      </c>
      <c r="AA31" s="70" t="s">
        <v>180</v>
      </c>
      <c r="AB31" s="71"/>
      <c r="AC31" s="71"/>
      <c r="AD31" s="71"/>
      <c r="AE31" s="71"/>
      <c r="AF31" s="71"/>
      <c r="AG31" s="71"/>
      <c r="AH31" s="71"/>
      <c r="AI31" s="71"/>
      <c r="AJ31" s="71"/>
      <c r="AK31" s="70"/>
      <c r="AL31" s="75"/>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row>
    <row r="32" spans="1:63" ht="27" customHeight="1" x14ac:dyDescent="0.35">
      <c r="A32" s="70">
        <v>30</v>
      </c>
      <c r="B32" s="71" t="s">
        <v>242</v>
      </c>
      <c r="C32" s="71" t="s">
        <v>68</v>
      </c>
      <c r="D32" s="70" t="s">
        <v>243</v>
      </c>
      <c r="E32" s="70" t="s">
        <v>244</v>
      </c>
      <c r="F32" s="70" t="s">
        <v>70</v>
      </c>
      <c r="G32" s="70" t="s">
        <v>430</v>
      </c>
      <c r="H32" s="71"/>
      <c r="I32" s="70" t="s">
        <v>436</v>
      </c>
      <c r="J32" s="70"/>
      <c r="K32" s="70"/>
      <c r="L32" s="70"/>
      <c r="M32" s="63"/>
      <c r="N32" s="70"/>
      <c r="O32" s="63"/>
      <c r="P32" s="70"/>
      <c r="Q32" s="63"/>
      <c r="R32" s="70"/>
      <c r="S32" s="63"/>
      <c r="T32" s="70"/>
      <c r="U32" s="63"/>
      <c r="V32" s="70"/>
      <c r="W32" s="70"/>
      <c r="X32" s="70"/>
      <c r="Y32" s="70" t="s">
        <v>180</v>
      </c>
      <c r="Z32" s="70" t="s">
        <v>180</v>
      </c>
      <c r="AA32" s="70" t="s">
        <v>180</v>
      </c>
      <c r="AB32" s="71"/>
      <c r="AC32" s="71"/>
      <c r="AD32" s="71"/>
      <c r="AE32" s="71"/>
      <c r="AF32" s="71"/>
      <c r="AG32" s="71"/>
      <c r="AH32" s="71"/>
      <c r="AI32" s="71"/>
      <c r="AJ32" s="71"/>
      <c r="AK32" s="70"/>
      <c r="AL32" s="75"/>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row>
    <row r="33" spans="1:63" ht="27" customHeight="1" x14ac:dyDescent="0.35">
      <c r="A33" s="70">
        <v>31</v>
      </c>
      <c r="B33" s="71" t="s">
        <v>140</v>
      </c>
      <c r="C33" s="71" t="s">
        <v>68</v>
      </c>
      <c r="D33" s="70" t="s">
        <v>90</v>
      </c>
      <c r="E33" s="70" t="s">
        <v>141</v>
      </c>
      <c r="F33" s="70" t="s">
        <v>70</v>
      </c>
      <c r="G33" s="70" t="s">
        <v>431</v>
      </c>
      <c r="H33" s="71"/>
      <c r="I33" s="70" t="s">
        <v>436</v>
      </c>
      <c r="J33" s="70"/>
      <c r="K33" s="70"/>
      <c r="L33" s="79" t="s">
        <v>417</v>
      </c>
      <c r="M33" s="63">
        <v>2017</v>
      </c>
      <c r="N33" s="70"/>
      <c r="O33" s="63"/>
      <c r="P33" s="70"/>
      <c r="Q33" s="63"/>
      <c r="R33" s="70"/>
      <c r="S33" s="63"/>
      <c r="T33" s="70"/>
      <c r="U33" s="63"/>
      <c r="V33" s="70"/>
      <c r="W33" s="70" t="s">
        <v>864</v>
      </c>
      <c r="X33" s="70"/>
      <c r="Y33" s="70">
        <v>4755</v>
      </c>
      <c r="Z33" s="70" t="s">
        <v>180</v>
      </c>
      <c r="AA33" s="70" t="s">
        <v>180</v>
      </c>
      <c r="AB33" s="71"/>
      <c r="AC33" s="71"/>
      <c r="AD33" s="71"/>
      <c r="AE33" s="71"/>
      <c r="AF33" s="71"/>
      <c r="AG33" s="71"/>
      <c r="AH33" s="71"/>
      <c r="AI33" s="71"/>
      <c r="AJ33" s="71"/>
      <c r="AK33" s="70"/>
      <c r="AL33" s="75"/>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row>
    <row r="34" spans="1:63" ht="27" customHeight="1" x14ac:dyDescent="0.35">
      <c r="A34" s="70">
        <v>32</v>
      </c>
      <c r="B34" s="71" t="s">
        <v>162</v>
      </c>
      <c r="C34" s="71" t="s">
        <v>119</v>
      </c>
      <c r="D34" s="70" t="s">
        <v>119</v>
      </c>
      <c r="E34" s="70" t="s">
        <v>163</v>
      </c>
      <c r="F34" s="70" t="s">
        <v>70</v>
      </c>
      <c r="G34" s="70" t="s">
        <v>431</v>
      </c>
      <c r="H34" s="71"/>
      <c r="I34" s="70" t="s">
        <v>436</v>
      </c>
      <c r="J34" s="70"/>
      <c r="K34" s="70"/>
      <c r="L34" s="79" t="s">
        <v>417</v>
      </c>
      <c r="M34" s="63">
        <v>2018</v>
      </c>
      <c r="N34" s="70"/>
      <c r="O34" s="63"/>
      <c r="P34" s="70"/>
      <c r="Q34" s="63"/>
      <c r="R34" s="70"/>
      <c r="S34" s="63"/>
      <c r="T34" s="70"/>
      <c r="U34" s="63"/>
      <c r="V34" s="70"/>
      <c r="W34" s="70" t="s">
        <v>864</v>
      </c>
      <c r="X34" s="70"/>
      <c r="Y34" s="70">
        <v>2255.96</v>
      </c>
      <c r="Z34" s="70" t="s">
        <v>180</v>
      </c>
      <c r="AA34" s="70" t="s">
        <v>180</v>
      </c>
      <c r="AB34" s="71"/>
      <c r="AC34" s="71"/>
      <c r="AD34" s="71"/>
      <c r="AE34" s="71"/>
      <c r="AF34" s="71"/>
      <c r="AG34" s="71"/>
      <c r="AH34" s="71"/>
      <c r="AI34" s="71"/>
      <c r="AJ34" s="71"/>
      <c r="AK34" s="70"/>
      <c r="AL34" s="75"/>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row>
    <row r="35" spans="1:63" ht="27" customHeight="1" x14ac:dyDescent="0.35">
      <c r="A35" s="70">
        <v>33</v>
      </c>
      <c r="B35" s="71" t="s">
        <v>157</v>
      </c>
      <c r="C35" s="71" t="s">
        <v>68</v>
      </c>
      <c r="D35" s="70" t="s">
        <v>74</v>
      </c>
      <c r="E35" s="70" t="s">
        <v>88</v>
      </c>
      <c r="F35" s="70" t="s">
        <v>70</v>
      </c>
      <c r="G35" s="70" t="s">
        <v>430</v>
      </c>
      <c r="H35" s="71"/>
      <c r="I35" s="70" t="s">
        <v>436</v>
      </c>
      <c r="J35" s="70"/>
      <c r="K35" s="70"/>
      <c r="L35" s="70"/>
      <c r="M35" s="63"/>
      <c r="N35" s="70"/>
      <c r="O35" s="63"/>
      <c r="P35" s="70"/>
      <c r="Q35" s="63"/>
      <c r="R35" s="70"/>
      <c r="S35" s="63"/>
      <c r="T35" s="70"/>
      <c r="U35" s="63"/>
      <c r="V35" s="70"/>
      <c r="W35" s="70"/>
      <c r="X35" s="70"/>
      <c r="Y35" s="70" t="s">
        <v>180</v>
      </c>
      <c r="Z35" s="70" t="s">
        <v>180</v>
      </c>
      <c r="AA35" s="70" t="s">
        <v>180</v>
      </c>
      <c r="AB35" s="71" t="s">
        <v>1105</v>
      </c>
      <c r="AC35" s="71"/>
      <c r="AD35" s="71"/>
      <c r="AE35" s="71"/>
      <c r="AF35" s="71"/>
      <c r="AG35" s="71"/>
      <c r="AH35" s="71"/>
      <c r="AI35" s="71"/>
      <c r="AJ35" s="71"/>
      <c r="AK35" s="70"/>
      <c r="AL35" s="75"/>
      <c r="AM35" s="71"/>
      <c r="AN35" s="71"/>
      <c r="AO35" s="71"/>
      <c r="AP35" s="71"/>
      <c r="AQ35" s="71"/>
      <c r="AR35" s="71"/>
      <c r="AS35" s="71"/>
      <c r="AT35" s="71"/>
      <c r="AU35" s="71"/>
      <c r="AV35" s="71"/>
      <c r="AW35" s="71"/>
      <c r="AX35" s="71"/>
      <c r="AY35" s="71"/>
      <c r="AZ35" s="71"/>
      <c r="BA35" s="71"/>
      <c r="BB35" s="71"/>
      <c r="BC35" s="71"/>
      <c r="BD35" s="71"/>
      <c r="BE35" s="71"/>
      <c r="BF35" s="71"/>
      <c r="BG35" s="71"/>
      <c r="BH35" s="71"/>
      <c r="BI35" s="71"/>
      <c r="BJ35" s="71"/>
      <c r="BK35" s="71"/>
    </row>
    <row r="36" spans="1:63" ht="27" customHeight="1" x14ac:dyDescent="0.35">
      <c r="A36" s="70">
        <v>34</v>
      </c>
      <c r="B36" s="71" t="s">
        <v>45</v>
      </c>
      <c r="C36" s="71" t="s">
        <v>76</v>
      </c>
      <c r="D36" s="70" t="s">
        <v>76</v>
      </c>
      <c r="E36" s="70" t="s">
        <v>109</v>
      </c>
      <c r="F36" s="70" t="s">
        <v>70</v>
      </c>
      <c r="G36" s="70" t="s">
        <v>431</v>
      </c>
      <c r="H36" s="71"/>
      <c r="I36" s="70" t="s">
        <v>436</v>
      </c>
      <c r="J36" s="70"/>
      <c r="K36" s="70"/>
      <c r="L36" s="79" t="s">
        <v>417</v>
      </c>
      <c r="M36" s="63">
        <v>2015</v>
      </c>
      <c r="N36" s="70"/>
      <c r="O36" s="63"/>
      <c r="P36" s="70"/>
      <c r="Q36" s="63"/>
      <c r="R36" s="70"/>
      <c r="S36" s="63"/>
      <c r="T36" s="70"/>
      <c r="U36" s="63"/>
      <c r="V36" s="70"/>
      <c r="W36" s="70" t="s">
        <v>864</v>
      </c>
      <c r="X36" s="70"/>
      <c r="Y36" s="70">
        <v>316.35000000000002</v>
      </c>
      <c r="Z36" s="70" t="s">
        <v>180</v>
      </c>
      <c r="AA36" s="70" t="s">
        <v>180</v>
      </c>
      <c r="AB36" s="71"/>
      <c r="AC36" s="71"/>
      <c r="AD36" s="71"/>
      <c r="AE36" s="71"/>
      <c r="AF36" s="71"/>
      <c r="AG36" s="71"/>
      <c r="AH36" s="71"/>
      <c r="AI36" s="71"/>
      <c r="AJ36" s="71"/>
      <c r="AK36" s="70"/>
      <c r="AL36" s="75"/>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row>
    <row r="37" spans="1:63" ht="27" customHeight="1" x14ac:dyDescent="0.35">
      <c r="A37" s="70">
        <v>35</v>
      </c>
      <c r="B37" s="71" t="s">
        <v>207</v>
      </c>
      <c r="C37" s="71" t="s">
        <v>121</v>
      </c>
      <c r="D37" s="70" t="s">
        <v>208</v>
      </c>
      <c r="E37" s="70" t="s">
        <v>208</v>
      </c>
      <c r="F37" s="70" t="s">
        <v>70</v>
      </c>
      <c r="G37" s="70" t="s">
        <v>430</v>
      </c>
      <c r="H37" s="71"/>
      <c r="I37" s="70" t="s">
        <v>436</v>
      </c>
      <c r="J37" s="70"/>
      <c r="K37" s="70"/>
      <c r="L37" s="70"/>
      <c r="M37" s="63"/>
      <c r="N37" s="70"/>
      <c r="O37" s="63"/>
      <c r="P37" s="70"/>
      <c r="Q37" s="63"/>
      <c r="R37" s="70"/>
      <c r="S37" s="63"/>
      <c r="T37" s="70"/>
      <c r="U37" s="63"/>
      <c r="V37" s="70"/>
      <c r="W37" s="70"/>
      <c r="X37" s="70"/>
      <c r="Y37" s="70" t="s">
        <v>180</v>
      </c>
      <c r="Z37" s="70" t="s">
        <v>180</v>
      </c>
      <c r="AA37" s="70" t="s">
        <v>180</v>
      </c>
      <c r="AB37" s="71"/>
      <c r="AC37" s="71"/>
      <c r="AD37" s="71"/>
      <c r="AE37" s="71"/>
      <c r="AF37" s="71"/>
      <c r="AG37" s="71"/>
      <c r="AH37" s="71"/>
      <c r="AI37" s="71"/>
      <c r="AJ37" s="71"/>
      <c r="AK37" s="70"/>
      <c r="AL37" s="75"/>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row>
    <row r="38" spans="1:63" ht="27" customHeight="1" x14ac:dyDescent="0.35">
      <c r="A38" s="70">
        <v>36</v>
      </c>
      <c r="B38" s="71" t="s">
        <v>210</v>
      </c>
      <c r="C38" s="71" t="s">
        <v>76</v>
      </c>
      <c r="D38" s="70" t="s">
        <v>211</v>
      </c>
      <c r="E38" s="70" t="s">
        <v>212</v>
      </c>
      <c r="F38" s="70" t="s">
        <v>70</v>
      </c>
      <c r="G38" s="70" t="s">
        <v>430</v>
      </c>
      <c r="H38" s="71"/>
      <c r="I38" s="70" t="s">
        <v>436</v>
      </c>
      <c r="J38" s="70"/>
      <c r="K38" s="70"/>
      <c r="L38" s="70"/>
      <c r="M38" s="63"/>
      <c r="N38" s="70"/>
      <c r="O38" s="63"/>
      <c r="P38" s="70"/>
      <c r="Q38" s="63"/>
      <c r="R38" s="70"/>
      <c r="S38" s="63"/>
      <c r="T38" s="70"/>
      <c r="U38" s="63"/>
      <c r="V38" s="70"/>
      <c r="W38" s="70"/>
      <c r="X38" s="70"/>
      <c r="Y38" s="70" t="s">
        <v>180</v>
      </c>
      <c r="Z38" s="70" t="s">
        <v>180</v>
      </c>
      <c r="AA38" s="70" t="s">
        <v>180</v>
      </c>
      <c r="AB38" s="71"/>
      <c r="AC38" s="71"/>
      <c r="AD38" s="71"/>
      <c r="AE38" s="71"/>
      <c r="AF38" s="71"/>
      <c r="AG38" s="71"/>
      <c r="AH38" s="71"/>
      <c r="AI38" s="71"/>
      <c r="AJ38" s="71"/>
      <c r="AK38" s="70"/>
      <c r="AL38" s="75"/>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row>
    <row r="39" spans="1:63" ht="27" customHeight="1" x14ac:dyDescent="0.35">
      <c r="A39" s="70">
        <v>37</v>
      </c>
      <c r="B39" s="71" t="s">
        <v>234</v>
      </c>
      <c r="C39" s="71" t="s">
        <v>76</v>
      </c>
      <c r="D39" s="70" t="s">
        <v>117</v>
      </c>
      <c r="E39" s="70" t="s">
        <v>118</v>
      </c>
      <c r="F39" s="70" t="s">
        <v>70</v>
      </c>
      <c r="G39" s="70" t="s">
        <v>430</v>
      </c>
      <c r="H39" s="71"/>
      <c r="I39" s="70" t="s">
        <v>436</v>
      </c>
      <c r="J39" s="70"/>
      <c r="K39" s="70"/>
      <c r="L39" s="70"/>
      <c r="M39" s="63"/>
      <c r="N39" s="70"/>
      <c r="O39" s="63"/>
      <c r="P39" s="70"/>
      <c r="Q39" s="63"/>
      <c r="R39" s="70"/>
      <c r="S39" s="63"/>
      <c r="T39" s="70"/>
      <c r="U39" s="63"/>
      <c r="V39" s="70"/>
      <c r="W39" s="70"/>
      <c r="X39" s="70"/>
      <c r="Y39" s="70" t="s">
        <v>180</v>
      </c>
      <c r="Z39" s="70" t="s">
        <v>180</v>
      </c>
      <c r="AA39" s="70" t="s">
        <v>180</v>
      </c>
      <c r="AB39" s="71"/>
      <c r="AC39" s="71"/>
      <c r="AD39" s="71"/>
      <c r="AE39" s="71"/>
      <c r="AF39" s="71"/>
      <c r="AG39" s="71"/>
      <c r="AH39" s="71"/>
      <c r="AI39" s="71"/>
      <c r="AJ39" s="71"/>
      <c r="AK39" s="70"/>
      <c r="AL39" s="75"/>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row>
    <row r="40" spans="1:63" ht="27" customHeight="1" x14ac:dyDescent="0.35">
      <c r="A40" s="70">
        <v>38</v>
      </c>
      <c r="B40" s="71" t="s">
        <v>24</v>
      </c>
      <c r="C40" s="71" t="s">
        <v>76</v>
      </c>
      <c r="D40" s="70" t="s">
        <v>82</v>
      </c>
      <c r="E40" s="70" t="s">
        <v>83</v>
      </c>
      <c r="F40" s="70" t="s">
        <v>70</v>
      </c>
      <c r="G40" s="70" t="s">
        <v>430</v>
      </c>
      <c r="H40" s="71"/>
      <c r="I40" s="70" t="s">
        <v>415</v>
      </c>
      <c r="J40" s="70"/>
      <c r="K40" s="70"/>
      <c r="L40" s="70"/>
      <c r="M40" s="63"/>
      <c r="N40" s="79" t="s">
        <v>417</v>
      </c>
      <c r="O40" s="63">
        <v>2019</v>
      </c>
      <c r="P40" s="70"/>
      <c r="Q40" s="63"/>
      <c r="R40" s="70"/>
      <c r="S40" s="63"/>
      <c r="T40" s="70"/>
      <c r="U40" s="63"/>
      <c r="V40" s="70"/>
      <c r="W40" s="70" t="s">
        <v>824</v>
      </c>
      <c r="X40" s="70">
        <v>200</v>
      </c>
      <c r="Y40" s="70" t="s">
        <v>180</v>
      </c>
      <c r="Z40" s="70">
        <v>200</v>
      </c>
      <c r="AA40" s="70" t="s">
        <v>180</v>
      </c>
      <c r="AB40" s="71"/>
      <c r="AC40" s="71"/>
      <c r="AD40" s="71">
        <v>1</v>
      </c>
      <c r="AE40" s="71">
        <f>131.98</f>
        <v>131.97999999999999</v>
      </c>
      <c r="AF40" s="71"/>
      <c r="AG40" s="71">
        <v>29.18</v>
      </c>
      <c r="AH40" s="71">
        <v>4.0199999999999996</v>
      </c>
      <c r="AI40" s="71"/>
      <c r="AJ40" s="71">
        <v>19.940000000000001</v>
      </c>
      <c r="AK40" s="70">
        <f>13.05+1.84</f>
        <v>14.89</v>
      </c>
      <c r="AL40" s="74">
        <f>SUM(AE40:AK40)</f>
        <v>200.01</v>
      </c>
      <c r="AM40" s="71" t="s">
        <v>847</v>
      </c>
      <c r="AN40" s="71" t="s">
        <v>829</v>
      </c>
      <c r="AO40" s="71" t="s">
        <v>841</v>
      </c>
      <c r="AP40" s="71" t="s">
        <v>859</v>
      </c>
      <c r="AQ40" s="71"/>
      <c r="AR40" s="71"/>
      <c r="AS40" s="71"/>
      <c r="AT40" s="71"/>
      <c r="AU40" s="71"/>
      <c r="AV40" s="71"/>
      <c r="AW40" s="71"/>
      <c r="AX40" s="71" t="s">
        <v>879</v>
      </c>
      <c r="AY40" s="71" t="s">
        <v>880</v>
      </c>
      <c r="AZ40" s="71" t="s">
        <v>881</v>
      </c>
      <c r="BA40" s="71"/>
      <c r="BB40" s="88">
        <v>22.4</v>
      </c>
      <c r="BC40" s="88">
        <v>7300</v>
      </c>
      <c r="BD40" s="88"/>
      <c r="BE40" s="88">
        <v>5100</v>
      </c>
      <c r="BF40" s="71"/>
      <c r="BG40" s="71"/>
      <c r="BH40" s="71"/>
      <c r="BI40" s="71"/>
      <c r="BJ40" s="71"/>
      <c r="BK40" s="71"/>
    </row>
    <row r="41" spans="1:63" ht="27" customHeight="1" x14ac:dyDescent="0.35">
      <c r="A41" s="70">
        <v>39</v>
      </c>
      <c r="B41" s="71" t="s">
        <v>151</v>
      </c>
      <c r="C41" s="71" t="s">
        <v>94</v>
      </c>
      <c r="D41" s="70" t="s">
        <v>152</v>
      </c>
      <c r="E41" s="70" t="s">
        <v>153</v>
      </c>
      <c r="F41" s="70" t="s">
        <v>70</v>
      </c>
      <c r="G41" s="70" t="s">
        <v>430</v>
      </c>
      <c r="H41" s="71"/>
      <c r="I41" s="70" t="s">
        <v>436</v>
      </c>
      <c r="J41" s="70"/>
      <c r="K41" s="70"/>
      <c r="L41" s="70"/>
      <c r="M41" s="63"/>
      <c r="N41" s="70"/>
      <c r="O41" s="63"/>
      <c r="P41" s="70"/>
      <c r="Q41" s="63"/>
      <c r="R41" s="70"/>
      <c r="S41" s="63"/>
      <c r="T41" s="70"/>
      <c r="U41" s="63"/>
      <c r="V41" s="70"/>
      <c r="W41" s="70"/>
      <c r="X41" s="70"/>
      <c r="Y41" s="70" t="s">
        <v>180</v>
      </c>
      <c r="Z41" s="70" t="s">
        <v>180</v>
      </c>
      <c r="AA41" s="70" t="s">
        <v>180</v>
      </c>
      <c r="AB41" s="71"/>
      <c r="AC41" s="71"/>
      <c r="AD41" s="71"/>
      <c r="AE41" s="71"/>
      <c r="AF41" s="71"/>
      <c r="AG41" s="71"/>
      <c r="AH41" s="71"/>
      <c r="AI41" s="71"/>
      <c r="AJ41" s="71"/>
      <c r="AK41" s="70"/>
      <c r="AL41" s="75"/>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row>
    <row r="42" spans="1:63" ht="27" customHeight="1" x14ac:dyDescent="0.35">
      <c r="A42" s="70">
        <v>40</v>
      </c>
      <c r="B42" s="71" t="s">
        <v>149</v>
      </c>
      <c r="C42" s="71" t="s">
        <v>84</v>
      </c>
      <c r="D42" s="70" t="s">
        <v>84</v>
      </c>
      <c r="E42" s="70" t="s">
        <v>150</v>
      </c>
      <c r="F42" s="70" t="s">
        <v>70</v>
      </c>
      <c r="G42" s="70" t="s">
        <v>431</v>
      </c>
      <c r="H42" s="71"/>
      <c r="I42" s="70" t="s">
        <v>443</v>
      </c>
      <c r="J42" s="70"/>
      <c r="K42" s="70"/>
      <c r="L42" s="79" t="s">
        <v>417</v>
      </c>
      <c r="M42" s="63">
        <v>2015</v>
      </c>
      <c r="N42" s="70"/>
      <c r="O42" s="63"/>
      <c r="P42" s="70"/>
      <c r="Q42" s="63"/>
      <c r="R42" s="70"/>
      <c r="S42" s="63"/>
      <c r="T42" s="70"/>
      <c r="U42" s="63"/>
      <c r="V42" s="70"/>
      <c r="W42" s="70" t="s">
        <v>864</v>
      </c>
      <c r="X42" s="70"/>
      <c r="Y42" s="70">
        <v>593.64</v>
      </c>
      <c r="Z42" s="70" t="s">
        <v>180</v>
      </c>
      <c r="AA42" s="70" t="s">
        <v>180</v>
      </c>
      <c r="AB42" s="71"/>
      <c r="AC42" s="71"/>
      <c r="AD42" s="71"/>
      <c r="AE42" s="71"/>
      <c r="AF42" s="71"/>
      <c r="AG42" s="71"/>
      <c r="AH42" s="71"/>
      <c r="AI42" s="71"/>
      <c r="AJ42" s="71"/>
      <c r="AK42" s="70"/>
      <c r="AL42" s="75"/>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row>
    <row r="43" spans="1:63" ht="27" customHeight="1" x14ac:dyDescent="0.35">
      <c r="A43" s="70">
        <v>41</v>
      </c>
      <c r="B43" s="71" t="s">
        <v>186</v>
      </c>
      <c r="C43" s="71" t="s">
        <v>84</v>
      </c>
      <c r="D43" s="70" t="s">
        <v>84</v>
      </c>
      <c r="E43" s="70" t="s">
        <v>187</v>
      </c>
      <c r="F43" s="70" t="s">
        <v>70</v>
      </c>
      <c r="G43" s="70" t="s">
        <v>430</v>
      </c>
      <c r="H43" s="71"/>
      <c r="I43" s="70" t="s">
        <v>436</v>
      </c>
      <c r="J43" s="70"/>
      <c r="K43" s="70"/>
      <c r="L43" s="70"/>
      <c r="M43" s="63"/>
      <c r="N43" s="70"/>
      <c r="O43" s="63"/>
      <c r="P43" s="70"/>
      <c r="Q43" s="63"/>
      <c r="R43" s="70"/>
      <c r="S43" s="63"/>
      <c r="T43" s="70"/>
      <c r="U43" s="63"/>
      <c r="V43" s="70"/>
      <c r="W43" s="70"/>
      <c r="X43" s="70"/>
      <c r="Y43" s="70" t="s">
        <v>180</v>
      </c>
      <c r="Z43" s="70" t="s">
        <v>180</v>
      </c>
      <c r="AA43" s="70" t="s">
        <v>180</v>
      </c>
      <c r="AB43" s="71"/>
      <c r="AC43" s="71"/>
      <c r="AD43" s="71"/>
      <c r="AE43" s="71"/>
      <c r="AF43" s="71"/>
      <c r="AG43" s="71"/>
      <c r="AH43" s="71"/>
      <c r="AI43" s="71"/>
      <c r="AJ43" s="71"/>
      <c r="AK43" s="70"/>
      <c r="AL43" s="75"/>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row>
    <row r="44" spans="1:63" ht="27" customHeight="1" x14ac:dyDescent="0.35">
      <c r="A44" s="70">
        <v>42</v>
      </c>
      <c r="B44" s="71" t="s">
        <v>172</v>
      </c>
      <c r="C44" s="71" t="s">
        <v>121</v>
      </c>
      <c r="D44" s="70" t="s">
        <v>173</v>
      </c>
      <c r="E44" s="70" t="s">
        <v>174</v>
      </c>
      <c r="F44" s="70" t="s">
        <v>70</v>
      </c>
      <c r="G44" s="70" t="s">
        <v>430</v>
      </c>
      <c r="H44" s="71"/>
      <c r="I44" s="70" t="s">
        <v>443</v>
      </c>
      <c r="J44" s="70"/>
      <c r="K44" s="70"/>
      <c r="L44" s="70"/>
      <c r="M44" s="63"/>
      <c r="N44" s="70"/>
      <c r="O44" s="63"/>
      <c r="P44" s="70"/>
      <c r="Q44" s="63"/>
      <c r="R44" s="70"/>
      <c r="S44" s="63"/>
      <c r="T44" s="70"/>
      <c r="U44" s="63"/>
      <c r="V44" s="70"/>
      <c r="W44" s="70"/>
      <c r="X44" s="70"/>
      <c r="Y44" s="70" t="s">
        <v>180</v>
      </c>
      <c r="Z44" s="70" t="s">
        <v>180</v>
      </c>
      <c r="AA44" s="70" t="s">
        <v>180</v>
      </c>
      <c r="AB44" s="71"/>
      <c r="AC44" s="71"/>
      <c r="AD44" s="71"/>
      <c r="AE44" s="71"/>
      <c r="AF44" s="71"/>
      <c r="AG44" s="71"/>
      <c r="AH44" s="71"/>
      <c r="AI44" s="71"/>
      <c r="AJ44" s="71"/>
      <c r="AK44" s="70"/>
      <c r="AL44" s="75"/>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row>
    <row r="45" spans="1:63" ht="27" customHeight="1" x14ac:dyDescent="0.35">
      <c r="A45" s="70">
        <v>43</v>
      </c>
      <c r="B45" s="71" t="s">
        <v>25</v>
      </c>
      <c r="C45" s="71" t="s">
        <v>84</v>
      </c>
      <c r="D45" s="70" t="s">
        <v>85</v>
      </c>
      <c r="E45" s="70" t="s">
        <v>86</v>
      </c>
      <c r="F45" s="70" t="s">
        <v>79</v>
      </c>
      <c r="G45" s="70" t="s">
        <v>431</v>
      </c>
      <c r="H45" s="71"/>
      <c r="I45" s="70" t="s">
        <v>443</v>
      </c>
      <c r="J45" s="70"/>
      <c r="K45" s="70"/>
      <c r="L45" s="79" t="s">
        <v>417</v>
      </c>
      <c r="M45" s="63">
        <v>2022</v>
      </c>
      <c r="N45" s="70"/>
      <c r="O45" s="63"/>
      <c r="P45" s="70"/>
      <c r="Q45" s="63"/>
      <c r="R45" s="70"/>
      <c r="S45" s="63"/>
      <c r="T45" s="70"/>
      <c r="U45" s="63"/>
      <c r="V45" s="70"/>
      <c r="W45" s="70" t="s">
        <v>864</v>
      </c>
      <c r="X45" s="70"/>
      <c r="Y45" s="70">
        <v>200</v>
      </c>
      <c r="Z45" s="70" t="s">
        <v>180</v>
      </c>
      <c r="AA45" s="70" t="s">
        <v>180</v>
      </c>
      <c r="AB45" s="71"/>
      <c r="AC45" s="71"/>
      <c r="AD45" s="71"/>
      <c r="AE45" s="71"/>
      <c r="AF45" s="71"/>
      <c r="AG45" s="71"/>
      <c r="AH45" s="71"/>
      <c r="AI45" s="71"/>
      <c r="AJ45" s="71"/>
      <c r="AK45" s="70"/>
      <c r="AL45" s="75"/>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row>
    <row r="46" spans="1:63" ht="27" customHeight="1" x14ac:dyDescent="0.35">
      <c r="A46" s="70">
        <v>44</v>
      </c>
      <c r="B46" s="71" t="s">
        <v>204</v>
      </c>
      <c r="C46" s="71" t="s">
        <v>76</v>
      </c>
      <c r="D46" s="70" t="s">
        <v>205</v>
      </c>
      <c r="E46" s="70" t="s">
        <v>206</v>
      </c>
      <c r="F46" s="70" t="s">
        <v>70</v>
      </c>
      <c r="G46" s="70" t="s">
        <v>431</v>
      </c>
      <c r="H46" s="71"/>
      <c r="I46" s="70" t="s">
        <v>436</v>
      </c>
      <c r="J46" s="70"/>
      <c r="K46" s="70"/>
      <c r="L46" s="79" t="s">
        <v>417</v>
      </c>
      <c r="M46" s="63">
        <v>2016</v>
      </c>
      <c r="N46" s="70"/>
      <c r="O46" s="63"/>
      <c r="P46" s="70"/>
      <c r="Q46" s="63"/>
      <c r="R46" s="70"/>
      <c r="S46" s="63"/>
      <c r="T46" s="70"/>
      <c r="U46" s="63"/>
      <c r="V46" s="70"/>
      <c r="W46" s="70" t="s">
        <v>864</v>
      </c>
      <c r="X46" s="70"/>
      <c r="Y46" s="70">
        <v>113.54</v>
      </c>
      <c r="Z46" s="70" t="s">
        <v>180</v>
      </c>
      <c r="AA46" s="70" t="s">
        <v>180</v>
      </c>
      <c r="AB46" s="71"/>
      <c r="AC46" s="71"/>
      <c r="AD46" s="71"/>
      <c r="AE46" s="71"/>
      <c r="AF46" s="71"/>
      <c r="AG46" s="71"/>
      <c r="AH46" s="71"/>
      <c r="AI46" s="71"/>
      <c r="AJ46" s="71"/>
      <c r="AK46" s="70"/>
      <c r="AL46" s="75"/>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row>
    <row r="47" spans="1:63" ht="27" customHeight="1" x14ac:dyDescent="0.35">
      <c r="A47" s="70">
        <v>45</v>
      </c>
      <c r="B47" s="71" t="s">
        <v>215</v>
      </c>
      <c r="C47" s="71" t="s">
        <v>68</v>
      </c>
      <c r="D47" s="70" t="s">
        <v>74</v>
      </c>
      <c r="E47" s="70" t="s">
        <v>88</v>
      </c>
      <c r="F47" s="70" t="s">
        <v>70</v>
      </c>
      <c r="G47" s="70" t="s">
        <v>430</v>
      </c>
      <c r="H47" s="71"/>
      <c r="I47" s="70" t="s">
        <v>436</v>
      </c>
      <c r="J47" s="70"/>
      <c r="K47" s="70"/>
      <c r="L47" s="70"/>
      <c r="M47" s="63"/>
      <c r="N47" s="70"/>
      <c r="O47" s="63"/>
      <c r="P47" s="70"/>
      <c r="Q47" s="63"/>
      <c r="R47" s="70"/>
      <c r="S47" s="63"/>
      <c r="T47" s="70"/>
      <c r="U47" s="63"/>
      <c r="V47" s="70"/>
      <c r="W47" s="70"/>
      <c r="X47" s="70"/>
      <c r="Y47" s="70" t="s">
        <v>180</v>
      </c>
      <c r="Z47" s="70" t="s">
        <v>180</v>
      </c>
      <c r="AA47" s="70" t="s">
        <v>180</v>
      </c>
      <c r="AB47" s="71"/>
      <c r="AC47" s="71"/>
      <c r="AD47" s="71"/>
      <c r="AE47" s="71"/>
      <c r="AF47" s="71"/>
      <c r="AG47" s="71"/>
      <c r="AH47" s="71"/>
      <c r="AI47" s="71"/>
      <c r="AJ47" s="71"/>
      <c r="AK47" s="70"/>
      <c r="AL47" s="75"/>
      <c r="AM47" s="71"/>
      <c r="AN47" s="71"/>
      <c r="AO47" s="71"/>
      <c r="AP47" s="71"/>
      <c r="AQ47" s="71"/>
      <c r="AR47" s="71"/>
      <c r="AS47" s="71"/>
      <c r="AT47" s="71"/>
      <c r="AU47" s="71"/>
      <c r="AV47" s="71"/>
      <c r="AW47" s="71"/>
      <c r="AX47" s="71"/>
      <c r="AY47" s="71"/>
      <c r="AZ47" s="71"/>
      <c r="BA47" s="71"/>
      <c r="BB47" s="71"/>
      <c r="BC47" s="71"/>
      <c r="BD47" s="71"/>
      <c r="BE47" s="71"/>
      <c r="BF47" s="71"/>
      <c r="BG47" s="71"/>
      <c r="BH47" s="71"/>
      <c r="BI47" s="71"/>
      <c r="BJ47" s="71"/>
      <c r="BK47" s="71"/>
    </row>
    <row r="48" spans="1:63" ht="27" customHeight="1" x14ac:dyDescent="0.35">
      <c r="A48" s="70">
        <v>46</v>
      </c>
      <c r="B48" s="71" t="s">
        <v>216</v>
      </c>
      <c r="C48" s="71" t="s">
        <v>68</v>
      </c>
      <c r="D48" s="70" t="s">
        <v>74</v>
      </c>
      <c r="E48" s="70" t="s">
        <v>217</v>
      </c>
      <c r="F48" s="70" t="s">
        <v>70</v>
      </c>
      <c r="G48" s="70" t="s">
        <v>430</v>
      </c>
      <c r="H48" s="71"/>
      <c r="I48" s="70" t="s">
        <v>436</v>
      </c>
      <c r="J48" s="70"/>
      <c r="K48" s="70"/>
      <c r="L48" s="70"/>
      <c r="M48" s="63"/>
      <c r="N48" s="70"/>
      <c r="O48" s="63"/>
      <c r="P48" s="70"/>
      <c r="Q48" s="63"/>
      <c r="R48" s="70"/>
      <c r="S48" s="63"/>
      <c r="T48" s="70"/>
      <c r="U48" s="63"/>
      <c r="V48" s="70"/>
      <c r="W48" s="70"/>
      <c r="X48" s="70"/>
      <c r="Y48" s="70" t="s">
        <v>180</v>
      </c>
      <c r="Z48" s="70" t="s">
        <v>180</v>
      </c>
      <c r="AA48" s="70" t="s">
        <v>180</v>
      </c>
      <c r="AB48" s="71"/>
      <c r="AC48" s="71"/>
      <c r="AD48" s="71"/>
      <c r="AE48" s="71"/>
      <c r="AF48" s="71"/>
      <c r="AG48" s="71"/>
      <c r="AH48" s="71"/>
      <c r="AI48" s="71"/>
      <c r="AJ48" s="71"/>
      <c r="AK48" s="70"/>
      <c r="AL48" s="75"/>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row>
    <row r="49" spans="1:63" ht="27" customHeight="1" x14ac:dyDescent="0.35">
      <c r="A49" s="70">
        <v>47</v>
      </c>
      <c r="B49" s="94" t="s">
        <v>158</v>
      </c>
      <c r="C49" s="71" t="s">
        <v>68</v>
      </c>
      <c r="D49" s="70" t="s">
        <v>74</v>
      </c>
      <c r="E49" s="70" t="s">
        <v>88</v>
      </c>
      <c r="F49" s="70" t="s">
        <v>70</v>
      </c>
      <c r="G49" s="73" t="s">
        <v>430</v>
      </c>
      <c r="H49" s="71"/>
      <c r="I49" s="70" t="s">
        <v>436</v>
      </c>
      <c r="J49" s="70"/>
      <c r="K49" s="70"/>
      <c r="L49" s="70"/>
      <c r="M49" s="63"/>
      <c r="N49" s="70"/>
      <c r="O49" s="63"/>
      <c r="P49" s="70"/>
      <c r="Q49" s="63"/>
      <c r="R49" s="70"/>
      <c r="S49" s="63"/>
      <c r="T49" s="70"/>
      <c r="U49" s="63"/>
      <c r="V49" s="70"/>
      <c r="W49" s="70"/>
      <c r="X49" s="70"/>
      <c r="Y49" s="70" t="s">
        <v>180</v>
      </c>
      <c r="Z49" s="70" t="s">
        <v>180</v>
      </c>
      <c r="AA49" s="70" t="s">
        <v>180</v>
      </c>
      <c r="AB49" s="71" t="s">
        <v>1105</v>
      </c>
      <c r="AC49" s="71"/>
      <c r="AD49" s="71"/>
      <c r="AE49" s="71"/>
      <c r="AF49" s="71"/>
      <c r="AG49" s="71"/>
      <c r="AH49" s="71"/>
      <c r="AI49" s="71"/>
      <c r="AJ49" s="71"/>
      <c r="AK49" s="70"/>
      <c r="AL49" s="75"/>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row>
    <row r="50" spans="1:63" ht="27" customHeight="1" x14ac:dyDescent="0.35">
      <c r="A50" s="70">
        <v>48</v>
      </c>
      <c r="B50" s="71" t="s">
        <v>64</v>
      </c>
      <c r="C50" s="71" t="s">
        <v>84</v>
      </c>
      <c r="D50" s="70" t="s">
        <v>97</v>
      </c>
      <c r="E50" s="70" t="s">
        <v>98</v>
      </c>
      <c r="F50" s="70" t="s">
        <v>70</v>
      </c>
      <c r="G50" s="70" t="s">
        <v>410</v>
      </c>
      <c r="H50" s="71"/>
      <c r="I50" s="70" t="s">
        <v>415</v>
      </c>
      <c r="J50" s="70"/>
      <c r="K50" s="70"/>
      <c r="L50" s="70"/>
      <c r="M50" s="63"/>
      <c r="N50" s="70"/>
      <c r="O50" s="63"/>
      <c r="P50" s="70"/>
      <c r="Q50" s="63"/>
      <c r="R50" s="70"/>
      <c r="S50" s="63"/>
      <c r="T50" s="70"/>
      <c r="U50" s="63"/>
      <c r="V50" s="70"/>
      <c r="W50" s="70"/>
      <c r="X50" s="70"/>
      <c r="Y50" s="70" t="s">
        <v>180</v>
      </c>
      <c r="Z50" s="70" t="s">
        <v>180</v>
      </c>
      <c r="AA50" s="70" t="s">
        <v>180</v>
      </c>
      <c r="AB50" s="71"/>
      <c r="AC50" s="71"/>
      <c r="AD50" s="71"/>
      <c r="AE50" s="71"/>
      <c r="AF50" s="71"/>
      <c r="AG50" s="71"/>
      <c r="AH50" s="71"/>
      <c r="AI50" s="71"/>
      <c r="AJ50" s="71"/>
      <c r="AK50" s="70"/>
      <c r="AL50" s="75"/>
      <c r="AM50" s="71"/>
      <c r="AN50" s="71"/>
      <c r="AO50" s="71"/>
      <c r="AP50" s="71"/>
      <c r="AQ50" s="71"/>
      <c r="AR50" s="71"/>
      <c r="AS50" s="71"/>
      <c r="AT50" s="71"/>
      <c r="AU50" s="71"/>
      <c r="AV50" s="71"/>
      <c r="AW50" s="71"/>
      <c r="AX50" s="71"/>
      <c r="AY50" s="71"/>
      <c r="AZ50" s="71"/>
      <c r="BA50" s="71"/>
      <c r="BB50" s="71"/>
      <c r="BC50" s="71"/>
      <c r="BD50" s="71"/>
      <c r="BE50" s="71"/>
      <c r="BF50" s="71"/>
      <c r="BG50" s="71"/>
      <c r="BH50" s="71"/>
      <c r="BI50" s="71"/>
      <c r="BJ50" s="71"/>
      <c r="BK50" s="71"/>
    </row>
    <row r="51" spans="1:63" ht="27" customHeight="1" x14ac:dyDescent="0.35">
      <c r="A51" s="70">
        <v>49</v>
      </c>
      <c r="B51" s="71" t="s">
        <v>167</v>
      </c>
      <c r="C51" s="71" t="s">
        <v>104</v>
      </c>
      <c r="D51" s="70" t="s">
        <v>104</v>
      </c>
      <c r="E51" s="70" t="s">
        <v>168</v>
      </c>
      <c r="F51" s="70" t="s">
        <v>70</v>
      </c>
      <c r="G51" s="70" t="s">
        <v>431</v>
      </c>
      <c r="H51" s="71"/>
      <c r="I51" s="70" t="s">
        <v>436</v>
      </c>
      <c r="J51" s="70"/>
      <c r="K51" s="70"/>
      <c r="L51" s="79" t="s">
        <v>417</v>
      </c>
      <c r="M51" s="63">
        <v>2016</v>
      </c>
      <c r="N51" s="70"/>
      <c r="O51" s="63"/>
      <c r="P51" s="70"/>
      <c r="Q51" s="63"/>
      <c r="R51" s="70"/>
      <c r="S51" s="63"/>
      <c r="T51" s="70"/>
      <c r="U51" s="63"/>
      <c r="V51" s="70"/>
      <c r="W51" s="70" t="s">
        <v>864</v>
      </c>
      <c r="X51" s="70"/>
      <c r="Y51" s="70">
        <v>494</v>
      </c>
      <c r="Z51" s="70" t="s">
        <v>180</v>
      </c>
      <c r="AA51" s="70" t="s">
        <v>180</v>
      </c>
      <c r="AB51" s="71"/>
      <c r="AC51" s="71"/>
      <c r="AD51" s="71"/>
      <c r="AE51" s="71"/>
      <c r="AF51" s="71"/>
      <c r="AG51" s="71"/>
      <c r="AH51" s="71"/>
      <c r="AI51" s="71"/>
      <c r="AJ51" s="71"/>
      <c r="AK51" s="70"/>
      <c r="AL51" s="75"/>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row>
    <row r="52" spans="1:63" ht="27" customHeight="1" x14ac:dyDescent="0.35">
      <c r="A52" s="70">
        <v>50</v>
      </c>
      <c r="B52" s="71" t="s">
        <v>195</v>
      </c>
      <c r="C52" s="71" t="s">
        <v>104</v>
      </c>
      <c r="D52" s="70" t="s">
        <v>104</v>
      </c>
      <c r="E52" s="70" t="s">
        <v>196</v>
      </c>
      <c r="F52" s="70" t="s">
        <v>70</v>
      </c>
      <c r="G52" s="70" t="s">
        <v>430</v>
      </c>
      <c r="H52" s="71"/>
      <c r="I52" s="70" t="s">
        <v>436</v>
      </c>
      <c r="J52" s="70"/>
      <c r="K52" s="70"/>
      <c r="L52" s="70"/>
      <c r="M52" s="63"/>
      <c r="N52" s="70"/>
      <c r="O52" s="63"/>
      <c r="P52" s="70"/>
      <c r="Q52" s="63"/>
      <c r="R52" s="70"/>
      <c r="S52" s="63"/>
      <c r="T52" s="70"/>
      <c r="U52" s="63"/>
      <c r="V52" s="70"/>
      <c r="W52" s="70"/>
      <c r="X52" s="70"/>
      <c r="Y52" s="70" t="s">
        <v>180</v>
      </c>
      <c r="Z52" s="70" t="s">
        <v>180</v>
      </c>
      <c r="AA52" s="70" t="s">
        <v>180</v>
      </c>
      <c r="AB52" s="71"/>
      <c r="AC52" s="71"/>
      <c r="AD52" s="71"/>
      <c r="AE52" s="71"/>
      <c r="AF52" s="71"/>
      <c r="AG52" s="71"/>
      <c r="AH52" s="71"/>
      <c r="AI52" s="71"/>
      <c r="AJ52" s="71"/>
      <c r="AK52" s="70"/>
      <c r="AL52" s="75"/>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row>
    <row r="53" spans="1:63" ht="27" customHeight="1" x14ac:dyDescent="0.35">
      <c r="A53" s="70">
        <v>51</v>
      </c>
      <c r="B53" s="71" t="s">
        <v>29</v>
      </c>
      <c r="C53" s="71" t="s">
        <v>76</v>
      </c>
      <c r="D53" s="70" t="s">
        <v>77</v>
      </c>
      <c r="E53" s="70" t="s">
        <v>89</v>
      </c>
      <c r="F53" s="70" t="s">
        <v>70</v>
      </c>
      <c r="G53" s="70" t="s">
        <v>431</v>
      </c>
      <c r="H53" s="71"/>
      <c r="I53" s="70" t="s">
        <v>436</v>
      </c>
      <c r="J53" s="70"/>
      <c r="K53" s="70"/>
      <c r="L53" s="79" t="s">
        <v>417</v>
      </c>
      <c r="M53" s="63">
        <v>2021</v>
      </c>
      <c r="N53" s="80" t="s">
        <v>417</v>
      </c>
      <c r="O53" s="63">
        <v>2016</v>
      </c>
      <c r="P53" s="70"/>
      <c r="Q53" s="63"/>
      <c r="R53" s="70"/>
      <c r="S53" s="63"/>
      <c r="T53" s="70"/>
      <c r="U53" s="63"/>
      <c r="V53" s="70"/>
      <c r="W53" s="73" t="s">
        <v>864</v>
      </c>
      <c r="X53" s="70"/>
      <c r="Y53" s="73">
        <v>193.66</v>
      </c>
      <c r="Z53" s="70" t="s">
        <v>440</v>
      </c>
      <c r="AA53" s="70" t="s">
        <v>180</v>
      </c>
      <c r="AB53" s="71" t="s">
        <v>1109</v>
      </c>
      <c r="AC53" s="71"/>
      <c r="AD53" s="71"/>
      <c r="AE53" s="71"/>
      <c r="AF53" s="71"/>
      <c r="AG53" s="71"/>
      <c r="AH53" s="71"/>
      <c r="AI53" s="71"/>
      <c r="AJ53" s="71"/>
      <c r="AK53" s="70"/>
      <c r="AL53" s="75"/>
      <c r="AM53" s="71"/>
      <c r="AN53" s="71"/>
      <c r="AO53" s="71"/>
      <c r="AP53" s="71"/>
      <c r="AQ53" s="71"/>
      <c r="AR53" s="71"/>
      <c r="AS53" s="71"/>
      <c r="AT53" s="71"/>
      <c r="AU53" s="71"/>
      <c r="AV53" s="71"/>
      <c r="AW53" s="71"/>
      <c r="AX53" s="71"/>
      <c r="AY53" s="71"/>
      <c r="AZ53" s="71"/>
      <c r="BA53" s="71"/>
      <c r="BB53" s="71"/>
      <c r="BC53" s="71"/>
      <c r="BD53" s="71"/>
      <c r="BE53" s="71"/>
      <c r="BF53" s="71"/>
      <c r="BG53" s="71"/>
      <c r="BH53" s="71"/>
      <c r="BI53" s="71"/>
      <c r="BJ53" s="71"/>
      <c r="BK53" s="71"/>
    </row>
    <row r="54" spans="1:63" ht="27" customHeight="1" x14ac:dyDescent="0.35">
      <c r="A54" s="70">
        <v>52</v>
      </c>
      <c r="B54" s="71" t="s">
        <v>164</v>
      </c>
      <c r="C54" s="71" t="s">
        <v>76</v>
      </c>
      <c r="D54" s="70" t="s">
        <v>77</v>
      </c>
      <c r="E54" s="70" t="s">
        <v>93</v>
      </c>
      <c r="F54" s="70" t="s">
        <v>70</v>
      </c>
      <c r="G54" s="70" t="s">
        <v>430</v>
      </c>
      <c r="H54" s="71"/>
      <c r="I54" s="70" t="s">
        <v>436</v>
      </c>
      <c r="J54" s="70"/>
      <c r="K54" s="70"/>
      <c r="L54" s="79" t="s">
        <v>417</v>
      </c>
      <c r="M54" s="63">
        <v>2021</v>
      </c>
      <c r="N54" s="70"/>
      <c r="O54" s="63"/>
      <c r="P54" s="70"/>
      <c r="Q54" s="63"/>
      <c r="R54" s="70"/>
      <c r="S54" s="63"/>
      <c r="T54" s="70"/>
      <c r="U54" s="63"/>
      <c r="V54" s="70"/>
      <c r="W54" s="70"/>
      <c r="X54" s="70"/>
      <c r="Y54" s="70" t="s">
        <v>180</v>
      </c>
      <c r="Z54" s="70" t="s">
        <v>180</v>
      </c>
      <c r="AA54" s="70" t="s">
        <v>180</v>
      </c>
      <c r="AB54" s="71"/>
      <c r="AC54" s="71"/>
      <c r="AD54" s="71"/>
      <c r="AE54" s="71"/>
      <c r="AF54" s="71"/>
      <c r="AG54" s="71"/>
      <c r="AH54" s="71"/>
      <c r="AI54" s="71"/>
      <c r="AJ54" s="71"/>
      <c r="AK54" s="70"/>
      <c r="AL54" s="75"/>
      <c r="AM54" s="71"/>
      <c r="AN54" s="71"/>
      <c r="AO54" s="71"/>
      <c r="AP54" s="71"/>
      <c r="AQ54" s="71"/>
      <c r="AR54" s="71"/>
      <c r="AS54" s="71"/>
      <c r="AT54" s="71"/>
      <c r="AU54" s="71"/>
      <c r="AV54" s="71"/>
      <c r="AW54" s="71"/>
      <c r="AX54" s="71"/>
      <c r="AY54" s="71"/>
      <c r="AZ54" s="71"/>
      <c r="BA54" s="71"/>
      <c r="BB54" s="71"/>
      <c r="BC54" s="71"/>
      <c r="BD54" s="71"/>
      <c r="BE54" s="71"/>
      <c r="BF54" s="71"/>
      <c r="BG54" s="71"/>
      <c r="BH54" s="71"/>
      <c r="BI54" s="71"/>
      <c r="BJ54" s="71"/>
      <c r="BK54" s="71"/>
    </row>
    <row r="55" spans="1:63" ht="27" customHeight="1" x14ac:dyDescent="0.35">
      <c r="A55" s="70">
        <v>53</v>
      </c>
      <c r="B55" s="71" t="s">
        <v>182</v>
      </c>
      <c r="C55" s="71" t="s">
        <v>113</v>
      </c>
      <c r="D55" s="70" t="s">
        <v>130</v>
      </c>
      <c r="E55" s="70" t="s">
        <v>183</v>
      </c>
      <c r="F55" s="70" t="s">
        <v>70</v>
      </c>
      <c r="G55" s="70" t="s">
        <v>430</v>
      </c>
      <c r="H55" s="71"/>
      <c r="I55" s="70"/>
      <c r="J55" s="70"/>
      <c r="K55" s="70"/>
      <c r="L55" s="70"/>
      <c r="M55" s="63"/>
      <c r="N55" s="70"/>
      <c r="O55" s="63"/>
      <c r="P55" s="70"/>
      <c r="Q55" s="63"/>
      <c r="R55" s="70"/>
      <c r="S55" s="63"/>
      <c r="T55" s="70"/>
      <c r="U55" s="63"/>
      <c r="V55" s="70"/>
      <c r="W55" s="70"/>
      <c r="X55" s="70"/>
      <c r="Y55" s="70" t="s">
        <v>180</v>
      </c>
      <c r="Z55" s="70" t="s">
        <v>180</v>
      </c>
      <c r="AA55" s="70" t="s">
        <v>180</v>
      </c>
      <c r="AB55" s="71" t="s">
        <v>1110</v>
      </c>
      <c r="AC55" s="71"/>
      <c r="AD55" s="71"/>
      <c r="AE55" s="71"/>
      <c r="AF55" s="71"/>
      <c r="AG55" s="71"/>
      <c r="AH55" s="71"/>
      <c r="AI55" s="71"/>
      <c r="AJ55" s="71"/>
      <c r="AK55" s="70"/>
      <c r="AL55" s="75"/>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row>
    <row r="56" spans="1:63" ht="27" customHeight="1" x14ac:dyDescent="0.35">
      <c r="A56" s="70">
        <v>54</v>
      </c>
      <c r="B56" s="71" t="s">
        <v>60</v>
      </c>
      <c r="C56" s="71" t="s">
        <v>113</v>
      </c>
      <c r="D56" s="70" t="s">
        <v>130</v>
      </c>
      <c r="E56" s="70" t="s">
        <v>131</v>
      </c>
      <c r="F56" s="70" t="s">
        <v>70</v>
      </c>
      <c r="G56" s="70" t="s">
        <v>430</v>
      </c>
      <c r="H56" s="71"/>
      <c r="I56" s="70" t="s">
        <v>436</v>
      </c>
      <c r="J56" s="70"/>
      <c r="K56" s="70"/>
      <c r="L56" s="70"/>
      <c r="M56" s="63"/>
      <c r="N56" s="79" t="s">
        <v>417</v>
      </c>
      <c r="O56" s="63">
        <v>2018</v>
      </c>
      <c r="P56" s="70"/>
      <c r="Q56" s="63"/>
      <c r="R56" s="70"/>
      <c r="S56" s="63"/>
      <c r="T56" s="70"/>
      <c r="U56" s="63"/>
      <c r="V56" s="70"/>
      <c r="W56" s="70"/>
      <c r="X56" s="70"/>
      <c r="Y56" s="70" t="s">
        <v>180</v>
      </c>
      <c r="Z56" s="70">
        <v>300</v>
      </c>
      <c r="AA56" s="70" t="s">
        <v>180</v>
      </c>
      <c r="AB56" s="71"/>
      <c r="AC56" s="71"/>
      <c r="AD56" s="71"/>
      <c r="AE56" s="71"/>
      <c r="AF56" s="71"/>
      <c r="AG56" s="71"/>
      <c r="AH56" s="71"/>
      <c r="AI56" s="71"/>
      <c r="AJ56" s="71"/>
      <c r="AK56" s="70"/>
      <c r="AL56" s="75"/>
      <c r="AM56" s="71"/>
      <c r="AN56" s="71"/>
      <c r="AO56" s="71"/>
      <c r="AP56" s="71"/>
      <c r="AQ56" s="71"/>
      <c r="AR56" s="71"/>
      <c r="AS56" s="71"/>
      <c r="AT56" s="71"/>
      <c r="AU56" s="71"/>
      <c r="AV56" s="71"/>
      <c r="AW56" s="71"/>
      <c r="AX56" s="71"/>
      <c r="AY56" s="71"/>
      <c r="AZ56" s="71"/>
      <c r="BA56" s="71"/>
      <c r="BB56" s="71"/>
      <c r="BC56" s="71"/>
      <c r="BD56" s="71"/>
      <c r="BE56" s="71"/>
      <c r="BF56" s="71"/>
      <c r="BG56" s="71"/>
      <c r="BH56" s="71"/>
      <c r="BI56" s="71"/>
      <c r="BJ56" s="71"/>
      <c r="BK56" s="71"/>
    </row>
    <row r="57" spans="1:63" ht="27" customHeight="1" x14ac:dyDescent="0.35">
      <c r="A57" s="70">
        <v>55</v>
      </c>
      <c r="B57" s="71" t="s">
        <v>154</v>
      </c>
      <c r="C57" s="71" t="s">
        <v>68</v>
      </c>
      <c r="D57" s="70" t="s">
        <v>155</v>
      </c>
      <c r="E57" s="70" t="s">
        <v>156</v>
      </c>
      <c r="F57" s="70" t="s">
        <v>70</v>
      </c>
      <c r="G57" s="70" t="s">
        <v>431</v>
      </c>
      <c r="H57" s="71"/>
      <c r="I57" s="70" t="s">
        <v>436</v>
      </c>
      <c r="J57" s="70"/>
      <c r="K57" s="70"/>
      <c r="L57" s="79" t="s">
        <v>417</v>
      </c>
      <c r="M57" s="63">
        <v>2019</v>
      </c>
      <c r="N57" s="70"/>
      <c r="O57" s="63"/>
      <c r="P57" s="70"/>
      <c r="Q57" s="63"/>
      <c r="R57" s="70"/>
      <c r="S57" s="63"/>
      <c r="T57" s="70"/>
      <c r="U57" s="63"/>
      <c r="V57" s="70"/>
      <c r="W57" s="70" t="s">
        <v>864</v>
      </c>
      <c r="X57" s="70"/>
      <c r="Y57" s="70">
        <v>350</v>
      </c>
      <c r="Z57" s="70" t="s">
        <v>180</v>
      </c>
      <c r="AA57" s="70" t="s">
        <v>180</v>
      </c>
      <c r="AB57" s="71"/>
      <c r="AC57" s="71"/>
      <c r="AD57" s="71"/>
      <c r="AE57" s="71"/>
      <c r="AF57" s="71"/>
      <c r="AG57" s="71"/>
      <c r="AH57" s="71"/>
      <c r="AI57" s="71"/>
      <c r="AJ57" s="71"/>
      <c r="AK57" s="70"/>
      <c r="AL57" s="75"/>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row>
    <row r="58" spans="1:63" ht="27" customHeight="1" x14ac:dyDescent="0.35">
      <c r="A58" s="70">
        <v>56</v>
      </c>
      <c r="B58" s="71" t="s">
        <v>1111</v>
      </c>
      <c r="C58" s="71" t="s">
        <v>76</v>
      </c>
      <c r="D58" s="70" t="s">
        <v>1112</v>
      </c>
      <c r="E58" s="70" t="s">
        <v>1113</v>
      </c>
      <c r="F58" s="70" t="s">
        <v>70</v>
      </c>
      <c r="G58" s="70" t="s">
        <v>430</v>
      </c>
      <c r="H58" s="71"/>
      <c r="I58" s="70" t="s">
        <v>436</v>
      </c>
      <c r="J58" s="70"/>
      <c r="K58" s="70"/>
      <c r="L58" s="70"/>
      <c r="M58" s="63"/>
      <c r="N58" s="70"/>
      <c r="O58" s="63"/>
      <c r="P58" s="70"/>
      <c r="Q58" s="63"/>
      <c r="R58" s="70"/>
      <c r="S58" s="63"/>
      <c r="T58" s="70"/>
      <c r="U58" s="63"/>
      <c r="V58" s="70"/>
      <c r="W58" s="70"/>
      <c r="X58" s="70"/>
      <c r="Y58" s="70" t="s">
        <v>180</v>
      </c>
      <c r="Z58" s="70" t="s">
        <v>180</v>
      </c>
      <c r="AA58" s="70" t="s">
        <v>180</v>
      </c>
      <c r="AB58" s="71"/>
      <c r="AC58" s="71"/>
      <c r="AD58" s="71"/>
      <c r="AE58" s="71"/>
      <c r="AF58" s="71"/>
      <c r="AG58" s="71"/>
      <c r="AH58" s="71"/>
      <c r="AI58" s="71"/>
      <c r="AJ58" s="71"/>
      <c r="AK58" s="70"/>
      <c r="AL58" s="75"/>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row>
    <row r="59" spans="1:63" ht="27" customHeight="1" x14ac:dyDescent="0.35">
      <c r="A59" s="70">
        <v>57</v>
      </c>
      <c r="B59" s="71" t="s">
        <v>235</v>
      </c>
      <c r="C59" s="71" t="s">
        <v>113</v>
      </c>
      <c r="D59" s="70" t="s">
        <v>236</v>
      </c>
      <c r="E59" s="70" t="s">
        <v>237</v>
      </c>
      <c r="F59" s="70" t="s">
        <v>70</v>
      </c>
      <c r="G59" s="70" t="s">
        <v>430</v>
      </c>
      <c r="H59" s="71"/>
      <c r="I59" s="70" t="s">
        <v>436</v>
      </c>
      <c r="J59" s="70"/>
      <c r="K59" s="70"/>
      <c r="L59" s="70"/>
      <c r="M59" s="63"/>
      <c r="N59" s="70"/>
      <c r="O59" s="63"/>
      <c r="P59" s="70"/>
      <c r="Q59" s="63"/>
      <c r="R59" s="70"/>
      <c r="S59" s="63"/>
      <c r="T59" s="70"/>
      <c r="U59" s="63"/>
      <c r="V59" s="70"/>
      <c r="W59" s="70"/>
      <c r="X59" s="70"/>
      <c r="Y59" s="70" t="s">
        <v>180</v>
      </c>
      <c r="Z59" s="70" t="s">
        <v>180</v>
      </c>
      <c r="AA59" s="70" t="s">
        <v>180</v>
      </c>
      <c r="AB59" s="71"/>
      <c r="AC59" s="71"/>
      <c r="AD59" s="71"/>
      <c r="AE59" s="71"/>
      <c r="AF59" s="71"/>
      <c r="AG59" s="71"/>
      <c r="AH59" s="71"/>
      <c r="AI59" s="71"/>
      <c r="AJ59" s="71"/>
      <c r="AK59" s="70"/>
      <c r="AL59" s="75"/>
      <c r="AM59" s="71"/>
      <c r="AN59" s="71"/>
      <c r="AO59" s="71"/>
      <c r="AP59" s="71"/>
      <c r="AQ59" s="71"/>
      <c r="AR59" s="71"/>
      <c r="AS59" s="71"/>
      <c r="AT59" s="71"/>
      <c r="AU59" s="71"/>
      <c r="AV59" s="71"/>
      <c r="AW59" s="71"/>
      <c r="AX59" s="71"/>
      <c r="AY59" s="71"/>
      <c r="AZ59" s="71"/>
      <c r="BA59" s="71"/>
      <c r="BB59" s="71"/>
      <c r="BC59" s="71"/>
      <c r="BD59" s="71"/>
      <c r="BE59" s="71"/>
      <c r="BF59" s="71"/>
      <c r="BG59" s="71"/>
      <c r="BH59" s="71"/>
      <c r="BI59" s="71"/>
      <c r="BJ59" s="71"/>
      <c r="BK59" s="71"/>
    </row>
    <row r="60" spans="1:63" ht="27" customHeight="1" x14ac:dyDescent="0.35">
      <c r="A60" s="70">
        <v>58</v>
      </c>
      <c r="B60" s="71" t="s">
        <v>199</v>
      </c>
      <c r="C60" s="71" t="s">
        <v>68</v>
      </c>
      <c r="D60" s="70" t="s">
        <v>68</v>
      </c>
      <c r="E60" s="70" t="s">
        <v>200</v>
      </c>
      <c r="F60" s="70" t="s">
        <v>70</v>
      </c>
      <c r="G60" s="70" t="s">
        <v>430</v>
      </c>
      <c r="H60" s="71"/>
      <c r="I60" s="70" t="s">
        <v>436</v>
      </c>
      <c r="J60" s="70"/>
      <c r="K60" s="70"/>
      <c r="L60" s="70"/>
      <c r="M60" s="63"/>
      <c r="N60" s="70"/>
      <c r="O60" s="63"/>
      <c r="P60" s="70"/>
      <c r="Q60" s="63"/>
      <c r="R60" s="70"/>
      <c r="S60" s="63"/>
      <c r="T60" s="70"/>
      <c r="U60" s="63"/>
      <c r="V60" s="70"/>
      <c r="W60" s="70"/>
      <c r="X60" s="70"/>
      <c r="Y60" s="70" t="s">
        <v>180</v>
      </c>
      <c r="Z60" s="70" t="s">
        <v>180</v>
      </c>
      <c r="AA60" s="70" t="s">
        <v>180</v>
      </c>
      <c r="AB60" s="71"/>
      <c r="AC60" s="71"/>
      <c r="AD60" s="71"/>
      <c r="AE60" s="71"/>
      <c r="AF60" s="71"/>
      <c r="AG60" s="71"/>
      <c r="AH60" s="71"/>
      <c r="AI60" s="71"/>
      <c r="AJ60" s="71"/>
      <c r="AK60" s="70"/>
      <c r="AL60" s="75"/>
      <c r="AM60" s="71"/>
      <c r="AN60" s="71"/>
      <c r="AO60" s="71"/>
      <c r="AP60" s="71"/>
      <c r="AQ60" s="71"/>
      <c r="AR60" s="71"/>
      <c r="AS60" s="71"/>
      <c r="AT60" s="71"/>
      <c r="AU60" s="71"/>
      <c r="AV60" s="71"/>
      <c r="AW60" s="71"/>
      <c r="AX60" s="71"/>
      <c r="AY60" s="71"/>
      <c r="AZ60" s="71"/>
      <c r="BA60" s="71"/>
      <c r="BB60" s="71"/>
      <c r="BC60" s="71"/>
      <c r="BD60" s="71"/>
      <c r="BE60" s="71"/>
      <c r="BF60" s="71"/>
      <c r="BG60" s="71"/>
      <c r="BH60" s="71"/>
      <c r="BI60" s="71"/>
      <c r="BJ60" s="71"/>
      <c r="BK60" s="71"/>
    </row>
    <row r="61" spans="1:63" ht="27" customHeight="1" x14ac:dyDescent="0.35">
      <c r="A61" s="70">
        <v>59</v>
      </c>
      <c r="B61" s="71" t="s">
        <v>248</v>
      </c>
      <c r="C61" s="71" t="s">
        <v>113</v>
      </c>
      <c r="D61" s="70" t="s">
        <v>113</v>
      </c>
      <c r="E61" s="70" t="s">
        <v>249</v>
      </c>
      <c r="F61" s="70" t="s">
        <v>70</v>
      </c>
      <c r="G61" s="70" t="s">
        <v>430</v>
      </c>
      <c r="H61" s="71"/>
      <c r="I61" s="70" t="s">
        <v>436</v>
      </c>
      <c r="J61" s="70"/>
      <c r="K61" s="70"/>
      <c r="L61" s="70"/>
      <c r="M61" s="63"/>
      <c r="N61" s="70"/>
      <c r="O61" s="63"/>
      <c r="P61" s="70"/>
      <c r="Q61" s="63"/>
      <c r="R61" s="70"/>
      <c r="S61" s="63"/>
      <c r="T61" s="70"/>
      <c r="U61" s="63"/>
      <c r="V61" s="70"/>
      <c r="W61" s="70"/>
      <c r="X61" s="70"/>
      <c r="Y61" s="70" t="s">
        <v>180</v>
      </c>
      <c r="Z61" s="70" t="s">
        <v>180</v>
      </c>
      <c r="AA61" s="70" t="s">
        <v>180</v>
      </c>
      <c r="AB61" s="71"/>
      <c r="AC61" s="71"/>
      <c r="AD61" s="71"/>
      <c r="AE61" s="71"/>
      <c r="AF61" s="71"/>
      <c r="AG61" s="71"/>
      <c r="AH61" s="71"/>
      <c r="AI61" s="71"/>
      <c r="AJ61" s="71"/>
      <c r="AK61" s="70"/>
      <c r="AL61" s="75"/>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row>
    <row r="62" spans="1:63" ht="27" customHeight="1" x14ac:dyDescent="0.35">
      <c r="A62" s="70">
        <v>60</v>
      </c>
      <c r="B62" s="71" t="s">
        <v>238</v>
      </c>
      <c r="C62" s="71" t="s">
        <v>84</v>
      </c>
      <c r="D62" s="70" t="s">
        <v>97</v>
      </c>
      <c r="E62" s="70" t="s">
        <v>214</v>
      </c>
      <c r="F62" s="70" t="s">
        <v>70</v>
      </c>
      <c r="G62" s="70" t="s">
        <v>430</v>
      </c>
      <c r="H62" s="71"/>
      <c r="I62" s="70" t="s">
        <v>436</v>
      </c>
      <c r="J62" s="70"/>
      <c r="K62" s="70"/>
      <c r="L62" s="70"/>
      <c r="M62" s="63"/>
      <c r="N62" s="70"/>
      <c r="O62" s="63"/>
      <c r="P62" s="70"/>
      <c r="Q62" s="63"/>
      <c r="R62" s="70"/>
      <c r="S62" s="63"/>
      <c r="T62" s="70"/>
      <c r="U62" s="63"/>
      <c r="V62" s="70"/>
      <c r="W62" s="70"/>
      <c r="X62" s="70"/>
      <c r="Y62" s="70" t="s">
        <v>180</v>
      </c>
      <c r="Z62" s="70" t="s">
        <v>180</v>
      </c>
      <c r="AA62" s="70" t="s">
        <v>180</v>
      </c>
      <c r="AB62" s="71"/>
      <c r="AC62" s="71"/>
      <c r="AD62" s="71"/>
      <c r="AE62" s="71"/>
      <c r="AF62" s="71"/>
      <c r="AG62" s="71"/>
      <c r="AH62" s="71"/>
      <c r="AI62" s="71"/>
      <c r="AJ62" s="71"/>
      <c r="AK62" s="70"/>
      <c r="AL62" s="75"/>
      <c r="AM62" s="71"/>
      <c r="AN62" s="71"/>
      <c r="AO62" s="71"/>
      <c r="AP62" s="71"/>
      <c r="AQ62" s="71"/>
      <c r="AR62" s="71"/>
      <c r="AS62" s="71"/>
      <c r="AT62" s="71"/>
      <c r="AU62" s="71"/>
      <c r="AV62" s="71"/>
      <c r="AW62" s="71"/>
      <c r="AX62" s="71"/>
      <c r="AY62" s="71"/>
      <c r="AZ62" s="71"/>
      <c r="BA62" s="71"/>
      <c r="BB62" s="71"/>
      <c r="BC62" s="71"/>
      <c r="BD62" s="71"/>
      <c r="BE62" s="71"/>
      <c r="BF62" s="71"/>
      <c r="BG62" s="71"/>
      <c r="BH62" s="71"/>
      <c r="BI62" s="71"/>
      <c r="BJ62" s="71"/>
      <c r="BK62" s="71"/>
    </row>
    <row r="63" spans="1:63" ht="27" customHeight="1" x14ac:dyDescent="0.35">
      <c r="A63" s="70">
        <v>61</v>
      </c>
      <c r="B63" s="71" t="s">
        <v>20</v>
      </c>
      <c r="C63" s="71" t="s">
        <v>68</v>
      </c>
      <c r="D63" s="70" t="s">
        <v>74</v>
      </c>
      <c r="E63" s="70" t="s">
        <v>75</v>
      </c>
      <c r="F63" s="70" t="s">
        <v>70</v>
      </c>
      <c r="G63" s="70" t="s">
        <v>410</v>
      </c>
      <c r="H63" s="71"/>
      <c r="I63" s="70" t="s">
        <v>415</v>
      </c>
      <c r="J63" s="70"/>
      <c r="K63" s="70"/>
      <c r="L63" s="70"/>
      <c r="M63" s="63"/>
      <c r="N63" s="79" t="s">
        <v>417</v>
      </c>
      <c r="O63" s="63">
        <v>2016</v>
      </c>
      <c r="P63" s="79"/>
      <c r="Q63" s="63"/>
      <c r="R63" s="79" t="s">
        <v>417</v>
      </c>
      <c r="S63" s="63"/>
      <c r="T63" s="79"/>
      <c r="U63" s="63"/>
      <c r="V63" s="79"/>
      <c r="W63" s="70" t="s">
        <v>952</v>
      </c>
      <c r="X63" s="70"/>
      <c r="Y63" s="70" t="s">
        <v>180</v>
      </c>
      <c r="Z63" s="70">
        <v>774.43</v>
      </c>
      <c r="AA63" s="70">
        <v>1027.56</v>
      </c>
      <c r="AB63" s="71" t="s">
        <v>952</v>
      </c>
      <c r="AC63" s="71"/>
      <c r="AD63" s="71"/>
      <c r="AE63" s="71"/>
      <c r="AF63" s="71"/>
      <c r="AG63" s="71"/>
      <c r="AH63" s="71"/>
      <c r="AI63" s="71"/>
      <c r="AJ63" s="71"/>
      <c r="AK63" s="70"/>
      <c r="AL63" s="75"/>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row>
    <row r="64" spans="1:63" ht="27" customHeight="1" x14ac:dyDescent="0.35">
      <c r="A64" s="70">
        <v>62</v>
      </c>
      <c r="B64" s="71" t="s">
        <v>197</v>
      </c>
      <c r="C64" s="71" t="s">
        <v>68</v>
      </c>
      <c r="D64" s="70" t="s">
        <v>1114</v>
      </c>
      <c r="E64" s="70" t="s">
        <v>198</v>
      </c>
      <c r="F64" s="70" t="s">
        <v>70</v>
      </c>
      <c r="G64" s="70" t="s">
        <v>430</v>
      </c>
      <c r="H64" s="71"/>
      <c r="I64" s="70" t="s">
        <v>436</v>
      </c>
      <c r="J64" s="70"/>
      <c r="K64" s="70"/>
      <c r="L64" s="70"/>
      <c r="M64" s="63"/>
      <c r="N64" s="70"/>
      <c r="O64" s="63"/>
      <c r="P64" s="70"/>
      <c r="Q64" s="63"/>
      <c r="R64" s="70"/>
      <c r="S64" s="63"/>
      <c r="T64" s="70"/>
      <c r="U64" s="63"/>
      <c r="V64" s="70"/>
      <c r="W64" s="70"/>
      <c r="X64" s="70"/>
      <c r="Y64" s="70" t="s">
        <v>180</v>
      </c>
      <c r="Z64" s="70" t="s">
        <v>180</v>
      </c>
      <c r="AA64" s="70" t="s">
        <v>180</v>
      </c>
      <c r="AB64" s="71"/>
      <c r="AC64" s="71"/>
      <c r="AD64" s="71"/>
      <c r="AE64" s="71"/>
      <c r="AF64" s="71"/>
      <c r="AG64" s="71"/>
      <c r="AH64" s="71"/>
      <c r="AI64" s="71"/>
      <c r="AJ64" s="71"/>
      <c r="AK64" s="70"/>
      <c r="AL64" s="75"/>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row>
    <row r="65" spans="1:63" ht="27" customHeight="1" x14ac:dyDescent="0.35">
      <c r="A65" s="70">
        <v>63</v>
      </c>
      <c r="B65" s="71" t="s">
        <v>239</v>
      </c>
      <c r="C65" s="71" t="s">
        <v>113</v>
      </c>
      <c r="D65" s="70" t="s">
        <v>240</v>
      </c>
      <c r="E65" s="70" t="s">
        <v>241</v>
      </c>
      <c r="F65" s="70" t="s">
        <v>70</v>
      </c>
      <c r="G65" s="70" t="s">
        <v>430</v>
      </c>
      <c r="H65" s="71"/>
      <c r="I65" s="70" t="s">
        <v>436</v>
      </c>
      <c r="J65" s="70"/>
      <c r="K65" s="70"/>
      <c r="L65" s="70"/>
      <c r="M65" s="63"/>
      <c r="N65" s="70"/>
      <c r="O65" s="63"/>
      <c r="P65" s="70"/>
      <c r="Q65" s="63"/>
      <c r="R65" s="70"/>
      <c r="S65" s="63"/>
      <c r="T65" s="70"/>
      <c r="U65" s="63"/>
      <c r="V65" s="70"/>
      <c r="W65" s="70"/>
      <c r="X65" s="70"/>
      <c r="Y65" s="70" t="s">
        <v>180</v>
      </c>
      <c r="Z65" s="70" t="s">
        <v>180</v>
      </c>
      <c r="AA65" s="70" t="s">
        <v>180</v>
      </c>
      <c r="AB65" s="71"/>
      <c r="AC65" s="71"/>
      <c r="AD65" s="71"/>
      <c r="AE65" s="71"/>
      <c r="AF65" s="71"/>
      <c r="AG65" s="71"/>
      <c r="AH65" s="71"/>
      <c r="AI65" s="71"/>
      <c r="AJ65" s="71"/>
      <c r="AK65" s="70"/>
      <c r="AL65" s="75"/>
      <c r="AM65" s="71"/>
      <c r="AN65" s="71"/>
      <c r="AO65" s="71"/>
      <c r="AP65" s="71"/>
      <c r="AQ65" s="71"/>
      <c r="AR65" s="71"/>
      <c r="AS65" s="71"/>
      <c r="AT65" s="71"/>
      <c r="AU65" s="71"/>
      <c r="AV65" s="71"/>
      <c r="AW65" s="71"/>
      <c r="AX65" s="71"/>
      <c r="AY65" s="71"/>
      <c r="AZ65" s="71"/>
      <c r="BA65" s="71"/>
      <c r="BB65" s="71"/>
      <c r="BC65" s="71"/>
      <c r="BD65" s="71"/>
      <c r="BE65" s="71"/>
      <c r="BF65" s="71"/>
      <c r="BG65" s="71"/>
      <c r="BH65" s="71"/>
      <c r="BI65" s="71"/>
      <c r="BJ65" s="71"/>
      <c r="BK65" s="71"/>
    </row>
    <row r="66" spans="1:63" ht="27" customHeight="1" x14ac:dyDescent="0.35">
      <c r="A66" s="70">
        <v>64</v>
      </c>
      <c r="B66" s="71" t="s">
        <v>138</v>
      </c>
      <c r="C66" s="71" t="s">
        <v>76</v>
      </c>
      <c r="D66" s="70" t="s">
        <v>132</v>
      </c>
      <c r="E66" s="70" t="s">
        <v>139</v>
      </c>
      <c r="F66" s="70" t="s">
        <v>70</v>
      </c>
      <c r="G66" s="70" t="s">
        <v>431</v>
      </c>
      <c r="H66" s="71"/>
      <c r="I66" s="70" t="s">
        <v>436</v>
      </c>
      <c r="J66" s="70"/>
      <c r="K66" s="70"/>
      <c r="L66" s="79" t="s">
        <v>417</v>
      </c>
      <c r="M66" s="63">
        <v>2022</v>
      </c>
      <c r="N66" s="70"/>
      <c r="O66" s="63"/>
      <c r="P66" s="70"/>
      <c r="Q66" s="63"/>
      <c r="R66" s="70"/>
      <c r="S66" s="63"/>
      <c r="T66" s="70"/>
      <c r="U66" s="63"/>
      <c r="V66" s="70"/>
      <c r="W66" s="70" t="s">
        <v>864</v>
      </c>
      <c r="X66" s="70"/>
      <c r="Y66" s="70">
        <v>686</v>
      </c>
      <c r="Z66" s="70" t="s">
        <v>180</v>
      </c>
      <c r="AA66" s="70" t="s">
        <v>180</v>
      </c>
      <c r="AB66" s="71"/>
      <c r="AC66" s="71"/>
      <c r="AD66" s="71"/>
      <c r="AE66" s="71"/>
      <c r="AF66" s="71"/>
      <c r="AG66" s="71"/>
      <c r="AH66" s="71"/>
      <c r="AI66" s="71"/>
      <c r="AJ66" s="71"/>
      <c r="AK66" s="70"/>
      <c r="AL66" s="75"/>
      <c r="AM66" s="71"/>
      <c r="AN66" s="71"/>
      <c r="AO66" s="71"/>
      <c r="AP66" s="71"/>
      <c r="AQ66" s="71"/>
      <c r="AR66" s="71"/>
      <c r="AS66" s="71"/>
      <c r="AT66" s="71"/>
      <c r="AU66" s="71"/>
      <c r="AV66" s="71"/>
      <c r="AW66" s="71"/>
      <c r="AX66" s="71"/>
      <c r="AY66" s="71"/>
      <c r="AZ66" s="71"/>
      <c r="BA66" s="71"/>
      <c r="BB66" s="71"/>
      <c r="BC66" s="71"/>
      <c r="BD66" s="71"/>
      <c r="BE66" s="71"/>
      <c r="BF66" s="71"/>
      <c r="BG66" s="71"/>
      <c r="BH66" s="71"/>
      <c r="BI66" s="71"/>
      <c r="BJ66" s="71"/>
      <c r="BK66" s="71"/>
    </row>
    <row r="67" spans="1:63" ht="27" customHeight="1" x14ac:dyDescent="0.35">
      <c r="A67" s="70">
        <v>65</v>
      </c>
      <c r="B67" s="71" t="s">
        <v>36</v>
      </c>
      <c r="C67" s="71" t="s">
        <v>94</v>
      </c>
      <c r="D67" s="70" t="s">
        <v>95</v>
      </c>
      <c r="E67" s="70" t="s">
        <v>96</v>
      </c>
      <c r="F67" s="70" t="s">
        <v>70</v>
      </c>
      <c r="G67" s="70" t="s">
        <v>410</v>
      </c>
      <c r="H67" s="71"/>
      <c r="I67" s="70" t="s">
        <v>415</v>
      </c>
      <c r="J67" s="70"/>
      <c r="K67" s="70"/>
      <c r="L67" s="70"/>
      <c r="M67" s="63"/>
      <c r="N67" s="70"/>
      <c r="O67" s="63"/>
      <c r="P67" s="79"/>
      <c r="Q67" s="63"/>
      <c r="R67" s="92"/>
      <c r="S67" s="63"/>
      <c r="T67" s="79"/>
      <c r="U67" s="63"/>
      <c r="V67" s="79"/>
      <c r="W67" s="70"/>
      <c r="X67" s="70">
        <v>352</v>
      </c>
      <c r="Y67" s="70" t="s">
        <v>180</v>
      </c>
      <c r="Z67" s="70" t="s">
        <v>180</v>
      </c>
      <c r="AA67" s="70" t="s">
        <v>180</v>
      </c>
      <c r="AB67" s="71"/>
      <c r="AC67" s="71"/>
      <c r="AD67" s="71"/>
      <c r="AE67" s="71"/>
      <c r="AF67" s="71"/>
      <c r="AG67" s="71"/>
      <c r="AH67" s="71"/>
      <c r="AI67" s="71"/>
      <c r="AJ67" s="71"/>
      <c r="AK67" s="70"/>
      <c r="AL67" s="75"/>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row>
    <row r="68" spans="1:63" ht="27" customHeight="1" x14ac:dyDescent="0.35">
      <c r="A68" s="70">
        <v>66</v>
      </c>
      <c r="B68" s="71" t="s">
        <v>175</v>
      </c>
      <c r="C68" s="71" t="s">
        <v>76</v>
      </c>
      <c r="D68" s="70" t="s">
        <v>107</v>
      </c>
      <c r="E68" s="70" t="s">
        <v>176</v>
      </c>
      <c r="F68" s="70" t="s">
        <v>70</v>
      </c>
      <c r="G68" s="70" t="s">
        <v>430</v>
      </c>
      <c r="H68" s="71"/>
      <c r="I68" s="70" t="s">
        <v>436</v>
      </c>
      <c r="J68" s="70"/>
      <c r="K68" s="70"/>
      <c r="L68" s="70"/>
      <c r="M68" s="63"/>
      <c r="N68" s="70"/>
      <c r="O68" s="63"/>
      <c r="P68" s="79"/>
      <c r="Q68" s="63"/>
      <c r="R68" s="79"/>
      <c r="S68" s="63"/>
      <c r="T68" s="79"/>
      <c r="U68" s="63"/>
      <c r="V68" s="79"/>
      <c r="W68" s="70"/>
      <c r="X68" s="70"/>
      <c r="Y68" s="70" t="s">
        <v>180</v>
      </c>
      <c r="Z68" s="70" t="s">
        <v>180</v>
      </c>
      <c r="AA68" s="70" t="s">
        <v>180</v>
      </c>
      <c r="AB68" s="71"/>
      <c r="AC68" s="71"/>
      <c r="AD68" s="71"/>
      <c r="AE68" s="71"/>
      <c r="AF68" s="71"/>
      <c r="AG68" s="71"/>
      <c r="AH68" s="71"/>
      <c r="AI68" s="71"/>
      <c r="AJ68" s="71"/>
      <c r="AK68" s="70"/>
      <c r="AL68" s="75"/>
      <c r="AM68" s="71"/>
      <c r="AN68" s="71"/>
      <c r="AO68" s="71"/>
      <c r="AP68" s="71"/>
      <c r="AQ68" s="71"/>
      <c r="AR68" s="71"/>
      <c r="AS68" s="71"/>
      <c r="AT68" s="71"/>
      <c r="AU68" s="71"/>
      <c r="AV68" s="71"/>
      <c r="AW68" s="71"/>
      <c r="AX68" s="71"/>
      <c r="AY68" s="71"/>
      <c r="AZ68" s="71"/>
      <c r="BA68" s="71"/>
      <c r="BB68" s="71"/>
      <c r="BC68" s="71"/>
      <c r="BD68" s="71"/>
      <c r="BE68" s="71"/>
      <c r="BF68" s="71"/>
      <c r="BG68" s="71"/>
      <c r="BH68" s="71"/>
      <c r="BI68" s="71"/>
      <c r="BJ68" s="71"/>
      <c r="BK68" s="71"/>
    </row>
    <row r="69" spans="1:63" ht="27" customHeight="1" x14ac:dyDescent="0.35">
      <c r="A69" s="70">
        <v>67</v>
      </c>
      <c r="B69" s="71" t="s">
        <v>223</v>
      </c>
      <c r="C69" s="71" t="s">
        <v>94</v>
      </c>
      <c r="D69" s="70" t="s">
        <v>202</v>
      </c>
      <c r="E69" s="70" t="s">
        <v>224</v>
      </c>
      <c r="F69" s="70" t="s">
        <v>70</v>
      </c>
      <c r="G69" s="70" t="s">
        <v>430</v>
      </c>
      <c r="H69" s="71"/>
      <c r="I69" s="70" t="s">
        <v>436</v>
      </c>
      <c r="J69" s="70"/>
      <c r="K69" s="70"/>
      <c r="L69" s="70"/>
      <c r="M69" s="63"/>
      <c r="N69" s="70"/>
      <c r="O69" s="63"/>
      <c r="P69" s="70"/>
      <c r="Q69" s="63"/>
      <c r="R69" s="70"/>
      <c r="S69" s="63"/>
      <c r="T69" s="70"/>
      <c r="U69" s="63"/>
      <c r="V69" s="70"/>
      <c r="W69" s="70"/>
      <c r="X69" s="70"/>
      <c r="Y69" s="70" t="s">
        <v>180</v>
      </c>
      <c r="Z69" s="70" t="s">
        <v>180</v>
      </c>
      <c r="AA69" s="70" t="s">
        <v>180</v>
      </c>
      <c r="AB69" s="71"/>
      <c r="AC69" s="71"/>
      <c r="AD69" s="71"/>
      <c r="AE69" s="71"/>
      <c r="AF69" s="71"/>
      <c r="AG69" s="71"/>
      <c r="AH69" s="71"/>
      <c r="AI69" s="71"/>
      <c r="AJ69" s="71"/>
      <c r="AK69" s="70"/>
      <c r="AL69" s="75"/>
      <c r="AM69" s="71"/>
      <c r="AN69" s="71"/>
      <c r="AO69" s="71"/>
      <c r="AP69" s="71"/>
      <c r="AQ69" s="71"/>
      <c r="AR69" s="71"/>
      <c r="AS69" s="71"/>
      <c r="AT69" s="71"/>
      <c r="AU69" s="71"/>
      <c r="AV69" s="71"/>
      <c r="AW69" s="71"/>
      <c r="AX69" s="71"/>
      <c r="AY69" s="71"/>
      <c r="AZ69" s="71"/>
      <c r="BA69" s="71"/>
      <c r="BB69" s="71"/>
      <c r="BC69" s="71"/>
      <c r="BD69" s="71"/>
      <c r="BE69" s="71"/>
      <c r="BF69" s="71"/>
      <c r="BG69" s="71"/>
      <c r="BH69" s="71"/>
      <c r="BI69" s="71"/>
      <c r="BJ69" s="71"/>
      <c r="BK69" s="71"/>
    </row>
    <row r="70" spans="1:63" ht="27" customHeight="1" x14ac:dyDescent="0.35">
      <c r="A70" s="70">
        <v>68</v>
      </c>
      <c r="B70" s="71" t="s">
        <v>227</v>
      </c>
      <c r="C70" s="71" t="s">
        <v>84</v>
      </c>
      <c r="D70" s="70" t="s">
        <v>97</v>
      </c>
      <c r="E70" s="70" t="s">
        <v>228</v>
      </c>
      <c r="F70" s="70" t="s">
        <v>70</v>
      </c>
      <c r="G70" s="70" t="s">
        <v>430</v>
      </c>
      <c r="H70" s="71"/>
      <c r="I70" s="70" t="s">
        <v>436</v>
      </c>
      <c r="J70" s="70"/>
      <c r="K70" s="70"/>
      <c r="L70" s="70"/>
      <c r="M70" s="63"/>
      <c r="N70" s="70"/>
      <c r="O70" s="63"/>
      <c r="P70" s="70"/>
      <c r="Q70" s="63"/>
      <c r="R70" s="70"/>
      <c r="S70" s="63"/>
      <c r="T70" s="70"/>
      <c r="U70" s="63"/>
      <c r="V70" s="70"/>
      <c r="W70" s="70"/>
      <c r="X70" s="70"/>
      <c r="Y70" s="70" t="s">
        <v>180</v>
      </c>
      <c r="Z70" s="70" t="s">
        <v>180</v>
      </c>
      <c r="AA70" s="70" t="s">
        <v>180</v>
      </c>
      <c r="AB70" s="71"/>
      <c r="AC70" s="71"/>
      <c r="AD70" s="71"/>
      <c r="AE70" s="71"/>
      <c r="AF70" s="71"/>
      <c r="AG70" s="71"/>
      <c r="AH70" s="71"/>
      <c r="AI70" s="71"/>
      <c r="AJ70" s="71"/>
      <c r="AK70" s="70"/>
      <c r="AL70" s="75"/>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row>
    <row r="71" spans="1:63" ht="27" customHeight="1" x14ac:dyDescent="0.35">
      <c r="A71" s="70">
        <v>69</v>
      </c>
      <c r="B71" s="71" t="s">
        <v>169</v>
      </c>
      <c r="C71" s="71" t="s">
        <v>76</v>
      </c>
      <c r="D71" s="70" t="s">
        <v>1001</v>
      </c>
      <c r="E71" s="70" t="s">
        <v>171</v>
      </c>
      <c r="F71" s="70" t="s">
        <v>92</v>
      </c>
      <c r="G71" s="70" t="s">
        <v>440</v>
      </c>
      <c r="H71" s="70" t="s">
        <v>440</v>
      </c>
      <c r="I71" s="70" t="s">
        <v>440</v>
      </c>
      <c r="J71" s="70"/>
      <c r="K71" s="70"/>
      <c r="L71" s="70"/>
      <c r="M71" s="63"/>
      <c r="N71" s="70"/>
      <c r="O71" s="63"/>
      <c r="P71" s="70"/>
      <c r="Q71" s="63"/>
      <c r="R71" s="70"/>
      <c r="S71" s="63"/>
      <c r="T71" s="70"/>
      <c r="U71" s="63"/>
      <c r="V71" s="70"/>
      <c r="W71" s="70"/>
      <c r="X71" s="70"/>
      <c r="Y71" s="70" t="s">
        <v>180</v>
      </c>
      <c r="Z71" s="70" t="s">
        <v>180</v>
      </c>
      <c r="AA71" s="70" t="s">
        <v>180</v>
      </c>
      <c r="AB71" s="71"/>
      <c r="AC71" s="71"/>
      <c r="AD71" s="71"/>
      <c r="AE71" s="71"/>
      <c r="AF71" s="71"/>
      <c r="AG71" s="71"/>
      <c r="AH71" s="71"/>
      <c r="AI71" s="71"/>
      <c r="AJ71" s="71"/>
      <c r="AK71" s="70"/>
      <c r="AL71" s="75"/>
      <c r="AM71" s="71"/>
      <c r="AN71" s="71"/>
      <c r="AO71" s="71"/>
      <c r="AP71" s="71"/>
      <c r="AQ71" s="71"/>
      <c r="AR71" s="71"/>
      <c r="AS71" s="71"/>
      <c r="AT71" s="71"/>
      <c r="AU71" s="71"/>
      <c r="AV71" s="71"/>
      <c r="AW71" s="71"/>
      <c r="AX71" s="71"/>
      <c r="AY71" s="71"/>
      <c r="AZ71" s="71"/>
      <c r="BA71" s="71"/>
      <c r="BB71" s="71"/>
      <c r="BC71" s="71"/>
      <c r="BD71" s="71"/>
      <c r="BE71" s="71"/>
      <c r="BF71" s="71"/>
      <c r="BG71" s="71"/>
      <c r="BH71" s="71"/>
      <c r="BI71" s="71"/>
      <c r="BJ71" s="71"/>
      <c r="BK71" s="71"/>
    </row>
    <row r="72" spans="1:63" ht="27" customHeight="1" x14ac:dyDescent="0.35">
      <c r="A72" s="70">
        <v>70</v>
      </c>
      <c r="B72" s="71" t="s">
        <v>52</v>
      </c>
      <c r="C72" s="71" t="s">
        <v>76</v>
      </c>
      <c r="D72" s="70" t="s">
        <v>117</v>
      </c>
      <c r="E72" s="70" t="s">
        <v>118</v>
      </c>
      <c r="F72" s="70" t="s">
        <v>92</v>
      </c>
      <c r="G72" s="70" t="s">
        <v>440</v>
      </c>
      <c r="H72" s="71"/>
      <c r="I72" s="70" t="s">
        <v>440</v>
      </c>
      <c r="J72" s="70"/>
      <c r="K72" s="70"/>
      <c r="L72" s="70"/>
      <c r="M72" s="63"/>
      <c r="N72" s="70"/>
      <c r="O72" s="63"/>
      <c r="P72" s="70"/>
      <c r="Q72" s="63"/>
      <c r="R72" s="70"/>
      <c r="S72" s="63"/>
      <c r="T72" s="70"/>
      <c r="U72" s="63"/>
      <c r="V72" s="70"/>
      <c r="W72" s="70"/>
      <c r="X72" s="70"/>
      <c r="Y72" s="70" t="s">
        <v>180</v>
      </c>
      <c r="Z72" s="70" t="s">
        <v>180</v>
      </c>
      <c r="AA72" s="70" t="s">
        <v>180</v>
      </c>
      <c r="AB72" s="71"/>
      <c r="AC72" s="71"/>
      <c r="AD72" s="71"/>
      <c r="AE72" s="71"/>
      <c r="AF72" s="71"/>
      <c r="AG72" s="71"/>
      <c r="AH72" s="71"/>
      <c r="AI72" s="71"/>
      <c r="AJ72" s="71"/>
      <c r="AK72" s="70"/>
      <c r="AL72" s="75"/>
      <c r="AM72" s="71"/>
      <c r="AN72" s="71"/>
      <c r="AO72" s="71"/>
      <c r="AP72" s="71"/>
      <c r="AQ72" s="71"/>
      <c r="AR72" s="71"/>
      <c r="AS72" s="71"/>
      <c r="AT72" s="71"/>
      <c r="AU72" s="71"/>
      <c r="AV72" s="71"/>
      <c r="AW72" s="71"/>
      <c r="AX72" s="71"/>
      <c r="AY72" s="71"/>
      <c r="AZ72" s="71"/>
      <c r="BA72" s="71"/>
      <c r="BB72" s="71"/>
      <c r="BC72" s="71"/>
      <c r="BD72" s="71"/>
      <c r="BE72" s="71"/>
      <c r="BF72" s="71"/>
      <c r="BG72" s="71"/>
      <c r="BH72" s="71"/>
      <c r="BI72" s="71"/>
      <c r="BJ72" s="71"/>
      <c r="BK72" s="71"/>
    </row>
    <row r="73" spans="1:63" ht="27" customHeight="1" x14ac:dyDescent="0.35">
      <c r="A73" s="70">
        <v>71</v>
      </c>
      <c r="B73" s="71" t="s">
        <v>191</v>
      </c>
      <c r="C73" s="71" t="s">
        <v>76</v>
      </c>
      <c r="D73" s="70" t="s">
        <v>117</v>
      </c>
      <c r="E73" s="70" t="s">
        <v>118</v>
      </c>
      <c r="F73" s="70" t="s">
        <v>92</v>
      </c>
      <c r="G73" s="70" t="s">
        <v>440</v>
      </c>
      <c r="H73" s="71"/>
      <c r="I73" s="70" t="s">
        <v>440</v>
      </c>
      <c r="J73" s="70"/>
      <c r="K73" s="70"/>
      <c r="L73" s="70"/>
      <c r="M73" s="63"/>
      <c r="N73" s="70"/>
      <c r="O73" s="63"/>
      <c r="P73" s="70"/>
      <c r="Q73" s="63"/>
      <c r="R73" s="70"/>
      <c r="S73" s="63"/>
      <c r="T73" s="70"/>
      <c r="U73" s="63"/>
      <c r="V73" s="70"/>
      <c r="W73" s="70"/>
      <c r="X73" s="70"/>
      <c r="Y73" s="70" t="s">
        <v>180</v>
      </c>
      <c r="Z73" s="70" t="s">
        <v>180</v>
      </c>
      <c r="AA73" s="70" t="s">
        <v>180</v>
      </c>
      <c r="AB73" s="71"/>
      <c r="AC73" s="71"/>
      <c r="AD73" s="71"/>
      <c r="AE73" s="71"/>
      <c r="AF73" s="71"/>
      <c r="AG73" s="71"/>
      <c r="AH73" s="71"/>
      <c r="AI73" s="71"/>
      <c r="AJ73" s="71"/>
      <c r="AK73" s="70"/>
      <c r="AL73" s="75"/>
      <c r="AM73" s="71"/>
      <c r="AN73" s="71"/>
      <c r="AO73" s="71"/>
      <c r="AP73" s="71"/>
      <c r="AQ73" s="71"/>
      <c r="AR73" s="71"/>
      <c r="AS73" s="71"/>
      <c r="AT73" s="71"/>
      <c r="AU73" s="71"/>
      <c r="AV73" s="71"/>
      <c r="AW73" s="71"/>
      <c r="AX73" s="71"/>
      <c r="AY73" s="71"/>
      <c r="AZ73" s="71"/>
      <c r="BA73" s="71"/>
      <c r="BB73" s="71"/>
      <c r="BC73" s="71"/>
      <c r="BD73" s="71"/>
      <c r="BE73" s="71"/>
      <c r="BF73" s="71"/>
      <c r="BG73" s="71"/>
      <c r="BH73" s="71"/>
      <c r="BI73" s="71"/>
      <c r="BJ73" s="71"/>
      <c r="BK73" s="71"/>
    </row>
    <row r="74" spans="1:63" ht="27" customHeight="1" x14ac:dyDescent="0.35">
      <c r="A74" s="70">
        <v>72</v>
      </c>
      <c r="B74" s="71" t="s">
        <v>35</v>
      </c>
      <c r="C74" s="71" t="s">
        <v>76</v>
      </c>
      <c r="D74" s="70" t="s">
        <v>77</v>
      </c>
      <c r="E74" s="70" t="s">
        <v>93</v>
      </c>
      <c r="F74" s="70" t="s">
        <v>92</v>
      </c>
      <c r="G74" s="70" t="s">
        <v>440</v>
      </c>
      <c r="H74" s="71"/>
      <c r="I74" s="70" t="s">
        <v>440</v>
      </c>
      <c r="J74" s="70"/>
      <c r="K74" s="70"/>
      <c r="L74" s="70"/>
      <c r="M74" s="63"/>
      <c r="N74" s="70"/>
      <c r="O74" s="63"/>
      <c r="P74" s="70"/>
      <c r="Q74" s="63"/>
      <c r="R74" s="70"/>
      <c r="S74" s="63"/>
      <c r="T74" s="70"/>
      <c r="U74" s="63"/>
      <c r="V74" s="70"/>
      <c r="W74" s="70"/>
      <c r="X74" s="70"/>
      <c r="Y74" s="70" t="s">
        <v>180</v>
      </c>
      <c r="Z74" s="70" t="s">
        <v>180</v>
      </c>
      <c r="AA74" s="70" t="s">
        <v>180</v>
      </c>
      <c r="AB74" s="71"/>
      <c r="AC74" s="71"/>
      <c r="AD74" s="71"/>
      <c r="AE74" s="71"/>
      <c r="AF74" s="71"/>
      <c r="AG74" s="71"/>
      <c r="AH74" s="71"/>
      <c r="AI74" s="71"/>
      <c r="AJ74" s="71"/>
      <c r="AK74" s="70"/>
      <c r="AL74" s="75"/>
      <c r="AM74" s="71"/>
      <c r="AN74" s="71"/>
      <c r="AO74" s="71"/>
      <c r="AP74" s="71"/>
      <c r="AQ74" s="71"/>
      <c r="AR74" s="71"/>
      <c r="AS74" s="71"/>
      <c r="AT74" s="71"/>
      <c r="AU74" s="71"/>
      <c r="AV74" s="71"/>
      <c r="AW74" s="71"/>
      <c r="AX74" s="71"/>
      <c r="AY74" s="71"/>
      <c r="AZ74" s="71"/>
      <c r="BA74" s="71"/>
      <c r="BB74" s="71"/>
      <c r="BC74" s="71"/>
      <c r="BD74" s="71"/>
      <c r="BE74" s="71"/>
      <c r="BF74" s="71"/>
      <c r="BG74" s="71"/>
      <c r="BH74" s="71"/>
      <c r="BI74" s="71"/>
      <c r="BJ74" s="71"/>
      <c r="BK74" s="71"/>
    </row>
    <row r="75" spans="1:63" ht="27" customHeight="1" x14ac:dyDescent="0.35">
      <c r="A75" s="70">
        <v>73</v>
      </c>
      <c r="B75" s="71" t="s">
        <v>39</v>
      </c>
      <c r="C75" s="71" t="s">
        <v>76</v>
      </c>
      <c r="D75" s="70" t="s">
        <v>77</v>
      </c>
      <c r="E75" s="70" t="s">
        <v>93</v>
      </c>
      <c r="F75" s="70" t="s">
        <v>92</v>
      </c>
      <c r="G75" s="70" t="s">
        <v>440</v>
      </c>
      <c r="H75" s="71"/>
      <c r="I75" s="70" t="s">
        <v>440</v>
      </c>
      <c r="J75" s="70"/>
      <c r="K75" s="70"/>
      <c r="L75" s="70"/>
      <c r="M75" s="63"/>
      <c r="N75" s="70"/>
      <c r="O75" s="63"/>
      <c r="P75" s="70"/>
      <c r="Q75" s="63"/>
      <c r="R75" s="70"/>
      <c r="S75" s="63"/>
      <c r="T75" s="70"/>
      <c r="U75" s="63"/>
      <c r="V75" s="70"/>
      <c r="W75" s="70"/>
      <c r="X75" s="70"/>
      <c r="Y75" s="70" t="s">
        <v>180</v>
      </c>
      <c r="Z75" s="70" t="s">
        <v>180</v>
      </c>
      <c r="AA75" s="70" t="s">
        <v>180</v>
      </c>
      <c r="AB75" s="71"/>
      <c r="AC75" s="71"/>
      <c r="AD75" s="71"/>
      <c r="AE75" s="71"/>
      <c r="AF75" s="71"/>
      <c r="AG75" s="71"/>
      <c r="AH75" s="71"/>
      <c r="AI75" s="71"/>
      <c r="AJ75" s="71"/>
      <c r="AK75" s="70"/>
      <c r="AL75" s="75"/>
      <c r="AM75" s="71"/>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row>
    <row r="76" spans="1:63" ht="27" customHeight="1" x14ac:dyDescent="0.35">
      <c r="A76" s="70">
        <v>74</v>
      </c>
      <c r="B76" s="71" t="s">
        <v>213</v>
      </c>
      <c r="C76" s="71" t="s">
        <v>84</v>
      </c>
      <c r="D76" s="70" t="s">
        <v>97</v>
      </c>
      <c r="E76" s="70" t="s">
        <v>214</v>
      </c>
      <c r="F76" s="70" t="s">
        <v>92</v>
      </c>
      <c r="G76" s="70" t="s">
        <v>440</v>
      </c>
      <c r="H76" s="71"/>
      <c r="I76" s="70" t="s">
        <v>440</v>
      </c>
      <c r="J76" s="70"/>
      <c r="K76" s="70"/>
      <c r="L76" s="70"/>
      <c r="M76" s="63"/>
      <c r="N76" s="70"/>
      <c r="O76" s="63"/>
      <c r="P76" s="70"/>
      <c r="Q76" s="63"/>
      <c r="R76" s="70"/>
      <c r="S76" s="63"/>
      <c r="T76" s="70"/>
      <c r="U76" s="63"/>
      <c r="V76" s="70"/>
      <c r="W76" s="70"/>
      <c r="X76" s="70"/>
      <c r="Y76" s="70" t="s">
        <v>180</v>
      </c>
      <c r="Z76" s="70" t="s">
        <v>180</v>
      </c>
      <c r="AA76" s="70" t="s">
        <v>180</v>
      </c>
      <c r="AB76" s="71"/>
      <c r="AC76" s="71"/>
      <c r="AD76" s="71"/>
      <c r="AE76" s="71"/>
      <c r="AF76" s="71"/>
      <c r="AG76" s="71"/>
      <c r="AH76" s="71"/>
      <c r="AI76" s="71"/>
      <c r="AJ76" s="71"/>
      <c r="AK76" s="70"/>
      <c r="AL76" s="75"/>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row>
    <row r="77" spans="1:63" ht="27" customHeight="1" x14ac:dyDescent="0.35">
      <c r="A77" s="70">
        <v>75</v>
      </c>
      <c r="B77" s="71" t="s">
        <v>40</v>
      </c>
      <c r="C77" s="71" t="s">
        <v>68</v>
      </c>
      <c r="D77" s="70" t="s">
        <v>100</v>
      </c>
      <c r="E77" s="70" t="s">
        <v>101</v>
      </c>
      <c r="F77" s="70" t="s">
        <v>92</v>
      </c>
      <c r="G77" s="70" t="s">
        <v>440</v>
      </c>
      <c r="H77" s="71"/>
      <c r="I77" s="70" t="s">
        <v>440</v>
      </c>
      <c r="J77" s="70"/>
      <c r="K77" s="70"/>
      <c r="L77" s="70"/>
      <c r="M77" s="63"/>
      <c r="N77" s="70"/>
      <c r="O77" s="63"/>
      <c r="P77" s="70"/>
      <c r="Q77" s="63"/>
      <c r="R77" s="70"/>
      <c r="S77" s="63"/>
      <c r="T77" s="70"/>
      <c r="U77" s="63"/>
      <c r="V77" s="70"/>
      <c r="W77" s="70"/>
      <c r="X77" s="70"/>
      <c r="Y77" s="70" t="s">
        <v>180</v>
      </c>
      <c r="Z77" s="70" t="s">
        <v>180</v>
      </c>
      <c r="AA77" s="70" t="s">
        <v>180</v>
      </c>
      <c r="AB77" s="71"/>
      <c r="AC77" s="71"/>
      <c r="AD77" s="71"/>
      <c r="AE77" s="71"/>
      <c r="AF77" s="71"/>
      <c r="AG77" s="71"/>
      <c r="AH77" s="71"/>
      <c r="AI77" s="71"/>
      <c r="AJ77" s="71"/>
      <c r="AK77" s="70"/>
      <c r="AL77" s="75"/>
      <c r="AM77" s="71"/>
      <c r="AN77" s="71"/>
      <c r="AO77" s="71"/>
      <c r="AP77" s="71"/>
      <c r="AQ77" s="71"/>
      <c r="AR77" s="71"/>
      <c r="AS77" s="71"/>
      <c r="AT77" s="71"/>
      <c r="AU77" s="71"/>
      <c r="AV77" s="71"/>
      <c r="AW77" s="71"/>
      <c r="AX77" s="71"/>
      <c r="AY77" s="71"/>
      <c r="AZ77" s="71"/>
      <c r="BA77" s="71"/>
      <c r="BB77" s="71"/>
      <c r="BC77" s="71"/>
      <c r="BD77" s="71"/>
      <c r="BE77" s="71"/>
      <c r="BF77" s="71"/>
      <c r="BG77" s="71"/>
      <c r="BH77" s="71"/>
      <c r="BI77" s="71"/>
      <c r="BJ77" s="71"/>
      <c r="BK77" s="71"/>
    </row>
    <row r="78" spans="1:63" ht="27" customHeight="1" x14ac:dyDescent="0.35">
      <c r="A78" s="70">
        <v>76</v>
      </c>
      <c r="B78" s="71" t="s">
        <v>33</v>
      </c>
      <c r="C78" s="71" t="s">
        <v>76</v>
      </c>
      <c r="D78" s="70" t="s">
        <v>77</v>
      </c>
      <c r="E78" s="70" t="s">
        <v>93</v>
      </c>
      <c r="F78" s="70" t="s">
        <v>92</v>
      </c>
      <c r="G78" s="70" t="s">
        <v>440</v>
      </c>
      <c r="H78" s="71"/>
      <c r="I78" s="70" t="s">
        <v>440</v>
      </c>
      <c r="J78" s="70"/>
      <c r="K78" s="70"/>
      <c r="L78" s="70"/>
      <c r="M78" s="63"/>
      <c r="N78" s="70"/>
      <c r="O78" s="63"/>
      <c r="P78" s="70"/>
      <c r="Q78" s="63"/>
      <c r="R78" s="70"/>
      <c r="S78" s="63"/>
      <c r="T78" s="70"/>
      <c r="U78" s="63"/>
      <c r="V78" s="70"/>
      <c r="W78" s="70"/>
      <c r="X78" s="70"/>
      <c r="Y78" s="70" t="s">
        <v>180</v>
      </c>
      <c r="Z78" s="70" t="s">
        <v>180</v>
      </c>
      <c r="AA78" s="70" t="s">
        <v>180</v>
      </c>
      <c r="AB78" s="71"/>
      <c r="AC78" s="71"/>
      <c r="AD78" s="71"/>
      <c r="AE78" s="71"/>
      <c r="AF78" s="71"/>
      <c r="AG78" s="71"/>
      <c r="AH78" s="71"/>
      <c r="AI78" s="71"/>
      <c r="AJ78" s="71"/>
      <c r="AK78" s="70"/>
      <c r="AL78" s="75"/>
      <c r="AM78" s="71"/>
      <c r="AN78" s="71"/>
      <c r="AO78" s="71"/>
      <c r="AP78" s="71"/>
      <c r="AQ78" s="71"/>
      <c r="AR78" s="71"/>
      <c r="AS78" s="71"/>
      <c r="AT78" s="71"/>
      <c r="AU78" s="71"/>
      <c r="AV78" s="71"/>
      <c r="AW78" s="71"/>
      <c r="AX78" s="71"/>
      <c r="AY78" s="71"/>
      <c r="AZ78" s="71"/>
      <c r="BA78" s="71"/>
      <c r="BB78" s="71"/>
      <c r="BC78" s="71"/>
      <c r="BD78" s="71"/>
      <c r="BE78" s="71"/>
      <c r="BF78" s="71"/>
      <c r="BG78" s="71"/>
      <c r="BH78" s="71"/>
      <c r="BI78" s="71"/>
      <c r="BJ78" s="71"/>
      <c r="BK78" s="71"/>
    </row>
    <row r="79" spans="1:63" ht="27" customHeight="1" x14ac:dyDescent="0.35">
      <c r="A79" s="70">
        <v>77</v>
      </c>
      <c r="B79" s="71" t="s">
        <v>44</v>
      </c>
      <c r="C79" s="71" t="s">
        <v>76</v>
      </c>
      <c r="D79" s="70" t="s">
        <v>107</v>
      </c>
      <c r="E79" s="70" t="s">
        <v>108</v>
      </c>
      <c r="F79" s="70" t="s">
        <v>92</v>
      </c>
      <c r="G79" s="70" t="s">
        <v>440</v>
      </c>
      <c r="H79" s="71"/>
      <c r="I79" s="70" t="s">
        <v>440</v>
      </c>
      <c r="J79" s="70"/>
      <c r="K79" s="70"/>
      <c r="L79" s="70"/>
      <c r="M79" s="63"/>
      <c r="N79" s="70"/>
      <c r="O79" s="63"/>
      <c r="P79" s="70"/>
      <c r="Q79" s="63"/>
      <c r="R79" s="70"/>
      <c r="S79" s="63"/>
      <c r="T79" s="70"/>
      <c r="U79" s="63"/>
      <c r="V79" s="70"/>
      <c r="W79" s="70"/>
      <c r="X79" s="70"/>
      <c r="Y79" s="70" t="s">
        <v>180</v>
      </c>
      <c r="Z79" s="70" t="s">
        <v>180</v>
      </c>
      <c r="AA79" s="70" t="s">
        <v>180</v>
      </c>
      <c r="AB79" s="71"/>
      <c r="AC79" s="71"/>
      <c r="AD79" s="71"/>
      <c r="AE79" s="71"/>
      <c r="AF79" s="71"/>
      <c r="AG79" s="71"/>
      <c r="AH79" s="71"/>
      <c r="AI79" s="71"/>
      <c r="AJ79" s="71"/>
      <c r="AK79" s="70"/>
      <c r="AL79" s="75"/>
      <c r="AM79" s="71"/>
      <c r="AN79" s="71"/>
      <c r="AO79" s="71"/>
      <c r="AP79" s="71"/>
      <c r="AQ79" s="71"/>
      <c r="AR79" s="71"/>
      <c r="AS79" s="71"/>
      <c r="AT79" s="71"/>
      <c r="AU79" s="71"/>
      <c r="AV79" s="71"/>
      <c r="AW79" s="71"/>
      <c r="AX79" s="71"/>
      <c r="AY79" s="71"/>
      <c r="AZ79" s="71"/>
      <c r="BA79" s="71"/>
      <c r="BB79" s="71"/>
      <c r="BC79" s="71"/>
      <c r="BD79" s="71"/>
      <c r="BE79" s="71"/>
      <c r="BF79" s="71"/>
      <c r="BG79" s="71"/>
      <c r="BH79" s="71"/>
      <c r="BI79" s="71"/>
      <c r="BJ79" s="71"/>
      <c r="BK79" s="71"/>
    </row>
    <row r="80" spans="1:63" ht="27" customHeight="1" x14ac:dyDescent="0.35">
      <c r="A80" s="70">
        <v>78</v>
      </c>
      <c r="B80" s="71" t="s">
        <v>145</v>
      </c>
      <c r="C80" s="71" t="s">
        <v>113</v>
      </c>
      <c r="D80" s="70" t="s">
        <v>146</v>
      </c>
      <c r="E80" s="70" t="s">
        <v>147</v>
      </c>
      <c r="F80" s="70" t="s">
        <v>92</v>
      </c>
      <c r="G80" s="70" t="s">
        <v>440</v>
      </c>
      <c r="H80" s="71"/>
      <c r="I80" s="70" t="s">
        <v>440</v>
      </c>
      <c r="J80" s="70"/>
      <c r="K80" s="70"/>
      <c r="L80" s="70"/>
      <c r="M80" s="63"/>
      <c r="N80" s="70"/>
      <c r="O80" s="63"/>
      <c r="P80" s="70"/>
      <c r="Q80" s="63"/>
      <c r="R80" s="70"/>
      <c r="S80" s="63"/>
      <c r="T80" s="70"/>
      <c r="U80" s="63"/>
      <c r="V80" s="70"/>
      <c r="W80" s="70"/>
      <c r="X80" s="70"/>
      <c r="Y80" s="70" t="s">
        <v>180</v>
      </c>
      <c r="Z80" s="70" t="s">
        <v>180</v>
      </c>
      <c r="AA80" s="70" t="s">
        <v>180</v>
      </c>
      <c r="AB80" s="71"/>
      <c r="AC80" s="71"/>
      <c r="AD80" s="71"/>
      <c r="AE80" s="71"/>
      <c r="AF80" s="71"/>
      <c r="AG80" s="71"/>
      <c r="AH80" s="71"/>
      <c r="AI80" s="71"/>
      <c r="AJ80" s="71"/>
      <c r="AK80" s="70"/>
      <c r="AL80" s="75"/>
      <c r="AM80" s="71"/>
      <c r="AN80" s="71"/>
      <c r="AO80" s="71"/>
      <c r="AP80" s="71"/>
      <c r="AQ80" s="71"/>
      <c r="AR80" s="71"/>
      <c r="AS80" s="71"/>
      <c r="AT80" s="71"/>
      <c r="AU80" s="71"/>
      <c r="AV80" s="71"/>
      <c r="AW80" s="71"/>
      <c r="AX80" s="71"/>
      <c r="AY80" s="71"/>
      <c r="AZ80" s="71"/>
      <c r="BA80" s="71"/>
      <c r="BB80" s="71"/>
      <c r="BC80" s="71"/>
      <c r="BD80" s="71"/>
      <c r="BE80" s="71"/>
      <c r="BF80" s="71"/>
      <c r="BG80" s="71"/>
      <c r="BH80" s="71"/>
      <c r="BI80" s="71"/>
      <c r="BJ80" s="71"/>
      <c r="BK80" s="71"/>
    </row>
    <row r="81" spans="1:63" ht="27" customHeight="1" x14ac:dyDescent="0.35">
      <c r="A81" s="70">
        <v>79</v>
      </c>
      <c r="B81" s="71" t="s">
        <v>193</v>
      </c>
      <c r="C81" s="71" t="s">
        <v>68</v>
      </c>
      <c r="D81" s="70" t="s">
        <v>100</v>
      </c>
      <c r="E81" s="70" t="s">
        <v>194</v>
      </c>
      <c r="F81" s="70" t="s">
        <v>92</v>
      </c>
      <c r="G81" s="70" t="s">
        <v>440</v>
      </c>
      <c r="H81" s="71"/>
      <c r="I81" s="70" t="s">
        <v>440</v>
      </c>
      <c r="J81" s="70"/>
      <c r="K81" s="70"/>
      <c r="L81" s="70"/>
      <c r="M81" s="63"/>
      <c r="N81" s="70"/>
      <c r="O81" s="63"/>
      <c r="P81" s="70"/>
      <c r="Q81" s="63"/>
      <c r="R81" s="70"/>
      <c r="S81" s="63"/>
      <c r="T81" s="70"/>
      <c r="U81" s="63"/>
      <c r="V81" s="70"/>
      <c r="W81" s="70"/>
      <c r="X81" s="70"/>
      <c r="Y81" s="70" t="s">
        <v>180</v>
      </c>
      <c r="Z81" s="70" t="s">
        <v>180</v>
      </c>
      <c r="AA81" s="70" t="s">
        <v>180</v>
      </c>
      <c r="AB81" s="71"/>
      <c r="AC81" s="71"/>
      <c r="AD81" s="71"/>
      <c r="AE81" s="71"/>
      <c r="AF81" s="71"/>
      <c r="AG81" s="71"/>
      <c r="AH81" s="71"/>
      <c r="AI81" s="71"/>
      <c r="AJ81" s="71"/>
      <c r="AK81" s="70"/>
      <c r="AL81" s="75"/>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71"/>
    </row>
    <row r="82" spans="1:63" ht="27" customHeight="1" x14ac:dyDescent="0.35">
      <c r="A82" s="70">
        <v>80</v>
      </c>
      <c r="B82" s="71" t="s">
        <v>143</v>
      </c>
      <c r="C82" s="71" t="s">
        <v>76</v>
      </c>
      <c r="D82" s="70" t="s">
        <v>76</v>
      </c>
      <c r="E82" s="70" t="s">
        <v>144</v>
      </c>
      <c r="F82" s="70" t="s">
        <v>92</v>
      </c>
      <c r="G82" s="70" t="s">
        <v>440</v>
      </c>
      <c r="H82" s="71"/>
      <c r="I82" s="70" t="s">
        <v>440</v>
      </c>
      <c r="J82" s="70"/>
      <c r="K82" s="70"/>
      <c r="L82" s="70"/>
      <c r="M82" s="63"/>
      <c r="N82" s="70"/>
      <c r="O82" s="63"/>
      <c r="P82" s="70"/>
      <c r="Q82" s="63"/>
      <c r="R82" s="70"/>
      <c r="S82" s="63"/>
      <c r="T82" s="70"/>
      <c r="U82" s="63"/>
      <c r="V82" s="70"/>
      <c r="W82" s="70"/>
      <c r="X82" s="70"/>
      <c r="Y82" s="70" t="s">
        <v>180</v>
      </c>
      <c r="Z82" s="70" t="s">
        <v>180</v>
      </c>
      <c r="AA82" s="70" t="s">
        <v>180</v>
      </c>
      <c r="AB82" s="71"/>
      <c r="AC82" s="71"/>
      <c r="AD82" s="71"/>
      <c r="AE82" s="71"/>
      <c r="AF82" s="71"/>
      <c r="AG82" s="71"/>
      <c r="AH82" s="71"/>
      <c r="AI82" s="71"/>
      <c r="AJ82" s="71"/>
      <c r="AK82" s="70"/>
      <c r="AL82" s="75"/>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71"/>
    </row>
    <row r="83" spans="1:63" ht="27" customHeight="1" x14ac:dyDescent="0.35">
      <c r="A83" s="70">
        <v>81</v>
      </c>
      <c r="B83" s="71" t="s">
        <v>165</v>
      </c>
      <c r="C83" s="71" t="s">
        <v>76</v>
      </c>
      <c r="D83" s="70" t="s">
        <v>76</v>
      </c>
      <c r="E83" s="70" t="s">
        <v>166</v>
      </c>
      <c r="F83" s="70" t="s">
        <v>92</v>
      </c>
      <c r="G83" s="70" t="s">
        <v>440</v>
      </c>
      <c r="H83" s="71"/>
      <c r="I83" s="70" t="s">
        <v>440</v>
      </c>
      <c r="J83" s="70"/>
      <c r="K83" s="70"/>
      <c r="L83" s="70"/>
      <c r="M83" s="63"/>
      <c r="N83" s="70"/>
      <c r="O83" s="63"/>
      <c r="P83" s="70"/>
      <c r="Q83" s="63"/>
      <c r="R83" s="70"/>
      <c r="S83" s="63"/>
      <c r="T83" s="70"/>
      <c r="U83" s="63"/>
      <c r="V83" s="70"/>
      <c r="W83" s="70"/>
      <c r="X83" s="70"/>
      <c r="Y83" s="70" t="s">
        <v>180</v>
      </c>
      <c r="Z83" s="70" t="s">
        <v>180</v>
      </c>
      <c r="AA83" s="70" t="s">
        <v>180</v>
      </c>
      <c r="AB83" s="71"/>
      <c r="AC83" s="71"/>
      <c r="AD83" s="71"/>
      <c r="AE83" s="71"/>
      <c r="AF83" s="71"/>
      <c r="AG83" s="71"/>
      <c r="AH83" s="71"/>
      <c r="AI83" s="71"/>
      <c r="AJ83" s="71"/>
      <c r="AK83" s="70"/>
      <c r="AL83" s="75"/>
      <c r="AM83" s="71"/>
      <c r="AN83" s="71"/>
      <c r="AO83" s="71"/>
      <c r="AP83" s="71"/>
      <c r="AQ83" s="71"/>
      <c r="AR83" s="71"/>
      <c r="AS83" s="71"/>
      <c r="AT83" s="71"/>
      <c r="AU83" s="71"/>
      <c r="AV83" s="71"/>
      <c r="AW83" s="71"/>
      <c r="AX83" s="71"/>
      <c r="AY83" s="71"/>
      <c r="AZ83" s="71"/>
      <c r="BA83" s="71"/>
      <c r="BB83" s="71"/>
      <c r="BC83" s="71"/>
      <c r="BD83" s="71"/>
      <c r="BE83" s="71"/>
      <c r="BF83" s="71"/>
      <c r="BG83" s="71"/>
      <c r="BH83" s="71"/>
      <c r="BI83" s="71"/>
      <c r="BJ83" s="71"/>
      <c r="BK83" s="71"/>
    </row>
    <row r="84" spans="1:63" ht="27" customHeight="1" x14ac:dyDescent="0.35">
      <c r="A84" s="70">
        <v>82</v>
      </c>
      <c r="B84" s="71" t="s">
        <v>184</v>
      </c>
      <c r="C84" s="71" t="s">
        <v>94</v>
      </c>
      <c r="D84" s="70" t="s">
        <v>152</v>
      </c>
      <c r="E84" s="70" t="s">
        <v>185</v>
      </c>
      <c r="F84" s="70" t="s">
        <v>92</v>
      </c>
      <c r="G84" s="70" t="s">
        <v>440</v>
      </c>
      <c r="H84" s="71"/>
      <c r="I84" s="70" t="s">
        <v>440</v>
      </c>
      <c r="J84" s="70"/>
      <c r="K84" s="70"/>
      <c r="L84" s="70"/>
      <c r="M84" s="63"/>
      <c r="N84" s="70"/>
      <c r="O84" s="63"/>
      <c r="P84" s="70"/>
      <c r="Q84" s="63"/>
      <c r="R84" s="70"/>
      <c r="S84" s="63"/>
      <c r="T84" s="70"/>
      <c r="U84" s="63"/>
      <c r="V84" s="70"/>
      <c r="W84" s="70"/>
      <c r="X84" s="70"/>
      <c r="Y84" s="70" t="s">
        <v>180</v>
      </c>
      <c r="Z84" s="70" t="s">
        <v>180</v>
      </c>
      <c r="AA84" s="70" t="s">
        <v>180</v>
      </c>
      <c r="AB84" s="71"/>
      <c r="AC84" s="71"/>
      <c r="AD84" s="71"/>
      <c r="AE84" s="71"/>
      <c r="AF84" s="71"/>
      <c r="AG84" s="71"/>
      <c r="AH84" s="71"/>
      <c r="AI84" s="71"/>
      <c r="AJ84" s="71"/>
      <c r="AK84" s="70"/>
      <c r="AL84" s="75"/>
      <c r="AM84" s="71"/>
      <c r="AN84" s="71"/>
      <c r="AO84" s="71"/>
      <c r="AP84" s="71"/>
      <c r="AQ84" s="71"/>
      <c r="AR84" s="71"/>
      <c r="AS84" s="71"/>
      <c r="AT84" s="71"/>
      <c r="AU84" s="71"/>
      <c r="AV84" s="71"/>
      <c r="AW84" s="71"/>
      <c r="AX84" s="71"/>
      <c r="AY84" s="71"/>
      <c r="AZ84" s="71"/>
      <c r="BA84" s="71"/>
      <c r="BB84" s="71"/>
      <c r="BC84" s="71"/>
      <c r="BD84" s="71"/>
      <c r="BE84" s="71"/>
      <c r="BF84" s="71"/>
      <c r="BG84" s="71"/>
      <c r="BH84" s="71"/>
      <c r="BI84" s="71"/>
      <c r="BJ84" s="71"/>
      <c r="BK84" s="71"/>
    </row>
    <row r="85" spans="1:63" ht="27" customHeight="1" x14ac:dyDescent="0.35">
      <c r="A85" s="70">
        <v>83</v>
      </c>
      <c r="B85" s="71" t="s">
        <v>51</v>
      </c>
      <c r="C85" s="71" t="s">
        <v>76</v>
      </c>
      <c r="D85" s="70" t="s">
        <v>77</v>
      </c>
      <c r="E85" s="70" t="s">
        <v>93</v>
      </c>
      <c r="F85" s="70" t="s">
        <v>92</v>
      </c>
      <c r="G85" s="70" t="s">
        <v>440</v>
      </c>
      <c r="H85" s="71"/>
      <c r="I85" s="70" t="s">
        <v>440</v>
      </c>
      <c r="J85" s="70"/>
      <c r="K85" s="70"/>
      <c r="L85" s="70"/>
      <c r="M85" s="63"/>
      <c r="N85" s="70"/>
      <c r="O85" s="63"/>
      <c r="P85" s="70"/>
      <c r="Q85" s="63"/>
      <c r="R85" s="70"/>
      <c r="S85" s="63"/>
      <c r="T85" s="70"/>
      <c r="U85" s="63"/>
      <c r="V85" s="70"/>
      <c r="W85" s="70"/>
      <c r="X85" s="70"/>
      <c r="Y85" s="70" t="s">
        <v>180</v>
      </c>
      <c r="Z85" s="70" t="s">
        <v>180</v>
      </c>
      <c r="AA85" s="70" t="s">
        <v>180</v>
      </c>
      <c r="AB85" s="71"/>
      <c r="AC85" s="71"/>
      <c r="AD85" s="71"/>
      <c r="AE85" s="71"/>
      <c r="AF85" s="71"/>
      <c r="AG85" s="71"/>
      <c r="AH85" s="71"/>
      <c r="AI85" s="71"/>
      <c r="AJ85" s="71"/>
      <c r="AK85" s="70"/>
      <c r="AL85" s="75"/>
      <c r="AM85" s="71"/>
      <c r="AN85" s="71"/>
      <c r="AO85" s="71"/>
      <c r="AP85" s="71"/>
      <c r="AQ85" s="71"/>
      <c r="AR85" s="71"/>
      <c r="AS85" s="71"/>
      <c r="AT85" s="71"/>
      <c r="AU85" s="71"/>
      <c r="AV85" s="71"/>
      <c r="AW85" s="71"/>
      <c r="AX85" s="71"/>
      <c r="AY85" s="71"/>
      <c r="AZ85" s="71"/>
      <c r="BA85" s="71"/>
      <c r="BB85" s="71"/>
      <c r="BC85" s="71"/>
      <c r="BD85" s="71"/>
      <c r="BE85" s="71"/>
      <c r="BF85" s="71"/>
      <c r="BG85" s="71"/>
      <c r="BH85" s="71"/>
      <c r="BI85" s="71"/>
      <c r="BJ85" s="71"/>
      <c r="BK85" s="71"/>
    </row>
    <row r="86" spans="1:63" ht="27" customHeight="1" x14ac:dyDescent="0.35">
      <c r="A86" s="70">
        <v>84</v>
      </c>
      <c r="B86" s="71" t="s">
        <v>142</v>
      </c>
      <c r="C86" s="71" t="s">
        <v>76</v>
      </c>
      <c r="D86" s="70" t="s">
        <v>76</v>
      </c>
      <c r="E86" s="70" t="s">
        <v>87</v>
      </c>
      <c r="F86" s="70" t="s">
        <v>92</v>
      </c>
      <c r="G86" s="70" t="s">
        <v>440</v>
      </c>
      <c r="H86" s="71"/>
      <c r="I86" s="70" t="s">
        <v>440</v>
      </c>
      <c r="J86" s="70"/>
      <c r="K86" s="70"/>
      <c r="L86" s="70"/>
      <c r="M86" s="63"/>
      <c r="N86" s="70"/>
      <c r="O86" s="63"/>
      <c r="P86" s="70"/>
      <c r="Q86" s="63"/>
      <c r="R86" s="70"/>
      <c r="S86" s="63"/>
      <c r="T86" s="70"/>
      <c r="U86" s="63"/>
      <c r="V86" s="70"/>
      <c r="W86" s="70"/>
      <c r="X86" s="70"/>
      <c r="Y86" s="70" t="s">
        <v>180</v>
      </c>
      <c r="Z86" s="70" t="s">
        <v>180</v>
      </c>
      <c r="AA86" s="70" t="s">
        <v>180</v>
      </c>
      <c r="AB86" s="71"/>
      <c r="AC86" s="71"/>
      <c r="AD86" s="71"/>
      <c r="AE86" s="71"/>
      <c r="AF86" s="71"/>
      <c r="AG86" s="71"/>
      <c r="AH86" s="71"/>
      <c r="AI86" s="71"/>
      <c r="AJ86" s="71"/>
      <c r="AK86" s="70"/>
      <c r="AL86" s="75"/>
      <c r="AM86" s="71"/>
      <c r="AN86" s="71"/>
      <c r="AO86" s="71"/>
      <c r="AP86" s="71"/>
      <c r="AQ86" s="71"/>
      <c r="AR86" s="71"/>
      <c r="AS86" s="71"/>
      <c r="AT86" s="71"/>
      <c r="AU86" s="71"/>
      <c r="AV86" s="71"/>
      <c r="AW86" s="71"/>
      <c r="AX86" s="71"/>
      <c r="AY86" s="71"/>
      <c r="AZ86" s="71"/>
      <c r="BA86" s="71"/>
      <c r="BB86" s="71"/>
      <c r="BC86" s="71"/>
      <c r="BD86" s="71"/>
      <c r="BE86" s="71"/>
      <c r="BF86" s="71"/>
      <c r="BG86" s="71"/>
      <c r="BH86" s="71"/>
      <c r="BI86" s="71"/>
      <c r="BJ86" s="71"/>
      <c r="BK86" s="71"/>
    </row>
    <row r="87" spans="1:63" ht="27" customHeight="1" x14ac:dyDescent="0.35">
      <c r="A87" s="70">
        <v>85</v>
      </c>
      <c r="B87" s="71" t="s">
        <v>34</v>
      </c>
      <c r="C87" s="71" t="s">
        <v>76</v>
      </c>
      <c r="D87" s="70" t="s">
        <v>76</v>
      </c>
      <c r="E87" s="70" t="s">
        <v>87</v>
      </c>
      <c r="F87" s="70" t="s">
        <v>92</v>
      </c>
      <c r="G87" s="70" t="s">
        <v>440</v>
      </c>
      <c r="H87" s="71"/>
      <c r="I87" s="70" t="s">
        <v>440</v>
      </c>
      <c r="J87" s="70"/>
      <c r="K87" s="70"/>
      <c r="L87" s="70"/>
      <c r="M87" s="63"/>
      <c r="N87" s="70"/>
      <c r="O87" s="63"/>
      <c r="P87" s="70"/>
      <c r="Q87" s="63"/>
      <c r="R87" s="70"/>
      <c r="S87" s="63"/>
      <c r="T87" s="70"/>
      <c r="U87" s="63"/>
      <c r="V87" s="70"/>
      <c r="W87" s="70"/>
      <c r="X87" s="70"/>
      <c r="Y87" s="70" t="s">
        <v>180</v>
      </c>
      <c r="Z87" s="70" t="s">
        <v>180</v>
      </c>
      <c r="AA87" s="70" t="s">
        <v>180</v>
      </c>
      <c r="AB87" s="71"/>
      <c r="AC87" s="71"/>
      <c r="AD87" s="71"/>
      <c r="AE87" s="71"/>
      <c r="AF87" s="71"/>
      <c r="AG87" s="71"/>
      <c r="AH87" s="71"/>
      <c r="AI87" s="71"/>
      <c r="AJ87" s="71"/>
      <c r="AK87" s="70"/>
      <c r="AL87" s="75"/>
      <c r="AM87" s="71"/>
      <c r="AN87" s="71"/>
      <c r="AO87" s="71"/>
      <c r="AP87" s="71"/>
      <c r="AQ87" s="71"/>
      <c r="AR87" s="71"/>
      <c r="AS87" s="71"/>
      <c r="AT87" s="71"/>
      <c r="AU87" s="71"/>
      <c r="AV87" s="71"/>
      <c r="AW87" s="71"/>
      <c r="AX87" s="71"/>
      <c r="AY87" s="71"/>
      <c r="AZ87" s="71"/>
      <c r="BA87" s="71"/>
      <c r="BB87" s="71"/>
      <c r="BC87" s="71"/>
      <c r="BD87" s="71"/>
      <c r="BE87" s="71"/>
      <c r="BF87" s="71"/>
      <c r="BG87" s="71"/>
      <c r="BH87" s="71"/>
      <c r="BI87" s="71"/>
      <c r="BJ87" s="71"/>
      <c r="BK87" s="71"/>
    </row>
    <row r="88" spans="1:63" ht="27" customHeight="1" x14ac:dyDescent="0.35">
      <c r="A88" s="70">
        <v>86</v>
      </c>
      <c r="B88" s="71" t="s">
        <v>38</v>
      </c>
      <c r="C88" s="71" t="s">
        <v>76</v>
      </c>
      <c r="D88" s="70" t="s">
        <v>77</v>
      </c>
      <c r="E88" s="70" t="s">
        <v>99</v>
      </c>
      <c r="F88" s="70" t="s">
        <v>92</v>
      </c>
      <c r="G88" s="70" t="s">
        <v>440</v>
      </c>
      <c r="H88" s="71"/>
      <c r="I88" s="70" t="s">
        <v>440</v>
      </c>
      <c r="J88" s="70"/>
      <c r="K88" s="70"/>
      <c r="L88" s="70"/>
      <c r="M88" s="63"/>
      <c r="N88" s="70"/>
      <c r="O88" s="63"/>
      <c r="P88" s="70"/>
      <c r="Q88" s="63"/>
      <c r="R88" s="70"/>
      <c r="S88" s="63"/>
      <c r="T88" s="70"/>
      <c r="U88" s="63"/>
      <c r="V88" s="70"/>
      <c r="W88" s="70"/>
      <c r="X88" s="70"/>
      <c r="Y88" s="70" t="s">
        <v>180</v>
      </c>
      <c r="Z88" s="70" t="s">
        <v>180</v>
      </c>
      <c r="AA88" s="70" t="s">
        <v>180</v>
      </c>
      <c r="AB88" s="71"/>
      <c r="AC88" s="71"/>
      <c r="AD88" s="71"/>
      <c r="AE88" s="71"/>
      <c r="AF88" s="71"/>
      <c r="AG88" s="71"/>
      <c r="AH88" s="71"/>
      <c r="AI88" s="71"/>
      <c r="AJ88" s="71"/>
      <c r="AK88" s="70"/>
      <c r="AL88" s="75"/>
      <c r="AM88" s="71"/>
      <c r="AN88" s="71"/>
      <c r="AO88" s="71"/>
      <c r="AP88" s="71"/>
      <c r="AQ88" s="71"/>
      <c r="AR88" s="71"/>
      <c r="AS88" s="71"/>
      <c r="AT88" s="71"/>
      <c r="AU88" s="71"/>
      <c r="AV88" s="71"/>
      <c r="AW88" s="71"/>
      <c r="AX88" s="71"/>
      <c r="AY88" s="71"/>
      <c r="AZ88" s="71"/>
      <c r="BA88" s="71"/>
      <c r="BB88" s="71"/>
      <c r="BC88" s="71"/>
      <c r="BD88" s="71"/>
      <c r="BE88" s="71"/>
      <c r="BF88" s="71"/>
      <c r="BG88" s="71"/>
      <c r="BH88" s="71"/>
      <c r="BI88" s="71"/>
      <c r="BJ88" s="71"/>
      <c r="BK88" s="71"/>
    </row>
    <row r="89" spans="1:63" ht="27" customHeight="1" x14ac:dyDescent="0.35">
      <c r="A89" s="70">
        <v>87</v>
      </c>
      <c r="B89" s="71" t="s">
        <v>48</v>
      </c>
      <c r="C89" s="71" t="s">
        <v>76</v>
      </c>
      <c r="D89" s="70" t="s">
        <v>76</v>
      </c>
      <c r="E89" s="70" t="s">
        <v>112</v>
      </c>
      <c r="F89" s="70" t="s">
        <v>92</v>
      </c>
      <c r="G89" s="70" t="s">
        <v>440</v>
      </c>
      <c r="H89" s="71"/>
      <c r="I89" s="70" t="s">
        <v>440</v>
      </c>
      <c r="J89" s="70"/>
      <c r="K89" s="70"/>
      <c r="L89" s="70"/>
      <c r="M89" s="63"/>
      <c r="N89" s="70"/>
      <c r="O89" s="63"/>
      <c r="P89" s="70"/>
      <c r="Q89" s="63"/>
      <c r="R89" s="70"/>
      <c r="S89" s="63"/>
      <c r="T89" s="70"/>
      <c r="U89" s="63"/>
      <c r="V89" s="70"/>
      <c r="W89" s="70"/>
      <c r="X89" s="70"/>
      <c r="Y89" s="70" t="s">
        <v>180</v>
      </c>
      <c r="Z89" s="70" t="s">
        <v>180</v>
      </c>
      <c r="AA89" s="70" t="s">
        <v>180</v>
      </c>
      <c r="AB89" s="71"/>
      <c r="AC89" s="71"/>
      <c r="AD89" s="71"/>
      <c r="AE89" s="71"/>
      <c r="AF89" s="71"/>
      <c r="AG89" s="71"/>
      <c r="AH89" s="71"/>
      <c r="AI89" s="71"/>
      <c r="AJ89" s="71"/>
      <c r="AK89" s="70"/>
      <c r="AL89" s="75"/>
      <c r="AM89" s="71"/>
      <c r="AN89" s="71"/>
      <c r="AO89" s="71"/>
      <c r="AP89" s="71"/>
      <c r="AQ89" s="71"/>
      <c r="AR89" s="71"/>
      <c r="AS89" s="71"/>
      <c r="AT89" s="71"/>
      <c r="AU89" s="71"/>
      <c r="AV89" s="71"/>
      <c r="AW89" s="71"/>
      <c r="AX89" s="71"/>
      <c r="AY89" s="71"/>
      <c r="AZ89" s="71"/>
      <c r="BA89" s="71"/>
      <c r="BB89" s="71"/>
      <c r="BC89" s="71"/>
      <c r="BD89" s="71"/>
      <c r="BE89" s="71"/>
      <c r="BF89" s="71"/>
      <c r="BG89" s="71"/>
      <c r="BH89" s="71"/>
      <c r="BI89" s="71"/>
      <c r="BJ89" s="71"/>
      <c r="BK89" s="71"/>
    </row>
    <row r="90" spans="1:63" ht="27" customHeight="1" x14ac:dyDescent="0.35">
      <c r="A90" s="70">
        <v>88</v>
      </c>
      <c r="B90" s="71" t="s">
        <v>161</v>
      </c>
      <c r="C90" s="71" t="s">
        <v>104</v>
      </c>
      <c r="D90" s="70" t="s">
        <v>104</v>
      </c>
      <c r="E90" s="70" t="s">
        <v>110</v>
      </c>
      <c r="F90" s="70" t="s">
        <v>92</v>
      </c>
      <c r="G90" s="70" t="s">
        <v>440</v>
      </c>
      <c r="H90" s="71"/>
      <c r="I90" s="70" t="s">
        <v>440</v>
      </c>
      <c r="J90" s="70"/>
      <c r="K90" s="70"/>
      <c r="L90" s="70"/>
      <c r="M90" s="63"/>
      <c r="N90" s="70"/>
      <c r="O90" s="63"/>
      <c r="P90" s="70"/>
      <c r="Q90" s="63"/>
      <c r="R90" s="70"/>
      <c r="S90" s="63"/>
      <c r="T90" s="70"/>
      <c r="U90" s="63"/>
      <c r="V90" s="70"/>
      <c r="W90" s="70"/>
      <c r="X90" s="70"/>
      <c r="Y90" s="70" t="s">
        <v>180</v>
      </c>
      <c r="Z90" s="70" t="s">
        <v>180</v>
      </c>
      <c r="AA90" s="70" t="s">
        <v>180</v>
      </c>
      <c r="AB90" s="71"/>
      <c r="AC90" s="71"/>
      <c r="AD90" s="71"/>
      <c r="AE90" s="71"/>
      <c r="AF90" s="71"/>
      <c r="AG90" s="71"/>
      <c r="AH90" s="71"/>
      <c r="AI90" s="71"/>
      <c r="AJ90" s="71"/>
      <c r="AK90" s="70"/>
      <c r="AL90" s="75"/>
      <c r="AM90" s="71"/>
      <c r="AN90" s="71"/>
      <c r="AO90" s="71"/>
      <c r="AP90" s="71"/>
      <c r="AQ90" s="71"/>
      <c r="AR90" s="71"/>
      <c r="AS90" s="71"/>
      <c r="AT90" s="71"/>
      <c r="AU90" s="71"/>
      <c r="AV90" s="71"/>
      <c r="AW90" s="71"/>
      <c r="AX90" s="71"/>
      <c r="AY90" s="71"/>
      <c r="AZ90" s="71"/>
      <c r="BA90" s="71"/>
      <c r="BB90" s="71"/>
      <c r="BC90" s="71"/>
      <c r="BD90" s="71"/>
      <c r="BE90" s="71"/>
      <c r="BF90" s="71"/>
      <c r="BG90" s="71"/>
      <c r="BH90" s="71"/>
      <c r="BI90" s="71"/>
      <c r="BJ90" s="71"/>
      <c r="BK90" s="71"/>
    </row>
    <row r="91" spans="1:63" ht="27" customHeight="1" x14ac:dyDescent="0.35">
      <c r="A91" s="70">
        <v>89</v>
      </c>
      <c r="B91" s="71" t="s">
        <v>32</v>
      </c>
      <c r="C91" s="71" t="s">
        <v>68</v>
      </c>
      <c r="D91" s="70" t="s">
        <v>68</v>
      </c>
      <c r="E91" s="70" t="s">
        <v>81</v>
      </c>
      <c r="F91" s="70" t="s">
        <v>92</v>
      </c>
      <c r="G91" s="70" t="s">
        <v>440</v>
      </c>
      <c r="H91" s="71"/>
      <c r="I91" s="70" t="s">
        <v>440</v>
      </c>
      <c r="J91" s="70"/>
      <c r="K91" s="70"/>
      <c r="L91" s="70"/>
      <c r="M91" s="63"/>
      <c r="N91" s="70"/>
      <c r="O91" s="63"/>
      <c r="P91" s="70"/>
      <c r="Q91" s="63"/>
      <c r="R91" s="70"/>
      <c r="S91" s="63"/>
      <c r="T91" s="70"/>
      <c r="U91" s="63"/>
      <c r="V91" s="70"/>
      <c r="W91" s="70"/>
      <c r="X91" s="70"/>
      <c r="Y91" s="70" t="s">
        <v>180</v>
      </c>
      <c r="Z91" s="70" t="s">
        <v>180</v>
      </c>
      <c r="AA91" s="70" t="s">
        <v>180</v>
      </c>
      <c r="AB91" s="71"/>
      <c r="AC91" s="71"/>
      <c r="AD91" s="71"/>
      <c r="AE91" s="71"/>
      <c r="AF91" s="71"/>
      <c r="AG91" s="71"/>
      <c r="AH91" s="71"/>
      <c r="AI91" s="71"/>
      <c r="AJ91" s="71"/>
      <c r="AK91" s="70"/>
      <c r="AL91" s="75"/>
      <c r="AM91" s="71"/>
      <c r="AN91" s="71"/>
      <c r="AO91" s="71"/>
      <c r="AP91" s="71"/>
      <c r="AQ91" s="71"/>
      <c r="AR91" s="71"/>
      <c r="AS91" s="71"/>
      <c r="AT91" s="71"/>
      <c r="AU91" s="71"/>
      <c r="AV91" s="71"/>
      <c r="AW91" s="71"/>
      <c r="AX91" s="71"/>
      <c r="AY91" s="71"/>
      <c r="AZ91" s="71"/>
      <c r="BA91" s="71"/>
      <c r="BB91" s="71"/>
      <c r="BC91" s="71"/>
      <c r="BD91" s="71"/>
      <c r="BE91" s="71"/>
      <c r="BF91" s="71"/>
      <c r="BG91" s="71"/>
      <c r="BH91" s="71"/>
      <c r="BI91" s="71"/>
      <c r="BJ91" s="71"/>
      <c r="BK91" s="71"/>
    </row>
    <row r="92" spans="1:63" ht="27" customHeight="1" x14ac:dyDescent="0.35">
      <c r="A92" s="70">
        <v>90</v>
      </c>
      <c r="B92" s="71" t="s">
        <v>192</v>
      </c>
      <c r="C92" s="71" t="s">
        <v>76</v>
      </c>
      <c r="D92" s="70" t="s">
        <v>117</v>
      </c>
      <c r="E92" s="70" t="s">
        <v>118</v>
      </c>
      <c r="F92" s="70" t="s">
        <v>92</v>
      </c>
      <c r="G92" s="70" t="s">
        <v>440</v>
      </c>
      <c r="H92" s="71"/>
      <c r="I92" s="70" t="s">
        <v>440</v>
      </c>
      <c r="J92" s="70"/>
      <c r="K92" s="70"/>
      <c r="L92" s="70"/>
      <c r="M92" s="63"/>
      <c r="N92" s="70"/>
      <c r="O92" s="63"/>
      <c r="P92" s="70"/>
      <c r="Q92" s="63"/>
      <c r="R92" s="70"/>
      <c r="S92" s="63"/>
      <c r="T92" s="70"/>
      <c r="U92" s="63"/>
      <c r="V92" s="70"/>
      <c r="W92" s="70"/>
      <c r="X92" s="70"/>
      <c r="Y92" s="70" t="s">
        <v>180</v>
      </c>
      <c r="Z92" s="70" t="s">
        <v>180</v>
      </c>
      <c r="AA92" s="70" t="s">
        <v>180</v>
      </c>
      <c r="AB92" s="71"/>
      <c r="AC92" s="71"/>
      <c r="AD92" s="71"/>
      <c r="AE92" s="71"/>
      <c r="AF92" s="71"/>
      <c r="AG92" s="71"/>
      <c r="AH92" s="71"/>
      <c r="AI92" s="71"/>
      <c r="AJ92" s="71"/>
      <c r="AK92" s="70"/>
      <c r="AL92" s="75"/>
      <c r="AM92" s="71"/>
      <c r="AN92" s="71"/>
      <c r="AO92" s="71"/>
      <c r="AP92" s="71"/>
      <c r="AQ92" s="71"/>
      <c r="AR92" s="71"/>
      <c r="AS92" s="71"/>
      <c r="AT92" s="71"/>
      <c r="AU92" s="71"/>
      <c r="AV92" s="71"/>
      <c r="AW92" s="71"/>
      <c r="AX92" s="71"/>
      <c r="AY92" s="71"/>
      <c r="AZ92" s="71"/>
      <c r="BA92" s="71"/>
      <c r="BB92" s="71"/>
      <c r="BC92" s="71"/>
      <c r="BD92" s="71"/>
      <c r="BE92" s="71"/>
      <c r="BF92" s="71"/>
      <c r="BG92" s="71"/>
      <c r="BH92" s="71"/>
      <c r="BI92" s="71"/>
      <c r="BJ92" s="71"/>
      <c r="BK92" s="71"/>
    </row>
    <row r="93" spans="1:63" ht="27" customHeight="1" x14ac:dyDescent="0.35">
      <c r="A93" s="70">
        <v>91</v>
      </c>
      <c r="B93" s="71" t="s">
        <v>188</v>
      </c>
      <c r="C93" s="71" t="s">
        <v>76</v>
      </c>
      <c r="D93" s="70" t="s">
        <v>189</v>
      </c>
      <c r="E93" s="70" t="s">
        <v>190</v>
      </c>
      <c r="F93" s="70" t="s">
        <v>92</v>
      </c>
      <c r="G93" s="70" t="s">
        <v>440</v>
      </c>
      <c r="H93" s="71"/>
      <c r="I93" s="70" t="s">
        <v>440</v>
      </c>
      <c r="J93" s="70"/>
      <c r="K93" s="70"/>
      <c r="L93" s="70"/>
      <c r="M93" s="63"/>
      <c r="N93" s="70"/>
      <c r="O93" s="63"/>
      <c r="P93" s="70"/>
      <c r="Q93" s="63"/>
      <c r="R93" s="70"/>
      <c r="S93" s="63"/>
      <c r="T93" s="70"/>
      <c r="U93" s="63"/>
      <c r="V93" s="70"/>
      <c r="W93" s="70"/>
      <c r="X93" s="70"/>
      <c r="Y93" s="70" t="s">
        <v>180</v>
      </c>
      <c r="Z93" s="70" t="s">
        <v>180</v>
      </c>
      <c r="AA93" s="70" t="s">
        <v>180</v>
      </c>
      <c r="AB93" s="71"/>
      <c r="AC93" s="71"/>
      <c r="AD93" s="71"/>
      <c r="AE93" s="71"/>
      <c r="AF93" s="71"/>
      <c r="AG93" s="71"/>
      <c r="AH93" s="71"/>
      <c r="AI93" s="71"/>
      <c r="AJ93" s="71"/>
      <c r="AK93" s="70"/>
      <c r="AL93" s="75"/>
      <c r="AM93" s="71"/>
      <c r="AN93" s="71"/>
      <c r="AO93" s="71"/>
      <c r="AP93" s="71"/>
      <c r="AQ93" s="71"/>
      <c r="AR93" s="71"/>
      <c r="AS93" s="71"/>
      <c r="AT93" s="71"/>
      <c r="AU93" s="71"/>
      <c r="AV93" s="71"/>
      <c r="AW93" s="71"/>
      <c r="AX93" s="71"/>
      <c r="AY93" s="71"/>
      <c r="AZ93" s="71"/>
      <c r="BA93" s="71"/>
      <c r="BB93" s="71"/>
      <c r="BC93" s="71"/>
      <c r="BD93" s="71"/>
      <c r="BE93" s="71"/>
      <c r="BF93" s="71"/>
      <c r="BG93" s="71"/>
      <c r="BH93" s="71"/>
      <c r="BI93" s="71"/>
      <c r="BJ93" s="71"/>
      <c r="BK93" s="71"/>
    </row>
    <row r="94" spans="1:63" ht="27" customHeight="1" x14ac:dyDescent="0.35">
      <c r="A94" s="70">
        <v>92</v>
      </c>
      <c r="B94" s="71" t="s">
        <v>46</v>
      </c>
      <c r="C94" s="71" t="s">
        <v>104</v>
      </c>
      <c r="D94" s="70" t="s">
        <v>104</v>
      </c>
      <c r="E94" s="70" t="s">
        <v>110</v>
      </c>
      <c r="F94" s="70" t="s">
        <v>92</v>
      </c>
      <c r="G94" s="70" t="s">
        <v>440</v>
      </c>
      <c r="H94" s="71"/>
      <c r="I94" s="70" t="s">
        <v>440</v>
      </c>
      <c r="J94" s="70"/>
      <c r="K94" s="70"/>
      <c r="L94" s="70"/>
      <c r="M94" s="63"/>
      <c r="N94" s="70"/>
      <c r="O94" s="63"/>
      <c r="P94" s="70"/>
      <c r="Q94" s="63"/>
      <c r="R94" s="70"/>
      <c r="S94" s="63"/>
      <c r="T94" s="70"/>
      <c r="U94" s="63"/>
      <c r="V94" s="70"/>
      <c r="W94" s="70"/>
      <c r="X94" s="70"/>
      <c r="Y94" s="70" t="s">
        <v>180</v>
      </c>
      <c r="Z94" s="70" t="s">
        <v>180</v>
      </c>
      <c r="AA94" s="70" t="s">
        <v>180</v>
      </c>
      <c r="AB94" s="71"/>
      <c r="AC94" s="71"/>
      <c r="AD94" s="71"/>
      <c r="AE94" s="71"/>
      <c r="AF94" s="71"/>
      <c r="AG94" s="71"/>
      <c r="AH94" s="71"/>
      <c r="AI94" s="71"/>
      <c r="AJ94" s="71"/>
      <c r="AK94" s="70"/>
      <c r="AL94" s="75"/>
      <c r="AM94" s="71"/>
      <c r="AN94" s="71"/>
      <c r="AO94" s="71"/>
      <c r="AP94" s="71"/>
      <c r="AQ94" s="71"/>
      <c r="AR94" s="71"/>
      <c r="AS94" s="71"/>
      <c r="AT94" s="71"/>
      <c r="AU94" s="71"/>
      <c r="AV94" s="71"/>
      <c r="AW94" s="71"/>
      <c r="AX94" s="71"/>
      <c r="AY94" s="71"/>
      <c r="AZ94" s="71"/>
      <c r="BA94" s="71"/>
      <c r="BB94" s="71"/>
      <c r="BC94" s="71"/>
      <c r="BD94" s="71"/>
      <c r="BE94" s="71"/>
      <c r="BF94" s="71"/>
      <c r="BG94" s="71"/>
      <c r="BH94" s="71"/>
      <c r="BI94" s="71"/>
      <c r="BJ94" s="71"/>
      <c r="BK94" s="71"/>
    </row>
    <row r="95" spans="1:63" ht="27" customHeight="1" x14ac:dyDescent="0.35">
      <c r="A95" s="70">
        <v>93</v>
      </c>
      <c r="B95" s="71" t="s">
        <v>201</v>
      </c>
      <c r="C95" s="71" t="s">
        <v>94</v>
      </c>
      <c r="D95" s="70" t="s">
        <v>202</v>
      </c>
      <c r="E95" s="70" t="s">
        <v>203</v>
      </c>
      <c r="F95" s="70" t="s">
        <v>92</v>
      </c>
      <c r="G95" s="70" t="s">
        <v>440</v>
      </c>
      <c r="H95" s="71"/>
      <c r="I95" s="70" t="s">
        <v>440</v>
      </c>
      <c r="J95" s="70"/>
      <c r="K95" s="70"/>
      <c r="L95" s="70"/>
      <c r="M95" s="63"/>
      <c r="N95" s="70"/>
      <c r="O95" s="63"/>
      <c r="P95" s="70"/>
      <c r="Q95" s="63"/>
      <c r="R95" s="70"/>
      <c r="S95" s="63"/>
      <c r="T95" s="70"/>
      <c r="U95" s="63"/>
      <c r="V95" s="70"/>
      <c r="W95" s="70"/>
      <c r="X95" s="70"/>
      <c r="Y95" s="70" t="s">
        <v>180</v>
      </c>
      <c r="Z95" s="70" t="s">
        <v>180</v>
      </c>
      <c r="AA95" s="70" t="s">
        <v>180</v>
      </c>
      <c r="AB95" s="71"/>
      <c r="AC95" s="71"/>
      <c r="AD95" s="71"/>
      <c r="AE95" s="71"/>
      <c r="AF95" s="71"/>
      <c r="AG95" s="71"/>
      <c r="AH95" s="71"/>
      <c r="AI95" s="71"/>
      <c r="AJ95" s="71"/>
      <c r="AK95" s="70"/>
      <c r="AL95" s="75"/>
      <c r="AM95" s="71"/>
      <c r="AN95" s="71"/>
      <c r="AO95" s="71"/>
      <c r="AP95" s="71"/>
      <c r="AQ95" s="71"/>
      <c r="AR95" s="71"/>
      <c r="AS95" s="71"/>
      <c r="AT95" s="71"/>
      <c r="AU95" s="71"/>
      <c r="AV95" s="71"/>
      <c r="AW95" s="71"/>
      <c r="AX95" s="71"/>
      <c r="AY95" s="71"/>
      <c r="AZ95" s="71"/>
      <c r="BA95" s="71"/>
      <c r="BB95" s="71"/>
      <c r="BC95" s="71"/>
      <c r="BD95" s="71"/>
      <c r="BE95" s="71"/>
      <c r="BF95" s="71"/>
      <c r="BG95" s="71"/>
      <c r="BH95" s="71"/>
      <c r="BI95" s="71"/>
      <c r="BJ95" s="71"/>
      <c r="BK95" s="71"/>
    </row>
    <row r="96" spans="1:63" ht="27" customHeight="1" x14ac:dyDescent="0.35">
      <c r="A96" s="70">
        <v>94</v>
      </c>
      <c r="B96" s="71" t="s">
        <v>160</v>
      </c>
      <c r="C96" s="71" t="s">
        <v>76</v>
      </c>
      <c r="D96" s="70" t="s">
        <v>117</v>
      </c>
      <c r="E96" s="70" t="s">
        <v>118</v>
      </c>
      <c r="F96" s="70" t="s">
        <v>92</v>
      </c>
      <c r="G96" s="70" t="s">
        <v>440</v>
      </c>
      <c r="H96" s="71"/>
      <c r="I96" s="70" t="s">
        <v>440</v>
      </c>
      <c r="J96" s="70"/>
      <c r="K96" s="70"/>
      <c r="L96" s="70"/>
      <c r="M96" s="63"/>
      <c r="N96" s="70"/>
      <c r="O96" s="63"/>
      <c r="P96" s="70"/>
      <c r="Q96" s="63"/>
      <c r="R96" s="70"/>
      <c r="S96" s="63"/>
      <c r="T96" s="70"/>
      <c r="U96" s="63"/>
      <c r="V96" s="70"/>
      <c r="W96" s="70"/>
      <c r="X96" s="70"/>
      <c r="Y96" s="70" t="s">
        <v>180</v>
      </c>
      <c r="Z96" s="70" t="s">
        <v>180</v>
      </c>
      <c r="AA96" s="70" t="s">
        <v>180</v>
      </c>
      <c r="AB96" s="71"/>
      <c r="AC96" s="71"/>
      <c r="AD96" s="71"/>
      <c r="AE96" s="71"/>
      <c r="AF96" s="71"/>
      <c r="AG96" s="71"/>
      <c r="AH96" s="71"/>
      <c r="AI96" s="71"/>
      <c r="AJ96" s="71"/>
      <c r="AK96" s="70"/>
      <c r="AL96" s="75"/>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row>
    <row r="97" spans="1:63" ht="27" customHeight="1" x14ac:dyDescent="0.35">
      <c r="A97" s="70">
        <v>95</v>
      </c>
      <c r="B97" s="71" t="s">
        <v>54</v>
      </c>
      <c r="C97" s="71" t="s">
        <v>76</v>
      </c>
      <c r="D97" s="70" t="s">
        <v>117</v>
      </c>
      <c r="E97" s="70" t="s">
        <v>118</v>
      </c>
      <c r="F97" s="70" t="s">
        <v>92</v>
      </c>
      <c r="G97" s="70" t="s">
        <v>440</v>
      </c>
      <c r="H97" s="71"/>
      <c r="I97" s="70" t="s">
        <v>440</v>
      </c>
      <c r="J97" s="70"/>
      <c r="K97" s="70"/>
      <c r="L97" s="70"/>
      <c r="M97" s="63"/>
      <c r="N97" s="70"/>
      <c r="O97" s="63"/>
      <c r="P97" s="70"/>
      <c r="Q97" s="63"/>
      <c r="R97" s="70"/>
      <c r="S97" s="63"/>
      <c r="T97" s="70"/>
      <c r="U97" s="63"/>
      <c r="V97" s="70"/>
      <c r="W97" s="70"/>
      <c r="X97" s="70"/>
      <c r="Y97" s="70" t="s">
        <v>180</v>
      </c>
      <c r="Z97" s="70" t="s">
        <v>180</v>
      </c>
      <c r="AA97" s="70" t="s">
        <v>180</v>
      </c>
      <c r="AB97" s="71"/>
      <c r="AC97" s="71"/>
      <c r="AD97" s="71"/>
      <c r="AE97" s="71"/>
      <c r="AF97" s="71"/>
      <c r="AG97" s="71"/>
      <c r="AH97" s="71"/>
      <c r="AI97" s="71"/>
      <c r="AJ97" s="71"/>
      <c r="AK97" s="70"/>
      <c r="AL97" s="75"/>
      <c r="AM97" s="71"/>
      <c r="AN97" s="71"/>
      <c r="AO97" s="71"/>
      <c r="AP97" s="71"/>
      <c r="AQ97" s="71"/>
      <c r="AR97" s="71"/>
      <c r="AS97" s="71"/>
      <c r="AT97" s="71"/>
      <c r="AU97" s="71"/>
      <c r="AV97" s="71"/>
      <c r="AW97" s="71"/>
      <c r="AX97" s="71"/>
      <c r="AY97" s="71"/>
      <c r="AZ97" s="71"/>
      <c r="BA97" s="71"/>
      <c r="BB97" s="71"/>
      <c r="BC97" s="71"/>
      <c r="BD97" s="71"/>
      <c r="BE97" s="71"/>
      <c r="BF97" s="71"/>
      <c r="BG97" s="71"/>
      <c r="BH97" s="71"/>
      <c r="BI97" s="71"/>
      <c r="BJ97" s="71"/>
      <c r="BK97" s="71"/>
    </row>
    <row r="98" spans="1:63" ht="27" customHeight="1" x14ac:dyDescent="0.35">
      <c r="A98" s="70">
        <v>96</v>
      </c>
      <c r="B98" s="71" t="s">
        <v>47</v>
      </c>
      <c r="C98" s="71" t="s">
        <v>68</v>
      </c>
      <c r="D98" s="70" t="s">
        <v>68</v>
      </c>
      <c r="E98" s="70" t="s">
        <v>111</v>
      </c>
      <c r="F98" s="70" t="s">
        <v>92</v>
      </c>
      <c r="G98" s="70" t="s">
        <v>440</v>
      </c>
      <c r="H98" s="71"/>
      <c r="I98" s="70" t="s">
        <v>440</v>
      </c>
      <c r="J98" s="70"/>
      <c r="K98" s="70"/>
      <c r="L98" s="70"/>
      <c r="M98" s="63"/>
      <c r="N98" s="70"/>
      <c r="O98" s="63"/>
      <c r="P98" s="70"/>
      <c r="Q98" s="63"/>
      <c r="R98" s="70"/>
      <c r="S98" s="63"/>
      <c r="T98" s="70"/>
      <c r="U98" s="63"/>
      <c r="V98" s="70"/>
      <c r="W98" s="70"/>
      <c r="X98" s="70"/>
      <c r="Y98" s="70" t="s">
        <v>180</v>
      </c>
      <c r="Z98" s="70" t="s">
        <v>180</v>
      </c>
      <c r="AA98" s="70" t="s">
        <v>180</v>
      </c>
      <c r="AB98" s="71"/>
      <c r="AC98" s="71"/>
      <c r="AD98" s="71"/>
      <c r="AE98" s="71"/>
      <c r="AF98" s="71"/>
      <c r="AG98" s="71"/>
      <c r="AH98" s="71"/>
      <c r="AI98" s="71"/>
      <c r="AJ98" s="71"/>
      <c r="AK98" s="70"/>
      <c r="AL98" s="75"/>
      <c r="AM98" s="71"/>
      <c r="AN98" s="71"/>
      <c r="AO98" s="71"/>
      <c r="AP98" s="71"/>
      <c r="AQ98" s="71"/>
      <c r="AR98" s="71"/>
      <c r="AS98" s="71"/>
      <c r="AT98" s="71"/>
      <c r="AU98" s="71"/>
      <c r="AV98" s="71"/>
      <c r="AW98" s="71"/>
      <c r="AX98" s="71"/>
      <c r="AY98" s="71"/>
      <c r="AZ98" s="71"/>
      <c r="BA98" s="71"/>
      <c r="BB98" s="71"/>
      <c r="BC98" s="71"/>
      <c r="BD98" s="71"/>
      <c r="BE98" s="71"/>
      <c r="BF98" s="71"/>
      <c r="BG98" s="71"/>
      <c r="BH98" s="71"/>
      <c r="BI98" s="71"/>
      <c r="BJ98" s="71"/>
      <c r="BK98" s="71"/>
    </row>
    <row r="99" spans="1:63" ht="27" customHeight="1" x14ac:dyDescent="0.35">
      <c r="A99" s="70">
        <v>97</v>
      </c>
      <c r="B99" s="71" t="s">
        <v>159</v>
      </c>
      <c r="C99" s="71" t="s">
        <v>76</v>
      </c>
      <c r="D99" s="70" t="s">
        <v>117</v>
      </c>
      <c r="E99" s="70" t="s">
        <v>118</v>
      </c>
      <c r="F99" s="70" t="s">
        <v>92</v>
      </c>
      <c r="G99" s="70" t="s">
        <v>440</v>
      </c>
      <c r="H99" s="71"/>
      <c r="I99" s="70" t="s">
        <v>440</v>
      </c>
      <c r="J99" s="70"/>
      <c r="K99" s="70"/>
      <c r="L99" s="70"/>
      <c r="M99" s="63"/>
      <c r="N99" s="70"/>
      <c r="O99" s="63"/>
      <c r="P99" s="70"/>
      <c r="Q99" s="63"/>
      <c r="R99" s="70"/>
      <c r="S99" s="63"/>
      <c r="T99" s="70"/>
      <c r="U99" s="63"/>
      <c r="V99" s="70"/>
      <c r="W99" s="70"/>
      <c r="X99" s="70"/>
      <c r="Y99" s="70" t="s">
        <v>180</v>
      </c>
      <c r="Z99" s="70" t="s">
        <v>180</v>
      </c>
      <c r="AA99" s="70" t="s">
        <v>180</v>
      </c>
      <c r="AB99" s="71"/>
      <c r="AC99" s="71"/>
      <c r="AD99" s="71"/>
      <c r="AE99" s="71"/>
      <c r="AF99" s="71"/>
      <c r="AG99" s="71"/>
      <c r="AH99" s="71"/>
      <c r="AI99" s="71"/>
      <c r="AJ99" s="71"/>
      <c r="AK99" s="70"/>
      <c r="AL99" s="75"/>
      <c r="AM99" s="71"/>
      <c r="AN99" s="71"/>
      <c r="AO99" s="71"/>
      <c r="AP99" s="71"/>
      <c r="AQ99" s="71"/>
      <c r="AR99" s="71"/>
      <c r="AS99" s="71"/>
      <c r="AT99" s="71"/>
      <c r="AU99" s="71"/>
      <c r="AV99" s="71"/>
      <c r="AW99" s="71"/>
      <c r="AX99" s="71"/>
      <c r="AY99" s="71"/>
      <c r="AZ99" s="71"/>
      <c r="BA99" s="71"/>
      <c r="BB99" s="71"/>
      <c r="BC99" s="71"/>
      <c r="BD99" s="71"/>
      <c r="BE99" s="71"/>
      <c r="BF99" s="71"/>
      <c r="BG99" s="71"/>
      <c r="BH99" s="71"/>
      <c r="BI99" s="71"/>
      <c r="BJ99" s="71"/>
      <c r="BK99" s="71"/>
    </row>
    <row r="100" spans="1:63" ht="27" customHeight="1" x14ac:dyDescent="0.35">
      <c r="A100" s="81" t="s">
        <v>245</v>
      </c>
      <c r="B100" s="82" t="s">
        <v>1115</v>
      </c>
      <c r="C100" s="82" t="s">
        <v>68</v>
      </c>
      <c r="D100" s="81" t="s">
        <v>1101</v>
      </c>
      <c r="E100" s="81" t="s">
        <v>1116</v>
      </c>
      <c r="F100" s="81" t="s">
        <v>70</v>
      </c>
      <c r="G100" s="81"/>
      <c r="H100" s="82" t="s">
        <v>1102</v>
      </c>
      <c r="I100" s="81"/>
      <c r="J100" s="81"/>
      <c r="K100" s="81"/>
      <c r="L100" s="81"/>
      <c r="M100" s="63"/>
      <c r="N100" s="83"/>
      <c r="O100" s="63"/>
      <c r="P100" s="83" t="s">
        <v>417</v>
      </c>
      <c r="Q100" s="63">
        <v>2016</v>
      </c>
      <c r="R100" s="81"/>
      <c r="S100" s="63"/>
      <c r="T100" s="83"/>
      <c r="U100" s="63"/>
      <c r="V100" s="83"/>
      <c r="W100" s="81" t="s">
        <v>824</v>
      </c>
      <c r="X100" s="81"/>
      <c r="Y100" s="81"/>
      <c r="Z100" s="82"/>
      <c r="AA100" s="81"/>
      <c r="AB100" s="82" t="s">
        <v>1117</v>
      </c>
      <c r="AC100" s="82"/>
      <c r="AD100" s="82">
        <v>1</v>
      </c>
      <c r="AE100" s="82">
        <f>462.061+228.409</f>
        <v>690.47</v>
      </c>
      <c r="AF100" s="82"/>
      <c r="AG100" s="82"/>
      <c r="AH100" s="82"/>
      <c r="AI100" s="82"/>
      <c r="AJ100" s="82"/>
      <c r="AK100" s="81"/>
      <c r="AL100" s="81">
        <v>1300</v>
      </c>
      <c r="AM100" s="82" t="s">
        <v>866</v>
      </c>
      <c r="AN100" s="82" t="s">
        <v>865</v>
      </c>
      <c r="AO100" s="82" t="s">
        <v>924</v>
      </c>
      <c r="AP100" s="82" t="s">
        <v>831</v>
      </c>
      <c r="AQ100" s="82" t="s">
        <v>858</v>
      </c>
      <c r="AR100" s="82" t="s">
        <v>839</v>
      </c>
      <c r="AS100" s="82" t="s">
        <v>873</v>
      </c>
      <c r="AT100" s="82" t="s">
        <v>841</v>
      </c>
      <c r="AU100" s="82"/>
      <c r="AV100" s="82"/>
      <c r="AW100" s="82"/>
      <c r="AX100" s="82"/>
      <c r="AY100" s="82"/>
      <c r="AZ100" s="82"/>
      <c r="BA100" s="82"/>
      <c r="BB100" s="82">
        <v>130</v>
      </c>
      <c r="BC100" s="93">
        <v>134666</v>
      </c>
      <c r="BD100" s="82"/>
      <c r="BE100" s="82"/>
      <c r="BF100" s="82"/>
      <c r="BG100" s="82"/>
      <c r="BH100" s="82"/>
      <c r="BI100" s="82"/>
      <c r="BJ100" s="82"/>
      <c r="BK100" s="82"/>
    </row>
    <row r="101" spans="1:63" ht="27" customHeight="1" x14ac:dyDescent="0.35">
      <c r="A101" s="76" t="s">
        <v>229</v>
      </c>
      <c r="B101" s="77" t="s">
        <v>1118</v>
      </c>
      <c r="C101" s="77"/>
      <c r="D101" s="76" t="s">
        <v>134</v>
      </c>
      <c r="E101" s="76" t="s">
        <v>1119</v>
      </c>
      <c r="F101" s="76"/>
      <c r="G101" s="76"/>
      <c r="H101" s="77"/>
      <c r="I101" s="76" t="s">
        <v>443</v>
      </c>
      <c r="J101" s="76"/>
      <c r="K101" s="76"/>
      <c r="L101" s="76"/>
      <c r="M101" s="63"/>
      <c r="N101" s="76"/>
      <c r="O101" s="63"/>
      <c r="P101" s="76"/>
      <c r="Q101" s="63"/>
      <c r="R101" s="76"/>
      <c r="S101" s="63"/>
      <c r="T101" s="76"/>
      <c r="U101" s="63"/>
      <c r="V101" s="76"/>
      <c r="W101" s="76"/>
      <c r="X101" s="76"/>
      <c r="Y101" s="76"/>
      <c r="Z101" s="77"/>
      <c r="AA101" s="76"/>
      <c r="AB101" s="77" t="s">
        <v>1120</v>
      </c>
      <c r="AC101" s="77"/>
      <c r="AD101" s="77"/>
      <c r="AE101" s="77"/>
      <c r="AF101" s="77"/>
      <c r="AG101" s="77"/>
      <c r="AH101" s="77"/>
      <c r="AI101" s="77"/>
      <c r="AJ101" s="77"/>
      <c r="AK101" s="76"/>
      <c r="AL101" s="78"/>
      <c r="AM101" s="77"/>
      <c r="AN101" s="77"/>
      <c r="AO101" s="77"/>
      <c r="AP101" s="77"/>
      <c r="AQ101" s="77"/>
      <c r="AR101" s="77"/>
      <c r="AS101" s="77"/>
      <c r="AT101" s="77"/>
      <c r="AU101" s="77"/>
      <c r="AV101" s="77"/>
      <c r="AW101" s="77"/>
      <c r="AX101" s="77"/>
      <c r="AY101" s="77"/>
      <c r="AZ101" s="77"/>
      <c r="BA101" s="77"/>
      <c r="BB101" s="77"/>
      <c r="BC101" s="77"/>
      <c r="BD101" s="77"/>
      <c r="BE101" s="77"/>
      <c r="BF101" s="77"/>
      <c r="BG101" s="77"/>
      <c r="BH101" s="77"/>
      <c r="BI101" s="77"/>
      <c r="BJ101" s="77"/>
      <c r="BK101" s="77"/>
    </row>
    <row r="102" spans="1:63" ht="27" customHeight="1" x14ac:dyDescent="0.35">
      <c r="A102" s="76" t="s">
        <v>177</v>
      </c>
      <c r="B102" s="77" t="s">
        <v>246</v>
      </c>
      <c r="C102" s="77"/>
      <c r="D102" s="76" t="s">
        <v>247</v>
      </c>
      <c r="E102" s="76"/>
      <c r="F102" s="76"/>
      <c r="G102" s="76"/>
      <c r="H102" s="77"/>
      <c r="I102" s="76" t="s">
        <v>443</v>
      </c>
      <c r="J102" s="76"/>
      <c r="K102" s="76"/>
      <c r="L102" s="76"/>
      <c r="M102" s="63"/>
      <c r="N102" s="76"/>
      <c r="O102" s="63"/>
      <c r="P102" s="76"/>
      <c r="Q102" s="63"/>
      <c r="R102" s="76"/>
      <c r="S102" s="63"/>
      <c r="T102" s="76"/>
      <c r="U102" s="63"/>
      <c r="V102" s="76"/>
      <c r="W102" s="76"/>
      <c r="X102" s="76"/>
      <c r="Y102" s="76"/>
      <c r="Z102" s="77"/>
      <c r="AA102" s="76"/>
      <c r="AB102" s="77" t="s">
        <v>1120</v>
      </c>
      <c r="AC102" s="77"/>
      <c r="AD102" s="77"/>
      <c r="AE102" s="77"/>
      <c r="AF102" s="77"/>
      <c r="AG102" s="77"/>
      <c r="AH102" s="77"/>
      <c r="AI102" s="77"/>
      <c r="AJ102" s="77"/>
      <c r="AK102" s="76"/>
      <c r="AL102" s="78"/>
      <c r="AM102" s="77"/>
      <c r="AN102" s="77"/>
      <c r="AO102" s="77"/>
      <c r="AP102" s="77"/>
      <c r="AQ102" s="77"/>
      <c r="AR102" s="77"/>
      <c r="AS102" s="77"/>
      <c r="AT102" s="77"/>
      <c r="AU102" s="77"/>
      <c r="AV102" s="77"/>
      <c r="AW102" s="77"/>
      <c r="AX102" s="77"/>
      <c r="AY102" s="77"/>
      <c r="AZ102" s="77"/>
      <c r="BA102" s="77"/>
      <c r="BB102" s="77"/>
      <c r="BC102" s="77"/>
      <c r="BD102" s="77"/>
      <c r="BE102" s="77"/>
      <c r="BF102" s="77"/>
      <c r="BG102" s="77"/>
      <c r="BH102" s="77"/>
      <c r="BI102" s="77"/>
      <c r="BJ102" s="77"/>
      <c r="BK102" s="77"/>
    </row>
    <row r="103" spans="1:63" ht="27" customHeight="1" x14ac:dyDescent="0.35">
      <c r="A103" s="76" t="s">
        <v>225</v>
      </c>
      <c r="B103" s="77" t="s">
        <v>230</v>
      </c>
      <c r="C103" s="77"/>
      <c r="D103" s="76" t="s">
        <v>231</v>
      </c>
      <c r="E103" s="76"/>
      <c r="F103" s="76"/>
      <c r="G103" s="76"/>
      <c r="H103" s="77"/>
      <c r="I103" s="76" t="s">
        <v>443</v>
      </c>
      <c r="J103" s="76"/>
      <c r="K103" s="76"/>
      <c r="L103" s="76"/>
      <c r="M103" s="63"/>
      <c r="N103" s="76"/>
      <c r="O103" s="63"/>
      <c r="P103" s="76"/>
      <c r="Q103" s="63"/>
      <c r="R103" s="76"/>
      <c r="S103" s="63"/>
      <c r="T103" s="76"/>
      <c r="U103" s="63"/>
      <c r="V103" s="76"/>
      <c r="W103" s="76"/>
      <c r="X103" s="76"/>
      <c r="Y103" s="76"/>
      <c r="Z103" s="77"/>
      <c r="AA103" s="76"/>
      <c r="AB103" s="77" t="s">
        <v>1120</v>
      </c>
      <c r="AC103" s="77"/>
      <c r="AD103" s="77"/>
      <c r="AE103" s="77"/>
      <c r="AF103" s="77"/>
      <c r="AG103" s="77"/>
      <c r="AH103" s="77"/>
      <c r="AI103" s="77"/>
      <c r="AJ103" s="77"/>
      <c r="AK103" s="76"/>
      <c r="AL103" s="78"/>
      <c r="AM103" s="77"/>
      <c r="AN103" s="77"/>
      <c r="AO103" s="77"/>
      <c r="AP103" s="77"/>
      <c r="AQ103" s="77"/>
      <c r="AR103" s="77"/>
      <c r="AS103" s="77"/>
      <c r="AT103" s="77"/>
      <c r="AU103" s="77"/>
      <c r="AV103" s="77"/>
      <c r="AW103" s="77"/>
      <c r="AX103" s="77"/>
      <c r="AY103" s="77"/>
      <c r="AZ103" s="77"/>
      <c r="BA103" s="77"/>
      <c r="BB103" s="77"/>
      <c r="BC103" s="77"/>
      <c r="BD103" s="77"/>
      <c r="BE103" s="77"/>
      <c r="BF103" s="77"/>
      <c r="BG103" s="77"/>
      <c r="BH103" s="77"/>
      <c r="BI103" s="77"/>
      <c r="BJ103" s="77"/>
      <c r="BK103" s="77"/>
    </row>
    <row r="104" spans="1:63" ht="27" customHeight="1" x14ac:dyDescent="0.35">
      <c r="A104" s="76" t="s">
        <v>1121</v>
      </c>
      <c r="B104" s="77" t="s">
        <v>178</v>
      </c>
      <c r="C104" s="77"/>
      <c r="D104" s="76" t="s">
        <v>179</v>
      </c>
      <c r="E104" s="76"/>
      <c r="F104" s="76"/>
      <c r="G104" s="76"/>
      <c r="H104" s="77"/>
      <c r="I104" s="76" t="s">
        <v>443</v>
      </c>
      <c r="J104" s="76"/>
      <c r="K104" s="76"/>
      <c r="L104" s="76"/>
      <c r="M104" s="63"/>
      <c r="N104" s="76"/>
      <c r="O104" s="63"/>
      <c r="P104" s="76"/>
      <c r="Q104" s="63"/>
      <c r="R104" s="76"/>
      <c r="S104" s="63"/>
      <c r="T104" s="76"/>
      <c r="U104" s="63"/>
      <c r="V104" s="76"/>
      <c r="W104" s="76"/>
      <c r="X104" s="76"/>
      <c r="Y104" s="76"/>
      <c r="Z104" s="77"/>
      <c r="AA104" s="76"/>
      <c r="AB104" s="77" t="s">
        <v>1120</v>
      </c>
      <c r="AC104" s="77"/>
      <c r="AD104" s="77"/>
      <c r="AE104" s="77"/>
      <c r="AF104" s="77"/>
      <c r="AG104" s="77"/>
      <c r="AH104" s="77"/>
      <c r="AI104" s="77"/>
      <c r="AJ104" s="77"/>
      <c r="AK104" s="76"/>
      <c r="AL104" s="78"/>
      <c r="AM104" s="77"/>
      <c r="AN104" s="77"/>
      <c r="AO104" s="77"/>
      <c r="AP104" s="77"/>
      <c r="AQ104" s="77"/>
      <c r="AR104" s="77"/>
      <c r="AS104" s="77"/>
      <c r="AT104" s="77"/>
      <c r="AU104" s="77"/>
      <c r="AV104" s="77"/>
      <c r="AW104" s="77"/>
      <c r="AX104" s="77"/>
      <c r="AY104" s="77"/>
      <c r="AZ104" s="77"/>
      <c r="BA104" s="77"/>
      <c r="BB104" s="77"/>
      <c r="BC104" s="77"/>
      <c r="BD104" s="77"/>
      <c r="BE104" s="77"/>
      <c r="BF104" s="77"/>
      <c r="BG104" s="77"/>
      <c r="BH104" s="77"/>
      <c r="BI104" s="77"/>
      <c r="BJ104" s="77"/>
      <c r="BK104" s="77"/>
    </row>
    <row r="105" spans="1:63" ht="27" customHeight="1" x14ac:dyDescent="0.35">
      <c r="A105" s="70"/>
      <c r="B105" s="70"/>
      <c r="C105" s="71"/>
      <c r="D105" s="70"/>
      <c r="E105" s="70"/>
      <c r="F105" s="70"/>
      <c r="G105" s="70"/>
      <c r="H105" s="71"/>
      <c r="I105" s="70"/>
      <c r="J105" s="70"/>
      <c r="K105" s="70"/>
      <c r="L105" s="70"/>
      <c r="M105" s="63"/>
      <c r="N105" s="70"/>
      <c r="O105" s="63"/>
      <c r="P105" s="70"/>
      <c r="Q105" s="63"/>
      <c r="R105" s="70"/>
      <c r="S105" s="63"/>
      <c r="T105" s="70"/>
      <c r="U105" s="63"/>
      <c r="V105" s="70"/>
      <c r="W105" s="70"/>
      <c r="X105" s="70"/>
      <c r="Y105" s="70"/>
      <c r="Z105" s="71"/>
      <c r="AA105" s="70"/>
      <c r="AB105" s="70"/>
      <c r="AC105" s="70"/>
      <c r="AD105" s="70"/>
      <c r="AE105" s="70"/>
      <c r="AF105" s="70"/>
      <c r="AG105" s="70"/>
      <c r="AH105" s="70"/>
      <c r="AI105" s="70"/>
      <c r="AJ105" s="70"/>
      <c r="AK105" s="70"/>
      <c r="AL105" s="70"/>
      <c r="AM105" s="71"/>
      <c r="AN105" s="71"/>
      <c r="AO105" s="71"/>
      <c r="AP105" s="71"/>
      <c r="AQ105" s="71"/>
      <c r="AR105" s="71"/>
      <c r="AS105" s="71"/>
      <c r="AT105" s="71"/>
      <c r="AU105" s="71"/>
      <c r="AV105" s="71"/>
      <c r="AW105" s="71"/>
      <c r="AX105" s="71"/>
      <c r="AY105" s="71"/>
      <c r="AZ105" s="71"/>
      <c r="BA105" s="71"/>
      <c r="BB105" s="71"/>
      <c r="BC105" s="71"/>
      <c r="BD105" s="71"/>
      <c r="BE105" s="71"/>
      <c r="BF105" s="71"/>
      <c r="BG105" s="71"/>
      <c r="BH105" s="71"/>
      <c r="BI105" s="71"/>
      <c r="BJ105" s="71"/>
      <c r="BK105" s="71"/>
    </row>
  </sheetData>
  <mergeCells count="4">
    <mergeCell ref="AC1:AJ1"/>
    <mergeCell ref="AK1:AU1"/>
    <mergeCell ref="AV1:AY1"/>
    <mergeCell ref="AZ1:BD1"/>
  </mergeCells>
  <phoneticPr fontId="18" type="noConversion"/>
  <dataValidations count="4">
    <dataValidation type="list" allowBlank="1" showInputMessage="1" showErrorMessage="1" sqref="C3:C105" xr:uid="{E5D97A66-C425-4B27-8ECC-57483C7CE019}">
      <formula1>"Barishal,Chattogram,Dhaka,Khulna,Mymensingh,Rajshahi,Rangpur,Sylhet"</formula1>
    </dataValidation>
    <dataValidation type="list" allowBlank="1" showInputMessage="1" showErrorMessage="1" sqref="G100" xr:uid="{1CD23215-44A7-4896-A5E7-F94796DA1770}">
      <formula1>"In-Principle Approval, Pre-Planning Stage, Planning Stage, Under Development"</formula1>
    </dataValidation>
    <dataValidation type="list" allowBlank="1" showInputMessage="1" showErrorMessage="1" sqref="I3:I105 G71:H71 G72:G99" xr:uid="{4EBAC509-47B7-40E5-BC4E-80DF54E1CA33}">
      <formula1>"Priority 1,Priority 2,Priority 3, N/A"</formula1>
    </dataValidation>
    <dataValidation type="list" allowBlank="1" showInputMessage="1" showErrorMessage="1" sqref="G3:G70" xr:uid="{C16BC257-2F37-4EC4-9FEA-EF32C2C998C9}">
      <formula1>"In-Principle Approval,Pre-Planning Stage,Planning Stage,Under Development"</formula1>
    </dataValidation>
  </dataValidations>
  <hyperlinks>
    <hyperlink ref="R23" r:id="rId1" xr:uid="{79E8022A-8845-42B6-B07E-8A557CAD20E8}"/>
    <hyperlink ref="R3" r:id="rId2" xr:uid="{5E99CB77-D17E-4293-A83E-4449E1AD7FE2}"/>
    <hyperlink ref="R4" r:id="rId3" xr:uid="{DB5F9ADD-AFB6-4A73-8922-BA5B013302D8}"/>
    <hyperlink ref="R8" r:id="rId4" xr:uid="{9DD649E3-0B73-4E08-947E-371123B8A761}"/>
    <hyperlink ref="R10" r:id="rId5" xr:uid="{5DB9226C-F6B6-4767-9789-9055F4B8B7A2}"/>
    <hyperlink ref="R7" r:id="rId6" xr:uid="{F8B52220-C543-4D86-8FAE-4AF212D8843B}"/>
    <hyperlink ref="R9" r:id="rId7" xr:uid="{7E59FA8B-6024-4AF5-B1B2-85EE38B3939D}"/>
    <hyperlink ref="R63" r:id="rId8" xr:uid="{6A33B786-719A-449C-BCD2-DBE5CFCB2947}"/>
    <hyperlink ref="R5" r:id="rId9" xr:uid="{8B835999-5491-497C-9B00-6937DB5EA742}"/>
    <hyperlink ref="T10" r:id="rId10" xr:uid="{F3D08EF4-8D16-4BD7-92BE-F0E9779E1253}"/>
    <hyperlink ref="R11" r:id="rId11" xr:uid="{E1E98C43-1F0F-4A35-8C0C-26F865AB6F1B}"/>
    <hyperlink ref="N25" r:id="rId12" xr:uid="{6E7D207F-41AB-4E76-BF07-7504D97E51F3}"/>
    <hyperlink ref="N63" r:id="rId13" xr:uid="{84F87955-FAD6-49B8-8FBA-29ADF7925314}"/>
    <hyperlink ref="N26" r:id="rId14" xr:uid="{6FB5F7EA-5093-4496-B408-1DF1E3BB5F6B}"/>
    <hyperlink ref="N12" r:id="rId15" xr:uid="{01CB0A76-EFE9-4650-A730-5E257DE22926}"/>
    <hyperlink ref="N40" r:id="rId16" xr:uid="{BCB04A27-A452-4E41-9D8F-1B8BC413EF63}"/>
    <hyperlink ref="N14" r:id="rId17" xr:uid="{E65ADB30-52F2-4103-977B-1F296D79A734}"/>
    <hyperlink ref="N53" r:id="rId18" xr:uid="{EE391722-AF6B-4BE2-ABFE-5C0E9D21AC9C}"/>
    <hyperlink ref="P10" r:id="rId19" display="https://apcdeloitte-my.sharepoint.com/:b:/r/personal/fayeshik_deloitte_com/Documents/Projects/BEZA%20NMP/BEZA%20Scanned%20Docs/Repository/Feasibility%20Studies/Pre-Feasibility-Study-of-Mirersarai-2.pdf?csf=1&amp;web=1&amp;e=J0O7n8" xr:uid="{82EB2B12-486F-477E-A3D9-EDC31139F08F}"/>
    <hyperlink ref="N20" r:id="rId20" xr:uid="{3CE5C693-6212-48EB-9E31-1F2AF3693C51}"/>
    <hyperlink ref="N8" r:id="rId21" xr:uid="{B45D57E1-2AEB-40A5-B96F-C6E9A2DD3250}"/>
    <hyperlink ref="N24" r:id="rId22" xr:uid="{8262C115-C300-422C-BDD5-B232CDC6B1E4}"/>
    <hyperlink ref="L10" r:id="rId23" xr:uid="{8CDEF3F6-B718-4A93-A175-DB804F79F261}"/>
    <hyperlink ref="N56" r:id="rId24" xr:uid="{F73AB55B-DE38-406E-87E8-E931703E0722}"/>
    <hyperlink ref="N15" r:id="rId25" xr:uid="{1B93054B-C36F-416F-98EA-77F43640D7E5}"/>
    <hyperlink ref="N16" r:id="rId26" xr:uid="{BFBF2C38-D159-4FFC-B45E-9F5FADA253C1}"/>
    <hyperlink ref="N17" r:id="rId27" xr:uid="{9CECC2FE-5650-42E3-AD32-746FC5CFB439}"/>
    <hyperlink ref="L33" r:id="rId28" xr:uid="{6D3C5987-9B60-4504-B5D8-8C05AC2E21B3}"/>
    <hyperlink ref="L34" r:id="rId29" xr:uid="{FB21F5FA-D752-4207-8515-445BAF34D563}"/>
    <hyperlink ref="L36" r:id="rId30" xr:uid="{C5248662-40A9-4D13-B669-589BE3ADD55E}"/>
    <hyperlink ref="N5" r:id="rId31" xr:uid="{3A0F21EF-53B9-4FAE-B56D-402B7D8869BB}"/>
    <hyperlink ref="L42" r:id="rId32" xr:uid="{7149F8BA-5C6E-4C30-A393-BA8D16A87C77}"/>
    <hyperlink ref="N18" r:id="rId33" xr:uid="{8B686E25-9AF3-4165-B642-28962F4EB4DA}"/>
    <hyperlink ref="N19" r:id="rId34" xr:uid="{058709F2-3380-42CA-AE7F-EB64D474AC11}"/>
    <hyperlink ref="N21" r:id="rId35" xr:uid="{2016F257-A6E6-4A64-AF35-719E96CA9256}"/>
    <hyperlink ref="L45" r:id="rId36" xr:uid="{C5EB0318-63A6-454F-9293-BD391B6E606D}"/>
    <hyperlink ref="N22" r:id="rId37" xr:uid="{F8BB618F-8CA1-473A-B282-2295417D18AF}"/>
    <hyperlink ref="N27" r:id="rId38" xr:uid="{4140D9A1-4594-4BA8-AB40-2973BBAA2920}"/>
    <hyperlink ref="N28" r:id="rId39" xr:uid="{64623CD1-7CB8-48C6-A1C3-37E88B619051}"/>
    <hyperlink ref="N29" r:id="rId40" xr:uid="{6B6D337A-7D4B-42BC-9306-EC38E471797B}"/>
    <hyperlink ref="L46" r:id="rId41" xr:uid="{A0B153AD-7E91-45F1-945A-EB66AB520D30}"/>
    <hyperlink ref="L53" r:id="rId42" display="??" xr:uid="{00A27B18-DDEC-44B6-986A-1B6659F84C1E}"/>
    <hyperlink ref="L54" r:id="rId43" display="??" xr:uid="{53A864E9-3B51-4C3B-B99D-512FF2343D63}"/>
    <hyperlink ref="L19" r:id="rId44" xr:uid="{0B8614B6-3031-4F74-B45A-896FB96D6857}"/>
    <hyperlink ref="L51" r:id="rId45" xr:uid="{5F3590AB-2649-4ED8-813D-53771CD8D19B}"/>
    <hyperlink ref="L57" r:id="rId46" xr:uid="{D0AEE816-5FFF-4AEF-B897-153BBCDD3877}"/>
    <hyperlink ref="L66" r:id="rId47" xr:uid="{676BC756-835D-454E-9461-5846179625E5}"/>
    <hyperlink ref="L29" r:id="rId48" xr:uid="{7F452181-D258-4CCF-9A07-FDFCA95E90A9}"/>
    <hyperlink ref="R6" r:id="rId49" xr:uid="{6FAD0E23-EFD3-452C-B20C-C03FEAE77F38}"/>
    <hyperlink ref="P100" r:id="rId50" display="https://apcdeloitte-my.sharepoint.com/:b:/r/personal/fayeshik_deloitte_com/Documents/Projects/BEZA%20NMP/BEZA%20Scanned%20Docs/Repository/Feasibility%20Studies/Pre-Feasibility-Study-of-Mirersarai-2.pdf?csf=1&amp;web=1&amp;e=J0O7n8" xr:uid="{4DC5374B-439A-44E7-AA3C-09DE04587F0B}"/>
  </hyperlinks>
  <pageMargins left="0.7" right="0.7" top="0.75" bottom="0.75" header="0.3" footer="0.3"/>
  <pageSetup orientation="portrait" r:id="rId51"/>
  <legacyDrawing r:id="rId52"/>
  <tableParts count="1">
    <tablePart r:id="rId53"/>
  </tablePart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8992B-77B5-4001-9782-F2DA03904A56}">
  <dimension ref="B1:AI105"/>
  <sheetViews>
    <sheetView workbookViewId="0"/>
  </sheetViews>
  <sheetFormatPr defaultColWidth="8.81640625" defaultRowHeight="13.5" x14ac:dyDescent="0.35"/>
  <cols>
    <col min="1" max="1" width="2.54296875" style="152" customWidth="1"/>
    <col min="2" max="2" width="3.453125" style="152" bestFit="1" customWidth="1"/>
    <col min="3" max="3" width="41.54296875" style="177" customWidth="1"/>
    <col min="4" max="4" width="14" style="177" customWidth="1"/>
    <col min="5" max="5" width="15.453125" style="177" customWidth="1"/>
    <col min="6" max="6" width="16.54296875" style="177" customWidth="1"/>
    <col min="7" max="7" width="12.1796875" style="199" customWidth="1"/>
    <col min="8" max="8" width="11" style="179" customWidth="1"/>
    <col min="9" max="9" width="11.1796875" style="179" customWidth="1"/>
    <col min="10" max="10" width="9" style="178" customWidth="1"/>
    <col min="11" max="11" width="12.1796875" style="177" customWidth="1"/>
    <col min="12" max="12" width="9" style="178" customWidth="1"/>
    <col min="13" max="13" width="12.1796875" style="178" customWidth="1"/>
    <col min="14" max="14" width="13.81640625" style="178" customWidth="1"/>
    <col min="15" max="15" width="11.1796875" style="179" customWidth="1"/>
    <col min="16" max="16" width="8.453125" style="178" bestFit="1" customWidth="1"/>
    <col min="17" max="24" width="10.54296875" style="178" customWidth="1"/>
    <col min="25" max="25" width="8.81640625" style="180"/>
    <col min="26" max="26" width="8.81640625" style="178"/>
    <col min="27" max="27" width="8.81640625" style="152"/>
    <col min="28" max="28" width="14.81640625" style="180" customWidth="1"/>
    <col min="29" max="29" width="12.1796875" style="180" customWidth="1"/>
    <col min="30" max="30" width="2.81640625" style="180" customWidth="1"/>
    <col min="31" max="31" width="12.1796875" style="178" customWidth="1"/>
    <col min="32" max="32" width="13.453125" style="178" customWidth="1"/>
    <col min="33" max="33" width="2.453125" style="180" customWidth="1"/>
    <col min="34" max="34" width="29.81640625" style="180" customWidth="1"/>
    <col min="35" max="35" width="8.81640625" style="178"/>
    <col min="36" max="16384" width="8.81640625" style="152"/>
  </cols>
  <sheetData>
    <row r="1" spans="2:35" ht="14.5" customHeight="1" x14ac:dyDescent="0.35">
      <c r="P1" s="835">
        <v>0.15</v>
      </c>
      <c r="Q1" s="836"/>
      <c r="R1" s="835">
        <v>0.2</v>
      </c>
      <c r="S1" s="837"/>
      <c r="T1" s="837"/>
      <c r="U1" s="836"/>
      <c r="V1" s="835">
        <v>0.15</v>
      </c>
      <c r="W1" s="837"/>
      <c r="X1" s="836"/>
      <c r="Y1" s="835">
        <f>SUM(P1:X1)</f>
        <v>0.5</v>
      </c>
      <c r="Z1" s="836"/>
    </row>
    <row r="2" spans="2:35" x14ac:dyDescent="0.35">
      <c r="P2" s="830" t="s">
        <v>300</v>
      </c>
      <c r="Q2" s="831"/>
      <c r="R2" s="830" t="s">
        <v>1077</v>
      </c>
      <c r="S2" s="832"/>
      <c r="T2" s="832"/>
      <c r="U2" s="831"/>
      <c r="V2" s="830" t="s">
        <v>1079</v>
      </c>
      <c r="W2" s="832"/>
      <c r="X2" s="831"/>
      <c r="Y2" s="833" t="s">
        <v>1122</v>
      </c>
      <c r="Z2" s="834"/>
    </row>
    <row r="3" spans="2:35" s="156" customFormat="1" ht="32.5" customHeight="1" x14ac:dyDescent="0.35">
      <c r="B3" s="158" t="s">
        <v>4</v>
      </c>
      <c r="C3" s="168" t="s">
        <v>1123</v>
      </c>
      <c r="D3" s="168" t="s">
        <v>6</v>
      </c>
      <c r="E3" s="168" t="s">
        <v>7</v>
      </c>
      <c r="F3" s="168" t="s">
        <v>8</v>
      </c>
      <c r="G3" s="158" t="s">
        <v>1124</v>
      </c>
      <c r="H3" s="158" t="s">
        <v>1078</v>
      </c>
      <c r="I3" s="158" t="s">
        <v>11</v>
      </c>
      <c r="J3" s="158" t="s">
        <v>1125</v>
      </c>
      <c r="K3" s="158" t="s">
        <v>430</v>
      </c>
      <c r="L3" s="158" t="s">
        <v>760</v>
      </c>
      <c r="M3" s="158" t="s">
        <v>764</v>
      </c>
      <c r="N3" s="158" t="s">
        <v>480</v>
      </c>
      <c r="O3" s="164" t="s">
        <v>267</v>
      </c>
      <c r="P3" s="165" t="s">
        <v>1076</v>
      </c>
      <c r="Q3" s="166" t="s">
        <v>1126</v>
      </c>
      <c r="R3" s="167" t="s">
        <v>1078</v>
      </c>
      <c r="S3" s="159" t="s">
        <v>11</v>
      </c>
      <c r="T3" s="159" t="s">
        <v>266</v>
      </c>
      <c r="U3" s="166" t="s">
        <v>1126</v>
      </c>
      <c r="V3" s="167" t="s">
        <v>267</v>
      </c>
      <c r="W3" s="159" t="s">
        <v>268</v>
      </c>
      <c r="X3" s="166" t="s">
        <v>1126</v>
      </c>
      <c r="Y3" s="175" t="s">
        <v>296</v>
      </c>
      <c r="Z3" s="176" t="s">
        <v>1127</v>
      </c>
      <c r="AB3" s="157"/>
      <c r="AC3" s="157"/>
      <c r="AD3" s="157"/>
      <c r="AE3" s="157"/>
      <c r="AF3" s="157"/>
      <c r="AG3" s="157"/>
      <c r="AH3" s="157"/>
      <c r="AI3" s="157"/>
    </row>
    <row r="4" spans="2:35" x14ac:dyDescent="0.35">
      <c r="B4" s="181"/>
      <c r="C4" s="169"/>
      <c r="D4" s="169"/>
      <c r="E4" s="169"/>
      <c r="F4" s="169"/>
      <c r="G4" s="200"/>
      <c r="H4" s="197"/>
      <c r="I4" s="197"/>
      <c r="J4" s="182"/>
      <c r="K4" s="169"/>
      <c r="L4" s="182"/>
      <c r="M4" s="182"/>
      <c r="N4" s="182"/>
      <c r="O4" s="183"/>
      <c r="P4" s="184">
        <v>1</v>
      </c>
      <c r="Q4" s="185">
        <v>1</v>
      </c>
      <c r="R4" s="184">
        <v>0.4</v>
      </c>
      <c r="S4" s="186">
        <v>0.35</v>
      </c>
      <c r="T4" s="186">
        <v>0.25</v>
      </c>
      <c r="U4" s="185">
        <v>1</v>
      </c>
      <c r="V4" s="184">
        <v>0.5</v>
      </c>
      <c r="W4" s="186">
        <v>0.5</v>
      </c>
      <c r="X4" s="185">
        <v>1</v>
      </c>
      <c r="Y4" s="187"/>
      <c r="Z4" s="188"/>
    </row>
    <row r="5" spans="2:35" x14ac:dyDescent="0.35">
      <c r="B5" s="160">
        <v>1</v>
      </c>
      <c r="C5" s="169" t="s">
        <v>53</v>
      </c>
      <c r="D5" s="169" t="str">
        <f>'EZ Data'!D4</f>
        <v>Barishal</v>
      </c>
      <c r="E5" s="169" t="str">
        <f>'EZ Data'!E4</f>
        <v>Barishal</v>
      </c>
      <c r="F5" s="169" t="str">
        <f>'EZ Data'!F4</f>
        <v>Agoiljhara</v>
      </c>
      <c r="G5" s="200">
        <f>'EZ Data'!AQ4</f>
        <v>300</v>
      </c>
      <c r="H5" s="198" t="str">
        <f>'EZ Data'!J4</f>
        <v>Priority 3</v>
      </c>
      <c r="I5" s="198" t="str">
        <f>'EZ Data'!AS4</f>
        <v>C Grade</v>
      </c>
      <c r="J5" s="162">
        <f>IF(K5+L5+M5+N5=0,1,0)</f>
        <v>0</v>
      </c>
      <c r="K5" s="161"/>
      <c r="L5" s="162">
        <f>IF('EZ Data'!O4="Yes",1,0)</f>
        <v>0</v>
      </c>
      <c r="M5" s="162">
        <f>IF('EZ Data'!Q4="Yes",1,0)</f>
        <v>0</v>
      </c>
      <c r="N5" s="162">
        <f>IF('EZ Data'!U4="Yes",1,0)</f>
        <v>1</v>
      </c>
      <c r="O5" s="189">
        <f>COUNTA('EZ Data'!BD4:BM4)</f>
        <v>6</v>
      </c>
      <c r="P5" s="190">
        <f t="shared" ref="P5:P36" si="0">VLOOKUP(G5,$AB$6:$AC$9,2,TRUE)</f>
        <v>3</v>
      </c>
      <c r="Q5" s="191">
        <f>P5*$Q$4</f>
        <v>3</v>
      </c>
      <c r="R5" s="190">
        <f t="shared" ref="R5:R36" si="1">IFERROR(VLOOKUP(H5,$AB$12:$AC$15,2),0)</f>
        <v>2</v>
      </c>
      <c r="S5" s="182">
        <f t="shared" ref="S5:S36" si="2">IFERROR(VLOOKUP(I5,$AE$13:$AF$16,2),0)</f>
        <v>2</v>
      </c>
      <c r="T5" s="182">
        <f t="shared" ref="T5:T36" si="3">IF(N5+M5&gt;=1,4,IF(L5=1,3,IF(K5=1,2,0)))</f>
        <v>4</v>
      </c>
      <c r="U5" s="191">
        <f>SUMPRODUCT($R$4:$T$4,R5:T5)</f>
        <v>2.5</v>
      </c>
      <c r="V5" s="190">
        <v>4</v>
      </c>
      <c r="W5" s="182">
        <v>11</v>
      </c>
      <c r="X5" s="191">
        <f>SUMPRODUCT($V$4:$W$4,V5:W5)</f>
        <v>7.5</v>
      </c>
      <c r="Y5" s="187">
        <f>Q5*$P$1+U5*$R$1+X5*$V$1</f>
        <v>2.0750000000000002</v>
      </c>
      <c r="Z5" s="188">
        <f>_xlfn.RANK.EQ(Y5,$Y$5:$Y$105)</f>
        <v>31</v>
      </c>
      <c r="AB5" s="829" t="s">
        <v>1128</v>
      </c>
      <c r="AC5" s="829"/>
    </row>
    <row r="6" spans="2:35" ht="14.5" customHeight="1" x14ac:dyDescent="0.35">
      <c r="B6" s="160">
        <v>2</v>
      </c>
      <c r="C6" s="169" t="s">
        <v>220</v>
      </c>
      <c r="D6" s="169" t="str">
        <f>'EZ Data'!D5</f>
        <v>Chattogram</v>
      </c>
      <c r="E6" s="169" t="str">
        <f>'EZ Data'!E5</f>
        <v>Khagrachari Hill Tracts</v>
      </c>
      <c r="F6" s="169" t="str">
        <f>'EZ Data'!F5</f>
        <v>Matiranga &amp; Khagrachari</v>
      </c>
      <c r="G6" s="200">
        <f>'EZ Data'!AQ5</f>
        <v>640</v>
      </c>
      <c r="H6" s="198" t="str">
        <f>'EZ Data'!J5</f>
        <v>Priority 3</v>
      </c>
      <c r="I6" s="198" t="str">
        <f>'EZ Data'!AS5</f>
        <v>C Grade</v>
      </c>
      <c r="J6" s="162">
        <f t="shared" ref="J6:J69" si="4">IF(K6+L6+M6+N6=0,1,0)</f>
        <v>1</v>
      </c>
      <c r="K6" s="161"/>
      <c r="L6" s="162">
        <f>IF('EZ Data'!O5="Yes",1,0)</f>
        <v>0</v>
      </c>
      <c r="M6" s="162">
        <f>IF('EZ Data'!Q5="Yes",1,0)</f>
        <v>0</v>
      </c>
      <c r="N6" s="162">
        <f>IF('EZ Data'!U5="Yes",1,0)</f>
        <v>0</v>
      </c>
      <c r="O6" s="189">
        <f>COUNTA('EZ Data'!BD5:BM5)</f>
        <v>0</v>
      </c>
      <c r="P6" s="190">
        <f t="shared" si="0"/>
        <v>4</v>
      </c>
      <c r="Q6" s="191">
        <f t="shared" ref="Q6:Q69" si="5">P6*$Q$4</f>
        <v>4</v>
      </c>
      <c r="R6" s="190">
        <f t="shared" si="1"/>
        <v>2</v>
      </c>
      <c r="S6" s="182">
        <f t="shared" si="2"/>
        <v>2</v>
      </c>
      <c r="T6" s="182">
        <f t="shared" si="3"/>
        <v>0</v>
      </c>
      <c r="U6" s="191">
        <f t="shared" ref="U6:U69" si="6">SUMPRODUCT($R$4:$T$4,R6:T6)</f>
        <v>1.5</v>
      </c>
      <c r="V6" s="190">
        <f>VLOOKUP(O6,$AB$19:$AC$22,2,TRUE)</f>
        <v>1</v>
      </c>
      <c r="W6" s="182">
        <v>2</v>
      </c>
      <c r="X6" s="191">
        <f t="shared" ref="X6:X69" si="7">SUMPRODUCT($V$4:$W$4,V6:W6)</f>
        <v>1.5</v>
      </c>
      <c r="Y6" s="187">
        <f t="shared" ref="Y6:Y69" si="8">Q6*$P$1+U6*$R$1+X6*$V$1</f>
        <v>1.125</v>
      </c>
      <c r="Z6" s="188">
        <f t="shared" ref="Z6:Z69" si="9">_xlfn.RANK.EQ(Y6,$Y$5:$Y$105)</f>
        <v>75</v>
      </c>
      <c r="AB6" s="171" t="s">
        <v>497</v>
      </c>
      <c r="AC6" s="171" t="s">
        <v>495</v>
      </c>
    </row>
    <row r="7" spans="2:35" ht="14.5" customHeight="1" x14ac:dyDescent="0.35">
      <c r="B7" s="160">
        <v>3</v>
      </c>
      <c r="C7" s="169" t="s">
        <v>1107</v>
      </c>
      <c r="D7" s="169" t="str">
        <f>'EZ Data'!D6</f>
        <v>Chattogram</v>
      </c>
      <c r="E7" s="169" t="str">
        <f>'EZ Data'!E6</f>
        <v>Chattogram</v>
      </c>
      <c r="F7" s="169" t="str">
        <f>'EZ Data'!F6</f>
        <v>Anowara</v>
      </c>
      <c r="G7" s="200">
        <f>'EZ Data'!AQ6</f>
        <v>634.9</v>
      </c>
      <c r="H7" s="198" t="str">
        <f>'EZ Data'!J6</f>
        <v>Priority 3</v>
      </c>
      <c r="I7" s="198" t="str">
        <f>'EZ Data'!AS6</f>
        <v>A Grade</v>
      </c>
      <c r="J7" s="162">
        <f t="shared" si="4"/>
        <v>0</v>
      </c>
      <c r="K7" s="161"/>
      <c r="L7" s="162">
        <f>IF('EZ Data'!O6="Yes",1,0)</f>
        <v>1</v>
      </c>
      <c r="M7" s="162">
        <f>IF('EZ Data'!Q6="Yes",1,0)</f>
        <v>1</v>
      </c>
      <c r="N7" s="162">
        <f>IF('EZ Data'!U6="Yes",1,0)</f>
        <v>0</v>
      </c>
      <c r="O7" s="189">
        <f>COUNTA('EZ Data'!BD6:BM6)</f>
        <v>5</v>
      </c>
      <c r="P7" s="190">
        <f t="shared" si="0"/>
        <v>4</v>
      </c>
      <c r="Q7" s="191">
        <f t="shared" si="5"/>
        <v>4</v>
      </c>
      <c r="R7" s="190">
        <f t="shared" si="1"/>
        <v>2</v>
      </c>
      <c r="S7" s="182">
        <f t="shared" si="2"/>
        <v>4</v>
      </c>
      <c r="T7" s="182">
        <f t="shared" si="3"/>
        <v>4</v>
      </c>
      <c r="U7" s="191">
        <f t="shared" si="6"/>
        <v>3.2</v>
      </c>
      <c r="V7" s="190">
        <v>19</v>
      </c>
      <c r="W7" s="182">
        <v>19</v>
      </c>
      <c r="X7" s="191">
        <f t="shared" si="7"/>
        <v>19</v>
      </c>
      <c r="Y7" s="187">
        <f t="shared" si="8"/>
        <v>4.09</v>
      </c>
      <c r="Z7" s="188">
        <f t="shared" si="9"/>
        <v>5</v>
      </c>
      <c r="AB7" s="172">
        <v>0</v>
      </c>
      <c r="AC7" s="172">
        <v>2</v>
      </c>
    </row>
    <row r="8" spans="2:35" ht="14.5" customHeight="1" x14ac:dyDescent="0.35">
      <c r="B8" s="160">
        <v>4</v>
      </c>
      <c r="C8" s="169" t="s">
        <v>21</v>
      </c>
      <c r="D8" s="169" t="str">
        <f>'EZ Data'!D7</f>
        <v>Dhaka</v>
      </c>
      <c r="E8" s="169" t="str">
        <f>'EZ Data'!E7</f>
        <v>Narayanganj</v>
      </c>
      <c r="F8" s="169" t="str">
        <f>'EZ Data'!F7</f>
        <v>Araihazar</v>
      </c>
      <c r="G8" s="200">
        <f>'EZ Data'!AQ7</f>
        <v>413</v>
      </c>
      <c r="H8" s="198" t="str">
        <f>'EZ Data'!J7</f>
        <v>Priority 3</v>
      </c>
      <c r="I8" s="198" t="str">
        <f>'EZ Data'!AS7</f>
        <v>A Grade</v>
      </c>
      <c r="J8" s="162">
        <f t="shared" si="4"/>
        <v>1</v>
      </c>
      <c r="K8" s="161"/>
      <c r="L8" s="162">
        <f>IF('EZ Data'!O7="Yes",1,0)</f>
        <v>0</v>
      </c>
      <c r="M8" s="162">
        <f>IF('EZ Data'!Q7="Yes",1,0)</f>
        <v>0</v>
      </c>
      <c r="N8" s="162">
        <f>IF('EZ Data'!U7="Yes",1,0)</f>
        <v>0</v>
      </c>
      <c r="O8" s="189">
        <f>COUNTA('EZ Data'!BD7:BM7)</f>
        <v>0</v>
      </c>
      <c r="P8" s="190">
        <f t="shared" si="0"/>
        <v>3</v>
      </c>
      <c r="Q8" s="191">
        <f t="shared" si="5"/>
        <v>3</v>
      </c>
      <c r="R8" s="190">
        <f t="shared" si="1"/>
        <v>2</v>
      </c>
      <c r="S8" s="182">
        <f t="shared" si="2"/>
        <v>4</v>
      </c>
      <c r="T8" s="182">
        <f t="shared" si="3"/>
        <v>0</v>
      </c>
      <c r="U8" s="191">
        <f t="shared" si="6"/>
        <v>2.2000000000000002</v>
      </c>
      <c r="V8" s="190">
        <v>18</v>
      </c>
      <c r="W8" s="182">
        <v>18</v>
      </c>
      <c r="X8" s="191">
        <f t="shared" si="7"/>
        <v>18</v>
      </c>
      <c r="Y8" s="187">
        <f t="shared" si="8"/>
        <v>3.59</v>
      </c>
      <c r="Z8" s="188">
        <f t="shared" si="9"/>
        <v>11</v>
      </c>
      <c r="AB8" s="172">
        <v>100</v>
      </c>
      <c r="AC8" s="172">
        <v>3</v>
      </c>
    </row>
    <row r="9" spans="2:35" ht="14.5" customHeight="1" x14ac:dyDescent="0.35">
      <c r="B9" s="160">
        <v>5</v>
      </c>
      <c r="C9" s="169" t="s">
        <v>242</v>
      </c>
      <c r="D9" s="169" t="str">
        <f>'EZ Data'!D8</f>
        <v>Chattogram</v>
      </c>
      <c r="E9" s="169" t="str">
        <f>'EZ Data'!E8</f>
        <v>Brahmanbaria</v>
      </c>
      <c r="F9" s="169" t="str">
        <f>'EZ Data'!F8</f>
        <v>Ashuganj</v>
      </c>
      <c r="G9" s="200">
        <f>'EZ Data'!AQ8</f>
        <v>328.61</v>
      </c>
      <c r="H9" s="198" t="str">
        <f>'EZ Data'!J8</f>
        <v>Priority 3</v>
      </c>
      <c r="I9" s="198" t="str">
        <f>'EZ Data'!AS8</f>
        <v>C Grade</v>
      </c>
      <c r="J9" s="162">
        <f t="shared" si="4"/>
        <v>1</v>
      </c>
      <c r="K9" s="161"/>
      <c r="L9" s="162">
        <f>IF('EZ Data'!O8="Yes",1,0)</f>
        <v>0</v>
      </c>
      <c r="M9" s="162">
        <f>IF('EZ Data'!Q8="Yes",1,0)</f>
        <v>0</v>
      </c>
      <c r="N9" s="162">
        <f>IF('EZ Data'!U8="Yes",1,0)</f>
        <v>0</v>
      </c>
      <c r="O9" s="189">
        <f>COUNTA('EZ Data'!BD8:BM8)</f>
        <v>0</v>
      </c>
      <c r="P9" s="190">
        <f t="shared" si="0"/>
        <v>3</v>
      </c>
      <c r="Q9" s="191">
        <f t="shared" si="5"/>
        <v>3</v>
      </c>
      <c r="R9" s="190">
        <f t="shared" si="1"/>
        <v>2</v>
      </c>
      <c r="S9" s="182">
        <f t="shared" si="2"/>
        <v>2</v>
      </c>
      <c r="T9" s="182">
        <f t="shared" si="3"/>
        <v>0</v>
      </c>
      <c r="U9" s="191">
        <f t="shared" si="6"/>
        <v>1.5</v>
      </c>
      <c r="V9" s="190">
        <v>0</v>
      </c>
      <c r="W9" s="182">
        <v>0</v>
      </c>
      <c r="X9" s="191">
        <f t="shared" si="7"/>
        <v>0</v>
      </c>
      <c r="Y9" s="187">
        <f t="shared" si="8"/>
        <v>0.75</v>
      </c>
      <c r="Z9" s="188">
        <f t="shared" si="9"/>
        <v>96</v>
      </c>
      <c r="AB9" s="172">
        <v>501</v>
      </c>
      <c r="AC9" s="172">
        <v>4</v>
      </c>
    </row>
    <row r="10" spans="2:35" ht="14.5" customHeight="1" x14ac:dyDescent="0.35">
      <c r="B10" s="160">
        <v>6</v>
      </c>
      <c r="C10" s="169" t="s">
        <v>62</v>
      </c>
      <c r="D10" s="169" t="str">
        <f>'EZ Data'!D9</f>
        <v>Barishal</v>
      </c>
      <c r="E10" s="169" t="str">
        <f>'EZ Data'!E9</f>
        <v>Bhola</v>
      </c>
      <c r="F10" s="169" t="str">
        <f>'EZ Data'!F9</f>
        <v>Bhola Sadar</v>
      </c>
      <c r="G10" s="200">
        <f>'EZ Data'!AQ9</f>
        <v>304.07</v>
      </c>
      <c r="H10" s="198" t="str">
        <f>'EZ Data'!J9</f>
        <v>Priority 3</v>
      </c>
      <c r="I10" s="198" t="str">
        <f>'EZ Data'!AS9</f>
        <v>C Grade</v>
      </c>
      <c r="J10" s="162">
        <f t="shared" si="4"/>
        <v>0</v>
      </c>
      <c r="K10" s="161"/>
      <c r="L10" s="162">
        <f>IF('EZ Data'!O9="Yes",1,0)</f>
        <v>1</v>
      </c>
      <c r="M10" s="162">
        <f>IF('EZ Data'!Q9="Yes",1,0)</f>
        <v>1</v>
      </c>
      <c r="N10" s="162">
        <f>IF('EZ Data'!U9="Yes",1,0)</f>
        <v>0</v>
      </c>
      <c r="O10" s="189">
        <f>COUNTA('EZ Data'!BD9:BM9)</f>
        <v>4</v>
      </c>
      <c r="P10" s="190">
        <f t="shared" si="0"/>
        <v>3</v>
      </c>
      <c r="Q10" s="191">
        <f t="shared" si="5"/>
        <v>3</v>
      </c>
      <c r="R10" s="190">
        <f t="shared" si="1"/>
        <v>2</v>
      </c>
      <c r="S10" s="182">
        <f t="shared" si="2"/>
        <v>2</v>
      </c>
      <c r="T10" s="182">
        <f t="shared" si="3"/>
        <v>4</v>
      </c>
      <c r="U10" s="191">
        <f t="shared" si="6"/>
        <v>2.5</v>
      </c>
      <c r="V10" s="190">
        <f>VLOOKUP(O10,$AB$19:$AC$22,2,TRUE)</f>
        <v>1</v>
      </c>
      <c r="W10" s="182">
        <v>1</v>
      </c>
      <c r="X10" s="191">
        <f t="shared" si="7"/>
        <v>1</v>
      </c>
      <c r="Y10" s="187">
        <f t="shared" si="8"/>
        <v>1.0999999999999999</v>
      </c>
      <c r="Z10" s="188">
        <f t="shared" si="9"/>
        <v>80</v>
      </c>
    </row>
    <row r="11" spans="2:35" ht="14.15" customHeight="1" x14ac:dyDescent="0.35">
      <c r="B11" s="160">
        <v>7</v>
      </c>
      <c r="C11" s="169" t="s">
        <v>49</v>
      </c>
      <c r="D11" s="169" t="str">
        <f>'EZ Data'!D10</f>
        <v>Rajshahi</v>
      </c>
      <c r="E11" s="169" t="str">
        <f>'EZ Data'!E10</f>
        <v>Bogura</v>
      </c>
      <c r="F11" s="169" t="str">
        <f>'EZ Data'!F10</f>
        <v>Shahajahanpur</v>
      </c>
      <c r="G11" s="200">
        <f>'EZ Data'!AQ10</f>
        <v>251.43</v>
      </c>
      <c r="H11" s="198" t="str">
        <f>'EZ Data'!J10</f>
        <v>Priority 1</v>
      </c>
      <c r="I11" s="198" t="str">
        <f>'EZ Data'!AS10</f>
        <v>B Grade</v>
      </c>
      <c r="J11" s="162">
        <f t="shared" si="4"/>
        <v>0</v>
      </c>
      <c r="K11" s="161"/>
      <c r="L11" s="162">
        <f>IF('EZ Data'!O10="Yes",1,0)</f>
        <v>0</v>
      </c>
      <c r="M11" s="162">
        <f>IF('EZ Data'!Q10="Yes",1,0)</f>
        <v>1</v>
      </c>
      <c r="N11" s="162">
        <f>IF('EZ Data'!U10="Yes",1,0)</f>
        <v>1</v>
      </c>
      <c r="O11" s="189">
        <f>COUNTA('EZ Data'!BD10:BM10)</f>
        <v>6</v>
      </c>
      <c r="P11" s="190">
        <f t="shared" si="0"/>
        <v>3</v>
      </c>
      <c r="Q11" s="191">
        <f t="shared" si="5"/>
        <v>3</v>
      </c>
      <c r="R11" s="190">
        <f t="shared" si="1"/>
        <v>4</v>
      </c>
      <c r="S11" s="182">
        <f t="shared" si="2"/>
        <v>3</v>
      </c>
      <c r="T11" s="182">
        <f t="shared" si="3"/>
        <v>4</v>
      </c>
      <c r="U11" s="191">
        <f t="shared" si="6"/>
        <v>3.65</v>
      </c>
      <c r="V11" s="190">
        <v>4</v>
      </c>
      <c r="W11" s="182">
        <v>7</v>
      </c>
      <c r="X11" s="191">
        <f t="shared" si="7"/>
        <v>5.5</v>
      </c>
      <c r="Y11" s="187">
        <f t="shared" si="8"/>
        <v>2.0049999999999999</v>
      </c>
      <c r="Z11" s="188">
        <f t="shared" si="9"/>
        <v>33</v>
      </c>
      <c r="AB11" s="829" t="s">
        <v>1129</v>
      </c>
      <c r="AC11" s="829"/>
      <c r="AE11" s="829" t="s">
        <v>1130</v>
      </c>
      <c r="AF11" s="829"/>
      <c r="AH11" s="829" t="s">
        <v>1131</v>
      </c>
      <c r="AI11" s="829"/>
    </row>
    <row r="12" spans="2:35" x14ac:dyDescent="0.35">
      <c r="B12" s="160">
        <v>8</v>
      </c>
      <c r="C12" s="169" t="s">
        <v>31</v>
      </c>
      <c r="D12" s="169" t="str">
        <f>'EZ Data'!D11</f>
        <v>Chattogram</v>
      </c>
      <c r="E12" s="169" t="str">
        <f>'EZ Data'!E11</f>
        <v>Chandpur</v>
      </c>
      <c r="F12" s="169" t="str">
        <f>'EZ Data'!F11</f>
        <v>Matlab Uttar</v>
      </c>
      <c r="G12" s="200">
        <f>'EZ Data'!AQ11</f>
        <v>3037.85</v>
      </c>
      <c r="H12" s="198" t="str">
        <f>'EZ Data'!J11</f>
        <v>Priority 3</v>
      </c>
      <c r="I12" s="198" t="str">
        <f>'EZ Data'!AS11</f>
        <v>B Grade</v>
      </c>
      <c r="J12" s="162">
        <f t="shared" si="4"/>
        <v>0</v>
      </c>
      <c r="K12" s="161"/>
      <c r="L12" s="162">
        <f>IF('EZ Data'!O11="Yes",1,0)</f>
        <v>0</v>
      </c>
      <c r="M12" s="162">
        <f>IF('EZ Data'!Q11="Yes",1,0)</f>
        <v>1</v>
      </c>
      <c r="N12" s="162">
        <f>IF('EZ Data'!U11="Yes",1,0)</f>
        <v>0</v>
      </c>
      <c r="O12" s="189">
        <f>COUNTA('EZ Data'!BD11:BM11)</f>
        <v>10</v>
      </c>
      <c r="P12" s="190">
        <f t="shared" si="0"/>
        <v>4</v>
      </c>
      <c r="Q12" s="191">
        <f t="shared" si="5"/>
        <v>4</v>
      </c>
      <c r="R12" s="190">
        <f t="shared" si="1"/>
        <v>2</v>
      </c>
      <c r="S12" s="182">
        <f t="shared" si="2"/>
        <v>3</v>
      </c>
      <c r="T12" s="182">
        <f t="shared" si="3"/>
        <v>4</v>
      </c>
      <c r="U12" s="191">
        <f t="shared" si="6"/>
        <v>2.8499999999999996</v>
      </c>
      <c r="V12" s="190">
        <v>0</v>
      </c>
      <c r="W12" s="182">
        <v>0</v>
      </c>
      <c r="X12" s="191">
        <f t="shared" si="7"/>
        <v>0</v>
      </c>
      <c r="Y12" s="187">
        <f t="shared" si="8"/>
        <v>1.17</v>
      </c>
      <c r="Z12" s="188">
        <f t="shared" si="9"/>
        <v>73</v>
      </c>
      <c r="AB12" s="171" t="s">
        <v>515</v>
      </c>
      <c r="AC12" s="171" t="s">
        <v>495</v>
      </c>
      <c r="AE12" s="173" t="s">
        <v>11</v>
      </c>
      <c r="AF12" s="173" t="s">
        <v>495</v>
      </c>
      <c r="AH12" s="173" t="s">
        <v>516</v>
      </c>
      <c r="AI12" s="173" t="s">
        <v>495</v>
      </c>
    </row>
    <row r="13" spans="2:35" ht="14.5" customHeight="1" x14ac:dyDescent="0.35">
      <c r="B13" s="160">
        <v>9</v>
      </c>
      <c r="C13" s="169" t="s">
        <v>140</v>
      </c>
      <c r="D13" s="169" t="str">
        <f>'EZ Data'!D12</f>
        <v>Chattogram</v>
      </c>
      <c r="E13" s="169" t="str">
        <f>'EZ Data'!E12</f>
        <v>Chandpur</v>
      </c>
      <c r="F13" s="169" t="str">
        <f>'EZ Data'!F12</f>
        <v>Haimchar</v>
      </c>
      <c r="G13" s="200">
        <f>'EZ Data'!AQ12</f>
        <v>8005.01</v>
      </c>
      <c r="H13" s="198" t="str">
        <f>'EZ Data'!J12</f>
        <v>Priority 3</v>
      </c>
      <c r="I13" s="198" t="str">
        <f>'EZ Data'!AS12</f>
        <v>B Grade</v>
      </c>
      <c r="J13" s="162">
        <f t="shared" si="4"/>
        <v>1</v>
      </c>
      <c r="K13" s="161"/>
      <c r="L13" s="162">
        <f>IF('EZ Data'!O12="Yes",1,0)</f>
        <v>0</v>
      </c>
      <c r="M13" s="162">
        <f>IF('EZ Data'!Q12="Yes",1,0)</f>
        <v>0</v>
      </c>
      <c r="N13" s="162">
        <f>IF('EZ Data'!U12="Yes",1,0)</f>
        <v>0</v>
      </c>
      <c r="O13" s="189">
        <f>COUNTA('EZ Data'!BD12:BM12)</f>
        <v>0</v>
      </c>
      <c r="P13" s="190">
        <f t="shared" si="0"/>
        <v>4</v>
      </c>
      <c r="Q13" s="191">
        <f t="shared" si="5"/>
        <v>4</v>
      </c>
      <c r="R13" s="190">
        <f t="shared" si="1"/>
        <v>2</v>
      </c>
      <c r="S13" s="182">
        <f t="shared" si="2"/>
        <v>3</v>
      </c>
      <c r="T13" s="182">
        <f t="shared" si="3"/>
        <v>0</v>
      </c>
      <c r="U13" s="191">
        <f t="shared" si="6"/>
        <v>1.8499999999999999</v>
      </c>
      <c r="V13" s="190">
        <v>0</v>
      </c>
      <c r="W13" s="182">
        <v>0</v>
      </c>
      <c r="X13" s="191">
        <f t="shared" si="7"/>
        <v>0</v>
      </c>
      <c r="Y13" s="187">
        <f t="shared" si="8"/>
        <v>0.97</v>
      </c>
      <c r="Z13" s="188">
        <f t="shared" si="9"/>
        <v>90</v>
      </c>
      <c r="AB13" s="172" t="s">
        <v>415</v>
      </c>
      <c r="AC13" s="172">
        <v>4</v>
      </c>
      <c r="AE13" s="172" t="s">
        <v>412</v>
      </c>
      <c r="AF13" s="172">
        <v>4</v>
      </c>
      <c r="AH13" s="174" t="s">
        <v>1132</v>
      </c>
      <c r="AI13" s="172">
        <v>4</v>
      </c>
    </row>
    <row r="14" spans="2:35" ht="14.5" customHeight="1" x14ac:dyDescent="0.35">
      <c r="B14" s="160">
        <v>10</v>
      </c>
      <c r="C14" s="169" t="s">
        <v>162</v>
      </c>
      <c r="D14" s="169" t="str">
        <f>'EZ Data'!D13</f>
        <v>Barishal</v>
      </c>
      <c r="E14" s="169" t="str">
        <f>'EZ Data'!E13</f>
        <v>Barishal</v>
      </c>
      <c r="F14" s="169" t="str">
        <f>'EZ Data'!F13</f>
        <v>Hizla</v>
      </c>
      <c r="G14" s="200">
        <f>'EZ Data'!AQ13</f>
        <v>2255.96</v>
      </c>
      <c r="H14" s="198" t="str">
        <f>'EZ Data'!J13</f>
        <v>Priority 3</v>
      </c>
      <c r="I14" s="198" t="str">
        <f>'EZ Data'!AS13</f>
        <v>C Grade</v>
      </c>
      <c r="J14" s="162">
        <f t="shared" si="4"/>
        <v>1</v>
      </c>
      <c r="K14" s="161"/>
      <c r="L14" s="162">
        <f>IF('EZ Data'!O13="Yes",1,0)</f>
        <v>0</v>
      </c>
      <c r="M14" s="162">
        <f>IF('EZ Data'!Q13="Yes",1,0)</f>
        <v>0</v>
      </c>
      <c r="N14" s="162">
        <f>IF('EZ Data'!U13="Yes",1,0)</f>
        <v>0</v>
      </c>
      <c r="O14" s="189">
        <f>COUNTA('EZ Data'!BD13:BM13)</f>
        <v>0</v>
      </c>
      <c r="P14" s="190">
        <f t="shared" si="0"/>
        <v>4</v>
      </c>
      <c r="Q14" s="191">
        <f t="shared" si="5"/>
        <v>4</v>
      </c>
      <c r="R14" s="190">
        <f t="shared" si="1"/>
        <v>2</v>
      </c>
      <c r="S14" s="182">
        <f t="shared" si="2"/>
        <v>2</v>
      </c>
      <c r="T14" s="182">
        <f t="shared" si="3"/>
        <v>0</v>
      </c>
      <c r="U14" s="191">
        <f t="shared" si="6"/>
        <v>1.5</v>
      </c>
      <c r="V14" s="190">
        <v>4</v>
      </c>
      <c r="W14" s="182">
        <v>11</v>
      </c>
      <c r="X14" s="191">
        <f t="shared" si="7"/>
        <v>7.5</v>
      </c>
      <c r="Y14" s="187">
        <f t="shared" si="8"/>
        <v>2.0249999999999999</v>
      </c>
      <c r="Z14" s="188">
        <f t="shared" si="9"/>
        <v>32</v>
      </c>
      <c r="AB14" s="172" t="s">
        <v>443</v>
      </c>
      <c r="AC14" s="172">
        <v>3</v>
      </c>
      <c r="AE14" s="172" t="s">
        <v>435</v>
      </c>
      <c r="AF14" s="172">
        <v>3</v>
      </c>
      <c r="AH14" s="174" t="s">
        <v>1133</v>
      </c>
      <c r="AI14" s="172">
        <v>3</v>
      </c>
    </row>
    <row r="15" spans="2:35" ht="14.5" customHeight="1" x14ac:dyDescent="0.35">
      <c r="B15" s="160">
        <v>11</v>
      </c>
      <c r="C15" s="169" t="s">
        <v>157</v>
      </c>
      <c r="D15" s="169" t="str">
        <f>'EZ Data'!D14</f>
        <v>Chattogram</v>
      </c>
      <c r="E15" s="169" t="str">
        <f>'EZ Data'!E14</f>
        <v>Cox’s Bazar</v>
      </c>
      <c r="F15" s="169" t="str">
        <f>'EZ Data'!F14</f>
        <v>Moheshkhali</v>
      </c>
      <c r="G15" s="200">
        <f>'EZ Data'!AQ14</f>
        <v>8784.77</v>
      </c>
      <c r="H15" s="198" t="str">
        <f>'EZ Data'!J14</f>
        <v>Priority 3</v>
      </c>
      <c r="I15" s="198" t="str">
        <f>'EZ Data'!AS14</f>
        <v>C Grade</v>
      </c>
      <c r="J15" s="162">
        <f t="shared" si="4"/>
        <v>1</v>
      </c>
      <c r="K15" s="161"/>
      <c r="L15" s="162">
        <f>IF('EZ Data'!O14="Yes",1,0)</f>
        <v>0</v>
      </c>
      <c r="M15" s="162">
        <f>IF('EZ Data'!Q14="Yes",1,0)</f>
        <v>0</v>
      </c>
      <c r="N15" s="162">
        <f>IF('EZ Data'!U14="Yes",1,0)</f>
        <v>0</v>
      </c>
      <c r="O15" s="189">
        <f>COUNTA('EZ Data'!BD14:BM14)</f>
        <v>0</v>
      </c>
      <c r="P15" s="190">
        <f t="shared" si="0"/>
        <v>4</v>
      </c>
      <c r="Q15" s="191">
        <f t="shared" si="5"/>
        <v>4</v>
      </c>
      <c r="R15" s="190">
        <f t="shared" si="1"/>
        <v>2</v>
      </c>
      <c r="S15" s="182">
        <f t="shared" si="2"/>
        <v>2</v>
      </c>
      <c r="T15" s="182">
        <f t="shared" si="3"/>
        <v>0</v>
      </c>
      <c r="U15" s="191">
        <f t="shared" si="6"/>
        <v>1.5</v>
      </c>
      <c r="V15" s="190">
        <v>1</v>
      </c>
      <c r="W15" s="182">
        <v>4</v>
      </c>
      <c r="X15" s="191">
        <f t="shared" si="7"/>
        <v>2.5</v>
      </c>
      <c r="Y15" s="187">
        <f t="shared" si="8"/>
        <v>1.2749999999999999</v>
      </c>
      <c r="Z15" s="188">
        <f t="shared" si="9"/>
        <v>64</v>
      </c>
      <c r="AB15" s="172" t="s">
        <v>436</v>
      </c>
      <c r="AC15" s="172">
        <v>2</v>
      </c>
      <c r="AE15" s="172" t="s">
        <v>444</v>
      </c>
      <c r="AF15" s="172">
        <v>2</v>
      </c>
      <c r="AH15" s="174" t="s">
        <v>1134</v>
      </c>
      <c r="AI15" s="172">
        <v>2</v>
      </c>
    </row>
    <row r="16" spans="2:35" ht="14.5" customHeight="1" x14ac:dyDescent="0.35">
      <c r="B16" s="160">
        <v>12</v>
      </c>
      <c r="C16" s="169" t="s">
        <v>45</v>
      </c>
      <c r="D16" s="169" t="str">
        <f>'EZ Data'!D15</f>
        <v>Dhaka</v>
      </c>
      <c r="E16" s="169" t="str">
        <f>'EZ Data'!E15</f>
        <v>Dhaka</v>
      </c>
      <c r="F16" s="169" t="str">
        <f>'EZ Data'!F15</f>
        <v>Dohar</v>
      </c>
      <c r="G16" s="200">
        <f>'EZ Data'!AQ15</f>
        <v>316.35000000000002</v>
      </c>
      <c r="H16" s="198" t="str">
        <f>'EZ Data'!J15</f>
        <v>Priority 3</v>
      </c>
      <c r="I16" s="198" t="str">
        <f>'EZ Data'!AS15</f>
        <v>B Grade</v>
      </c>
      <c r="J16" s="162">
        <f t="shared" si="4"/>
        <v>0</v>
      </c>
      <c r="K16" s="161"/>
      <c r="L16" s="162">
        <f>IF('EZ Data'!O15="Yes",1,0)</f>
        <v>1</v>
      </c>
      <c r="M16" s="162">
        <f>IF('EZ Data'!Q15="Yes",1,0)</f>
        <v>0</v>
      </c>
      <c r="N16" s="162">
        <f>IF('EZ Data'!U15="Yes",1,0)</f>
        <v>0</v>
      </c>
      <c r="O16" s="189">
        <f>COUNTA('EZ Data'!BD15:BM15)</f>
        <v>0</v>
      </c>
      <c r="P16" s="190">
        <f t="shared" si="0"/>
        <v>3</v>
      </c>
      <c r="Q16" s="191">
        <f t="shared" si="5"/>
        <v>3</v>
      </c>
      <c r="R16" s="190">
        <f t="shared" si="1"/>
        <v>2</v>
      </c>
      <c r="S16" s="182">
        <f t="shared" si="2"/>
        <v>3</v>
      </c>
      <c r="T16" s="182">
        <f t="shared" si="3"/>
        <v>3</v>
      </c>
      <c r="U16" s="191">
        <f t="shared" si="6"/>
        <v>2.5999999999999996</v>
      </c>
      <c r="V16" s="190">
        <v>15</v>
      </c>
      <c r="W16" s="182">
        <v>15</v>
      </c>
      <c r="X16" s="191">
        <f t="shared" si="7"/>
        <v>15</v>
      </c>
      <c r="Y16" s="187">
        <f t="shared" si="8"/>
        <v>3.2199999999999998</v>
      </c>
      <c r="Z16" s="188">
        <f t="shared" si="9"/>
        <v>20</v>
      </c>
      <c r="AE16" s="172" t="s">
        <v>1135</v>
      </c>
      <c r="AF16" s="172">
        <v>1</v>
      </c>
      <c r="AH16" s="174" t="s">
        <v>1136</v>
      </c>
      <c r="AI16" s="172">
        <v>0</v>
      </c>
    </row>
    <row r="17" spans="2:32" ht="14.5" customHeight="1" x14ac:dyDescent="0.35">
      <c r="B17" s="160">
        <v>13</v>
      </c>
      <c r="C17" s="169" t="s">
        <v>26</v>
      </c>
      <c r="D17" s="169" t="str">
        <f>'EZ Data'!D16</f>
        <v>Dhaka</v>
      </c>
      <c r="E17" s="169" t="str">
        <f>'EZ Data'!E16</f>
        <v>Dhaka</v>
      </c>
      <c r="F17" s="169" t="str">
        <f>'EZ Data'!F16</f>
        <v>Keraniganj</v>
      </c>
      <c r="G17" s="200">
        <f>'EZ Data'!AQ16</f>
        <v>104.985</v>
      </c>
      <c r="H17" s="198" t="str">
        <f>'EZ Data'!J16</f>
        <v>Priority 3</v>
      </c>
      <c r="I17" s="198" t="str">
        <f>'EZ Data'!AS16</f>
        <v>B Grade</v>
      </c>
      <c r="J17" s="162">
        <f t="shared" si="4"/>
        <v>0</v>
      </c>
      <c r="K17" s="161"/>
      <c r="L17" s="162">
        <f>IF('EZ Data'!O16="Yes",1,0)</f>
        <v>1</v>
      </c>
      <c r="M17" s="162">
        <f>IF('EZ Data'!Q16="Yes",1,0)</f>
        <v>1</v>
      </c>
      <c r="N17" s="162">
        <f>IF('EZ Data'!U16="Yes",1,0)</f>
        <v>0</v>
      </c>
      <c r="O17" s="189">
        <f>COUNTA('EZ Data'!BD16:BM16)</f>
        <v>5</v>
      </c>
      <c r="P17" s="190">
        <f t="shared" si="0"/>
        <v>3</v>
      </c>
      <c r="Q17" s="191">
        <f t="shared" si="5"/>
        <v>3</v>
      </c>
      <c r="R17" s="190">
        <f t="shared" si="1"/>
        <v>2</v>
      </c>
      <c r="S17" s="182">
        <f t="shared" si="2"/>
        <v>3</v>
      </c>
      <c r="T17" s="182">
        <f t="shared" si="3"/>
        <v>4</v>
      </c>
      <c r="U17" s="191">
        <f t="shared" si="6"/>
        <v>2.8499999999999996</v>
      </c>
      <c r="V17" s="190">
        <v>15</v>
      </c>
      <c r="W17" s="182">
        <v>15</v>
      </c>
      <c r="X17" s="191">
        <f t="shared" si="7"/>
        <v>15</v>
      </c>
      <c r="Y17" s="187">
        <f t="shared" si="8"/>
        <v>3.27</v>
      </c>
      <c r="Z17" s="188">
        <f t="shared" si="9"/>
        <v>19</v>
      </c>
    </row>
    <row r="18" spans="2:32" ht="24.75" customHeight="1" x14ac:dyDescent="0.35">
      <c r="B18" s="160">
        <v>14</v>
      </c>
      <c r="C18" s="169" t="s">
        <v>207</v>
      </c>
      <c r="D18" s="169" t="str">
        <f>'EZ Data'!D17</f>
        <v>Rangpur</v>
      </c>
      <c r="E18" s="169" t="str">
        <f>'EZ Data'!E17</f>
        <v>Dinajpur</v>
      </c>
      <c r="F18" s="169" t="str">
        <f>'EZ Data'!F17</f>
        <v>Dinajpur Sadar</v>
      </c>
      <c r="G18" s="200">
        <f>'EZ Data'!AQ17</f>
        <v>344.16500000000002</v>
      </c>
      <c r="H18" s="198" t="str">
        <f>'EZ Data'!J17</f>
        <v>Priority 3</v>
      </c>
      <c r="I18" s="198" t="str">
        <f>'EZ Data'!AS17</f>
        <v>B Grade</v>
      </c>
      <c r="J18" s="162">
        <f t="shared" si="4"/>
        <v>1</v>
      </c>
      <c r="K18" s="161"/>
      <c r="L18" s="162">
        <f>IF('EZ Data'!O17="Yes",1,0)</f>
        <v>0</v>
      </c>
      <c r="M18" s="162">
        <f>IF('EZ Data'!Q17="Yes",1,0)</f>
        <v>0</v>
      </c>
      <c r="N18" s="162">
        <f>IF('EZ Data'!U17="Yes",1,0)</f>
        <v>0</v>
      </c>
      <c r="O18" s="189">
        <f>COUNTA('EZ Data'!BD17:BM17)</f>
        <v>0</v>
      </c>
      <c r="P18" s="190">
        <f t="shared" si="0"/>
        <v>3</v>
      </c>
      <c r="Q18" s="191">
        <f t="shared" si="5"/>
        <v>3</v>
      </c>
      <c r="R18" s="190">
        <f t="shared" si="1"/>
        <v>2</v>
      </c>
      <c r="S18" s="182">
        <f t="shared" si="2"/>
        <v>3</v>
      </c>
      <c r="T18" s="182">
        <f t="shared" si="3"/>
        <v>0</v>
      </c>
      <c r="U18" s="191">
        <f t="shared" si="6"/>
        <v>1.8499999999999999</v>
      </c>
      <c r="V18" s="190">
        <f>VLOOKUP(O18,$AB$19:$AC$22,2,TRUE)</f>
        <v>1</v>
      </c>
      <c r="W18" s="182">
        <v>2</v>
      </c>
      <c r="X18" s="191">
        <f t="shared" si="7"/>
        <v>1.5</v>
      </c>
      <c r="Y18" s="187">
        <f t="shared" si="8"/>
        <v>1.0449999999999999</v>
      </c>
      <c r="Z18" s="188">
        <f t="shared" si="9"/>
        <v>84</v>
      </c>
      <c r="AB18" s="829" t="s">
        <v>1137</v>
      </c>
      <c r="AC18" s="829"/>
      <c r="AE18" s="829" t="s">
        <v>1138</v>
      </c>
      <c r="AF18" s="829"/>
    </row>
    <row r="19" spans="2:32" ht="14.5" customHeight="1" x14ac:dyDescent="0.35">
      <c r="B19" s="160">
        <v>15</v>
      </c>
      <c r="C19" s="169" t="s">
        <v>210</v>
      </c>
      <c r="D19" s="169" t="str">
        <f>'EZ Data'!D18</f>
        <v>Dhaka</v>
      </c>
      <c r="E19" s="169" t="str">
        <f>'EZ Data'!E18</f>
        <v>Faridpur</v>
      </c>
      <c r="F19" s="169" t="str">
        <f>'EZ Data'!F18</f>
        <v>Faridpur Sadar</v>
      </c>
      <c r="G19" s="200">
        <f>'EZ Data'!AQ18</f>
        <v>888.28</v>
      </c>
      <c r="H19" s="198" t="str">
        <f>'EZ Data'!J18</f>
        <v>Priority 3</v>
      </c>
      <c r="I19" s="198" t="str">
        <f>'EZ Data'!AS18</f>
        <v>C Grade</v>
      </c>
      <c r="J19" s="162">
        <f t="shared" si="4"/>
        <v>1</v>
      </c>
      <c r="K19" s="161"/>
      <c r="L19" s="162">
        <f>IF('EZ Data'!O18="Yes",1,0)</f>
        <v>0</v>
      </c>
      <c r="M19" s="162">
        <f>IF('EZ Data'!Q18="Yes",1,0)</f>
        <v>0</v>
      </c>
      <c r="N19" s="162">
        <f>IF('EZ Data'!U18="Yes",1,0)</f>
        <v>0</v>
      </c>
      <c r="O19" s="189">
        <f>COUNTA('EZ Data'!BD18:BM18)</f>
        <v>0</v>
      </c>
      <c r="P19" s="190">
        <f t="shared" si="0"/>
        <v>4</v>
      </c>
      <c r="Q19" s="191">
        <f t="shared" si="5"/>
        <v>4</v>
      </c>
      <c r="R19" s="190">
        <f t="shared" si="1"/>
        <v>2</v>
      </c>
      <c r="S19" s="182">
        <f t="shared" si="2"/>
        <v>2</v>
      </c>
      <c r="T19" s="182">
        <f t="shared" si="3"/>
        <v>0</v>
      </c>
      <c r="U19" s="191">
        <f t="shared" si="6"/>
        <v>1.5</v>
      </c>
      <c r="V19" s="190">
        <v>0</v>
      </c>
      <c r="W19" s="182">
        <v>2</v>
      </c>
      <c r="X19" s="191">
        <f t="shared" si="7"/>
        <v>1</v>
      </c>
      <c r="Y19" s="187">
        <f t="shared" si="8"/>
        <v>1.05</v>
      </c>
      <c r="Z19" s="188">
        <f t="shared" si="9"/>
        <v>82</v>
      </c>
      <c r="AB19" s="171" t="s">
        <v>520</v>
      </c>
      <c r="AC19" s="171" t="s">
        <v>495</v>
      </c>
      <c r="AE19" s="171" t="s">
        <v>520</v>
      </c>
      <c r="AF19" s="171" t="s">
        <v>495</v>
      </c>
    </row>
    <row r="20" spans="2:32" ht="14.5" customHeight="1" x14ac:dyDescent="0.35">
      <c r="B20" s="160">
        <v>16</v>
      </c>
      <c r="C20" s="169" t="s">
        <v>18</v>
      </c>
      <c r="D20" s="169" t="str">
        <f>'EZ Data'!D19</f>
        <v>Chattogram</v>
      </c>
      <c r="E20" s="169" t="str">
        <f>'EZ Data'!E19</f>
        <v>Feni</v>
      </c>
      <c r="F20" s="169" t="str">
        <f>'EZ Data'!F19</f>
        <v>Sonagazi</v>
      </c>
      <c r="G20" s="200">
        <f>'EZ Data'!AQ19</f>
        <v>9549.5499999999993</v>
      </c>
      <c r="H20" s="198" t="str">
        <f>'EZ Data'!J19</f>
        <v>Priority 1</v>
      </c>
      <c r="I20" s="198" t="str">
        <f>'EZ Data'!AS19</f>
        <v>A Grade</v>
      </c>
      <c r="J20" s="162">
        <f t="shared" si="4"/>
        <v>0</v>
      </c>
      <c r="K20" s="161"/>
      <c r="L20" s="162">
        <f>IF('EZ Data'!O19="Yes",1,0)</f>
        <v>0</v>
      </c>
      <c r="M20" s="162">
        <f>IF('EZ Data'!Q19="Yes",1,0)</f>
        <v>1</v>
      </c>
      <c r="N20" s="162">
        <f>IF('EZ Data'!U19="Yes",1,0)</f>
        <v>0</v>
      </c>
      <c r="O20" s="189">
        <f>COUNTA('EZ Data'!BD19:BM19)</f>
        <v>9</v>
      </c>
      <c r="P20" s="190">
        <f t="shared" si="0"/>
        <v>4</v>
      </c>
      <c r="Q20" s="191">
        <f t="shared" si="5"/>
        <v>4</v>
      </c>
      <c r="R20" s="190">
        <f t="shared" si="1"/>
        <v>4</v>
      </c>
      <c r="S20" s="182">
        <f t="shared" si="2"/>
        <v>4</v>
      </c>
      <c r="T20" s="182">
        <f t="shared" si="3"/>
        <v>4</v>
      </c>
      <c r="U20" s="191">
        <f t="shared" si="6"/>
        <v>4</v>
      </c>
      <c r="V20" s="190">
        <v>2</v>
      </c>
      <c r="W20" s="182">
        <v>2</v>
      </c>
      <c r="X20" s="191">
        <f t="shared" si="7"/>
        <v>2</v>
      </c>
      <c r="Y20" s="187">
        <f t="shared" si="8"/>
        <v>1.7</v>
      </c>
      <c r="Z20" s="188">
        <f t="shared" si="9"/>
        <v>39</v>
      </c>
      <c r="AB20" s="172">
        <v>0</v>
      </c>
      <c r="AC20" s="172">
        <v>1</v>
      </c>
      <c r="AE20" s="172">
        <v>0</v>
      </c>
      <c r="AF20" s="172">
        <v>1</v>
      </c>
    </row>
    <row r="21" spans="2:32" ht="14.5" customHeight="1" x14ac:dyDescent="0.35">
      <c r="B21" s="160">
        <v>17</v>
      </c>
      <c r="C21" s="169" t="s">
        <v>234</v>
      </c>
      <c r="D21" s="169" t="str">
        <f>'EZ Data'!D20</f>
        <v>Dhaka</v>
      </c>
      <c r="E21" s="169" t="str">
        <f>'EZ Data'!E20</f>
        <v>Munshiganj</v>
      </c>
      <c r="F21" s="169" t="str">
        <f>'EZ Data'!F20</f>
        <v>Gajaria</v>
      </c>
      <c r="G21" s="200">
        <f>'EZ Data'!AQ20</f>
        <v>97.98</v>
      </c>
      <c r="H21" s="198" t="str">
        <f>'EZ Data'!J20</f>
        <v>Priority 3</v>
      </c>
      <c r="I21" s="198" t="str">
        <f>'EZ Data'!AS20</f>
        <v>C Grade</v>
      </c>
      <c r="J21" s="162">
        <f t="shared" si="4"/>
        <v>1</v>
      </c>
      <c r="K21" s="161"/>
      <c r="L21" s="162">
        <f>IF('EZ Data'!O20="Yes",1,0)</f>
        <v>0</v>
      </c>
      <c r="M21" s="162">
        <f>IF('EZ Data'!Q20="Yes",1,0)</f>
        <v>0</v>
      </c>
      <c r="N21" s="162">
        <f>IF('EZ Data'!U20="Yes",1,0)</f>
        <v>0</v>
      </c>
      <c r="O21" s="189">
        <f>COUNTA('EZ Data'!BD20:BM20)</f>
        <v>0</v>
      </c>
      <c r="P21" s="190">
        <f t="shared" si="0"/>
        <v>2</v>
      </c>
      <c r="Q21" s="191">
        <f t="shared" si="5"/>
        <v>2</v>
      </c>
      <c r="R21" s="190">
        <f t="shared" si="1"/>
        <v>2</v>
      </c>
      <c r="S21" s="182">
        <f t="shared" si="2"/>
        <v>2</v>
      </c>
      <c r="T21" s="182">
        <f t="shared" si="3"/>
        <v>0</v>
      </c>
      <c r="U21" s="191">
        <f t="shared" si="6"/>
        <v>1.5</v>
      </c>
      <c r="V21" s="190">
        <v>5</v>
      </c>
      <c r="W21" s="182">
        <v>6</v>
      </c>
      <c r="X21" s="191">
        <f t="shared" si="7"/>
        <v>5.5</v>
      </c>
      <c r="Y21" s="187">
        <f t="shared" si="8"/>
        <v>1.425</v>
      </c>
      <c r="Z21" s="188">
        <f t="shared" si="9"/>
        <v>54</v>
      </c>
      <c r="AB21" s="172">
        <v>5</v>
      </c>
      <c r="AC21" s="172">
        <v>3</v>
      </c>
      <c r="AE21" s="172">
        <v>2</v>
      </c>
      <c r="AF21" s="172">
        <v>3</v>
      </c>
    </row>
    <row r="22" spans="2:32" ht="14.5" customHeight="1" x14ac:dyDescent="0.35">
      <c r="B22" s="160">
        <v>18</v>
      </c>
      <c r="C22" s="169" t="s">
        <v>24</v>
      </c>
      <c r="D22" s="169" t="str">
        <f>'EZ Data'!D21</f>
        <v>Dhaka</v>
      </c>
      <c r="E22" s="169" t="str">
        <f>'EZ Data'!E21</f>
        <v>Gopalganj</v>
      </c>
      <c r="F22" s="169" t="str">
        <f>'EZ Data'!F21</f>
        <v>Kotalipara</v>
      </c>
      <c r="G22" s="200">
        <f>'EZ Data'!AQ21</f>
        <v>201.83</v>
      </c>
      <c r="H22" s="198" t="str">
        <f>'EZ Data'!J21</f>
        <v>Priority 1</v>
      </c>
      <c r="I22" s="198" t="str">
        <f>'EZ Data'!AS21</f>
        <v>A Grade</v>
      </c>
      <c r="J22" s="162">
        <f t="shared" si="4"/>
        <v>0</v>
      </c>
      <c r="K22" s="161"/>
      <c r="L22" s="162">
        <f>IF('EZ Data'!O21="Yes",1,0)</f>
        <v>0</v>
      </c>
      <c r="M22" s="162">
        <f>IF('EZ Data'!Q21="Yes",1,0)</f>
        <v>1</v>
      </c>
      <c r="N22" s="162">
        <f>IF('EZ Data'!U21="Yes",1,0)</f>
        <v>0</v>
      </c>
      <c r="O22" s="189">
        <f>COUNTA('EZ Data'!BD21:BM21)</f>
        <v>4</v>
      </c>
      <c r="P22" s="190">
        <f t="shared" si="0"/>
        <v>3</v>
      </c>
      <c r="Q22" s="191">
        <f t="shared" si="5"/>
        <v>3</v>
      </c>
      <c r="R22" s="190">
        <f t="shared" si="1"/>
        <v>4</v>
      </c>
      <c r="S22" s="182">
        <f t="shared" si="2"/>
        <v>4</v>
      </c>
      <c r="T22" s="182">
        <f t="shared" si="3"/>
        <v>4</v>
      </c>
      <c r="U22" s="191">
        <f t="shared" si="6"/>
        <v>4</v>
      </c>
      <c r="V22" s="190">
        <v>0</v>
      </c>
      <c r="W22" s="182">
        <v>4</v>
      </c>
      <c r="X22" s="191">
        <f t="shared" si="7"/>
        <v>2</v>
      </c>
      <c r="Y22" s="187">
        <f t="shared" si="8"/>
        <v>1.55</v>
      </c>
      <c r="Z22" s="188">
        <f t="shared" si="9"/>
        <v>47</v>
      </c>
      <c r="AB22" s="172">
        <v>11</v>
      </c>
      <c r="AC22" s="172">
        <v>4</v>
      </c>
      <c r="AE22" s="172">
        <v>6</v>
      </c>
      <c r="AF22" s="172">
        <v>4</v>
      </c>
    </row>
    <row r="23" spans="2:32" ht="14.5" customHeight="1" x14ac:dyDescent="0.35">
      <c r="B23" s="160">
        <v>19</v>
      </c>
      <c r="C23" s="169" t="s">
        <v>218</v>
      </c>
      <c r="D23" s="169" t="str">
        <f>'EZ Data'!D22</f>
        <v>Dhaka</v>
      </c>
      <c r="E23" s="169" t="str">
        <f>'EZ Data'!E22</f>
        <v>Gopalganj</v>
      </c>
      <c r="F23" s="169" t="str">
        <f>'EZ Data'!F22</f>
        <v>Gopalganj Sadar</v>
      </c>
      <c r="G23" s="200">
        <f>'EZ Data'!AQ22</f>
        <v>200</v>
      </c>
      <c r="H23" s="198" t="str">
        <f>'EZ Data'!J22</f>
        <v>Priority 3</v>
      </c>
      <c r="I23" s="198" t="str">
        <f>'EZ Data'!AS22</f>
        <v>C Grade</v>
      </c>
      <c r="J23" s="162">
        <f t="shared" si="4"/>
        <v>1</v>
      </c>
      <c r="K23" s="161"/>
      <c r="L23" s="162">
        <f>IF('EZ Data'!O22="Yes",1,0)</f>
        <v>0</v>
      </c>
      <c r="M23" s="162">
        <f>IF('EZ Data'!Q22="Yes",1,0)</f>
        <v>0</v>
      </c>
      <c r="N23" s="162">
        <f>IF('EZ Data'!U22="Yes",1,0)</f>
        <v>0</v>
      </c>
      <c r="O23" s="189">
        <f>COUNTA('EZ Data'!BD22:BM22)</f>
        <v>0</v>
      </c>
      <c r="P23" s="190">
        <f t="shared" si="0"/>
        <v>3</v>
      </c>
      <c r="Q23" s="191">
        <f t="shared" si="5"/>
        <v>3</v>
      </c>
      <c r="R23" s="190">
        <f t="shared" si="1"/>
        <v>2</v>
      </c>
      <c r="S23" s="182">
        <f t="shared" si="2"/>
        <v>2</v>
      </c>
      <c r="T23" s="182">
        <f t="shared" si="3"/>
        <v>0</v>
      </c>
      <c r="U23" s="191">
        <f t="shared" si="6"/>
        <v>1.5</v>
      </c>
      <c r="V23" s="190">
        <v>0</v>
      </c>
      <c r="W23" s="182">
        <v>4</v>
      </c>
      <c r="X23" s="191">
        <f t="shared" si="7"/>
        <v>2</v>
      </c>
      <c r="Y23" s="187">
        <f t="shared" si="8"/>
        <v>1.05</v>
      </c>
      <c r="Z23" s="188">
        <f t="shared" si="9"/>
        <v>82</v>
      </c>
    </row>
    <row r="24" spans="2:32" ht="14.5" customHeight="1" x14ac:dyDescent="0.35">
      <c r="B24" s="160">
        <v>20</v>
      </c>
      <c r="C24" s="169" t="s">
        <v>151</v>
      </c>
      <c r="D24" s="169" t="str">
        <f>'EZ Data'!D23</f>
        <v>Sylhet</v>
      </c>
      <c r="E24" s="169" t="str">
        <f>'EZ Data'!E23</f>
        <v>Habiganj</v>
      </c>
      <c r="F24" s="169" t="str">
        <f>'EZ Data'!F23</f>
        <v>Chunarughat</v>
      </c>
      <c r="G24" s="200">
        <f>'EZ Data'!AQ23</f>
        <v>511.83</v>
      </c>
      <c r="H24" s="198" t="str">
        <f>'EZ Data'!J23</f>
        <v>Priority 3</v>
      </c>
      <c r="I24" s="198" t="str">
        <f>'EZ Data'!AS23</f>
        <v>B Grade</v>
      </c>
      <c r="J24" s="162">
        <f t="shared" si="4"/>
        <v>1</v>
      </c>
      <c r="K24" s="161"/>
      <c r="L24" s="162">
        <f>IF('EZ Data'!O23="Yes",1,0)</f>
        <v>0</v>
      </c>
      <c r="M24" s="162">
        <f>IF('EZ Data'!Q23="Yes",1,0)</f>
        <v>0</v>
      </c>
      <c r="N24" s="162">
        <f>IF('EZ Data'!U23="Yes",1,0)</f>
        <v>0</v>
      </c>
      <c r="O24" s="189">
        <f>COUNTA('EZ Data'!BD23:BM23)</f>
        <v>0</v>
      </c>
      <c r="P24" s="190">
        <f t="shared" si="0"/>
        <v>4</v>
      </c>
      <c r="Q24" s="191">
        <f t="shared" si="5"/>
        <v>4</v>
      </c>
      <c r="R24" s="190">
        <f t="shared" si="1"/>
        <v>2</v>
      </c>
      <c r="S24" s="182">
        <f t="shared" si="2"/>
        <v>3</v>
      </c>
      <c r="T24" s="182">
        <f t="shared" si="3"/>
        <v>0</v>
      </c>
      <c r="U24" s="191">
        <f t="shared" si="6"/>
        <v>1.8499999999999999</v>
      </c>
      <c r="V24" s="190">
        <v>5</v>
      </c>
      <c r="W24" s="182">
        <v>5</v>
      </c>
      <c r="X24" s="191">
        <f t="shared" si="7"/>
        <v>5</v>
      </c>
      <c r="Y24" s="187">
        <f t="shared" si="8"/>
        <v>1.72</v>
      </c>
      <c r="Z24" s="188">
        <f t="shared" si="9"/>
        <v>38</v>
      </c>
    </row>
    <row r="25" spans="2:32" ht="14.5" customHeight="1" x14ac:dyDescent="0.35">
      <c r="B25" s="160">
        <v>21</v>
      </c>
      <c r="C25" s="169" t="s">
        <v>43</v>
      </c>
      <c r="D25" s="169" t="str">
        <f>'EZ Data'!D24</f>
        <v>Mymensingh</v>
      </c>
      <c r="E25" s="169" t="str">
        <f>'EZ Data'!E24</f>
        <v>Jamalpur</v>
      </c>
      <c r="F25" s="169" t="str">
        <f>'EZ Data'!F24</f>
        <v>Jamalpur Sadar</v>
      </c>
      <c r="G25" s="200">
        <f>'EZ Data'!AQ24</f>
        <v>441.64</v>
      </c>
      <c r="H25" s="198" t="str">
        <f>'EZ Data'!J24</f>
        <v>Priority 1</v>
      </c>
      <c r="I25" s="198" t="str">
        <f>'EZ Data'!AS24</f>
        <v>A Grade</v>
      </c>
      <c r="J25" s="162">
        <f t="shared" si="4"/>
        <v>0</v>
      </c>
      <c r="K25" s="161"/>
      <c r="L25" s="162">
        <f>IF('EZ Data'!O24="Yes",1,0)</f>
        <v>0</v>
      </c>
      <c r="M25" s="162">
        <f>IF('EZ Data'!Q24="Yes",1,0)</f>
        <v>1</v>
      </c>
      <c r="N25" s="162">
        <f>IF('EZ Data'!U24="Yes",1,0)</f>
        <v>1</v>
      </c>
      <c r="O25" s="189">
        <f>COUNTA('EZ Data'!BD24:BM24)</f>
        <v>6</v>
      </c>
      <c r="P25" s="190">
        <f t="shared" si="0"/>
        <v>3</v>
      </c>
      <c r="Q25" s="191">
        <f t="shared" si="5"/>
        <v>3</v>
      </c>
      <c r="R25" s="190">
        <f t="shared" si="1"/>
        <v>4</v>
      </c>
      <c r="S25" s="182">
        <f t="shared" si="2"/>
        <v>4</v>
      </c>
      <c r="T25" s="182">
        <f t="shared" si="3"/>
        <v>4</v>
      </c>
      <c r="U25" s="191">
        <f t="shared" si="6"/>
        <v>4</v>
      </c>
      <c r="V25" s="190">
        <v>1</v>
      </c>
      <c r="W25" s="182">
        <v>3</v>
      </c>
      <c r="X25" s="191">
        <f t="shared" si="7"/>
        <v>2</v>
      </c>
      <c r="Y25" s="187">
        <f t="shared" si="8"/>
        <v>1.55</v>
      </c>
      <c r="Z25" s="188">
        <f t="shared" si="9"/>
        <v>47</v>
      </c>
    </row>
    <row r="26" spans="2:32" ht="14.5" customHeight="1" x14ac:dyDescent="0.35">
      <c r="B26" s="160">
        <v>22</v>
      </c>
      <c r="C26" s="169" t="s">
        <v>149</v>
      </c>
      <c r="D26" s="169" t="str">
        <f>'EZ Data'!D25</f>
        <v>Khulna</v>
      </c>
      <c r="E26" s="169" t="str">
        <f>'EZ Data'!E25</f>
        <v>Khulna</v>
      </c>
      <c r="F26" s="169" t="str">
        <f>'EZ Data'!F25</f>
        <v>Batiaghata</v>
      </c>
      <c r="G26" s="200">
        <f>'EZ Data'!AQ25</f>
        <v>208.63</v>
      </c>
      <c r="H26" s="198" t="str">
        <f>'EZ Data'!J25</f>
        <v>Priority 2</v>
      </c>
      <c r="I26" s="198" t="str">
        <f>'EZ Data'!AS25</f>
        <v>C Grade</v>
      </c>
      <c r="J26" s="162">
        <f t="shared" si="4"/>
        <v>1</v>
      </c>
      <c r="K26" s="161"/>
      <c r="L26" s="162">
        <f>IF('EZ Data'!O25="Yes",1,0)</f>
        <v>0</v>
      </c>
      <c r="M26" s="162">
        <f>IF('EZ Data'!Q25="Yes",1,0)</f>
        <v>0</v>
      </c>
      <c r="N26" s="162">
        <f>IF('EZ Data'!U25="Yes",1,0)</f>
        <v>0</v>
      </c>
      <c r="O26" s="189">
        <f>COUNTA('EZ Data'!BD25:BM25)</f>
        <v>0</v>
      </c>
      <c r="P26" s="190">
        <f t="shared" si="0"/>
        <v>3</v>
      </c>
      <c r="Q26" s="191">
        <f t="shared" si="5"/>
        <v>3</v>
      </c>
      <c r="R26" s="190">
        <f t="shared" si="1"/>
        <v>3</v>
      </c>
      <c r="S26" s="182">
        <f t="shared" si="2"/>
        <v>2</v>
      </c>
      <c r="T26" s="182">
        <f t="shared" si="3"/>
        <v>0</v>
      </c>
      <c r="U26" s="191">
        <f t="shared" si="6"/>
        <v>1.9000000000000001</v>
      </c>
      <c r="V26" s="190">
        <v>10</v>
      </c>
      <c r="W26" s="182">
        <v>15</v>
      </c>
      <c r="X26" s="191">
        <f t="shared" si="7"/>
        <v>12.5</v>
      </c>
      <c r="Y26" s="187">
        <f t="shared" si="8"/>
        <v>2.7050000000000001</v>
      </c>
      <c r="Z26" s="188">
        <f t="shared" si="9"/>
        <v>26</v>
      </c>
    </row>
    <row r="27" spans="2:32" ht="14.5" customHeight="1" x14ac:dyDescent="0.35">
      <c r="B27" s="160">
        <v>23</v>
      </c>
      <c r="C27" s="169" t="s">
        <v>186</v>
      </c>
      <c r="D27" s="169" t="str">
        <f>'EZ Data'!D26</f>
        <v>Khulna</v>
      </c>
      <c r="E27" s="169" t="str">
        <f>'EZ Data'!E26</f>
        <v>Khulna</v>
      </c>
      <c r="F27" s="169" t="str">
        <f>'EZ Data'!F26</f>
        <v>Terokhada</v>
      </c>
      <c r="G27" s="200">
        <f>'EZ Data'!AQ26</f>
        <v>509.64</v>
      </c>
      <c r="H27" s="198" t="str">
        <f>'EZ Data'!J26</f>
        <v>Priority 3</v>
      </c>
      <c r="I27" s="198" t="str">
        <f>'EZ Data'!AS26</f>
        <v>C Grade</v>
      </c>
      <c r="J27" s="162">
        <f t="shared" si="4"/>
        <v>1</v>
      </c>
      <c r="K27" s="161"/>
      <c r="L27" s="162">
        <f>IF('EZ Data'!O26="Yes",1,0)</f>
        <v>0</v>
      </c>
      <c r="M27" s="162">
        <f>IF('EZ Data'!Q26="Yes",1,0)</f>
        <v>0</v>
      </c>
      <c r="N27" s="162">
        <f>IF('EZ Data'!U26="Yes",1,0)</f>
        <v>0</v>
      </c>
      <c r="O27" s="189">
        <f>COUNTA('EZ Data'!BD26:BM26)</f>
        <v>0</v>
      </c>
      <c r="P27" s="190">
        <f t="shared" si="0"/>
        <v>4</v>
      </c>
      <c r="Q27" s="191">
        <f t="shared" si="5"/>
        <v>4</v>
      </c>
      <c r="R27" s="190">
        <f t="shared" si="1"/>
        <v>2</v>
      </c>
      <c r="S27" s="182">
        <f t="shared" si="2"/>
        <v>2</v>
      </c>
      <c r="T27" s="182">
        <f t="shared" si="3"/>
        <v>0</v>
      </c>
      <c r="U27" s="191">
        <f t="shared" si="6"/>
        <v>1.5</v>
      </c>
      <c r="V27" s="190">
        <v>10</v>
      </c>
      <c r="W27" s="182">
        <v>15</v>
      </c>
      <c r="X27" s="191">
        <f t="shared" si="7"/>
        <v>12.5</v>
      </c>
      <c r="Y27" s="187">
        <f t="shared" si="8"/>
        <v>2.7749999999999999</v>
      </c>
      <c r="Z27" s="188">
        <f t="shared" si="9"/>
        <v>23</v>
      </c>
    </row>
    <row r="28" spans="2:32" ht="14.5" customHeight="1" x14ac:dyDescent="0.35">
      <c r="B28" s="160">
        <v>24</v>
      </c>
      <c r="C28" s="169" t="s">
        <v>172</v>
      </c>
      <c r="D28" s="169" t="str">
        <f>'EZ Data'!D27</f>
        <v>Rangpur</v>
      </c>
      <c r="E28" s="169" t="str">
        <f>'EZ Data'!E27</f>
        <v>Kurigram</v>
      </c>
      <c r="F28" s="169" t="str">
        <f>'EZ Data'!F27</f>
        <v>Kurigram Sadar</v>
      </c>
      <c r="G28" s="200">
        <f>'EZ Data'!AQ27</f>
        <v>211.64</v>
      </c>
      <c r="H28" s="198" t="str">
        <f>'EZ Data'!J27</f>
        <v>Priority 2</v>
      </c>
      <c r="I28" s="198" t="str">
        <f>'EZ Data'!AS27</f>
        <v>C Grade</v>
      </c>
      <c r="J28" s="162">
        <f t="shared" si="4"/>
        <v>1</v>
      </c>
      <c r="K28" s="161"/>
      <c r="L28" s="162">
        <f>IF('EZ Data'!O27="Yes",1,0)</f>
        <v>0</v>
      </c>
      <c r="M28" s="162">
        <f>IF('EZ Data'!Q27="Yes",1,0)</f>
        <v>0</v>
      </c>
      <c r="N28" s="162">
        <f>IF('EZ Data'!U27="Yes",1,0)</f>
        <v>0</v>
      </c>
      <c r="O28" s="189">
        <f>COUNTA('EZ Data'!BD27:BM27)</f>
        <v>0</v>
      </c>
      <c r="P28" s="190">
        <f t="shared" si="0"/>
        <v>3</v>
      </c>
      <c r="Q28" s="191">
        <f t="shared" si="5"/>
        <v>3</v>
      </c>
      <c r="R28" s="190">
        <f t="shared" si="1"/>
        <v>3</v>
      </c>
      <c r="S28" s="182">
        <f t="shared" si="2"/>
        <v>2</v>
      </c>
      <c r="T28" s="182">
        <f t="shared" si="3"/>
        <v>0</v>
      </c>
      <c r="U28" s="191">
        <f t="shared" si="6"/>
        <v>1.9000000000000001</v>
      </c>
      <c r="V28" s="190">
        <v>0</v>
      </c>
      <c r="W28" s="182">
        <v>0</v>
      </c>
      <c r="X28" s="191">
        <f t="shared" si="7"/>
        <v>0</v>
      </c>
      <c r="Y28" s="187">
        <f t="shared" si="8"/>
        <v>0.83000000000000007</v>
      </c>
      <c r="Z28" s="188">
        <f t="shared" si="9"/>
        <v>92</v>
      </c>
    </row>
    <row r="29" spans="2:32" ht="14.5" customHeight="1" x14ac:dyDescent="0.35">
      <c r="B29" s="160">
        <v>25</v>
      </c>
      <c r="C29" s="169" t="s">
        <v>204</v>
      </c>
      <c r="D29" s="169" t="str">
        <f>'EZ Data'!D28</f>
        <v>Dhaka</v>
      </c>
      <c r="E29" s="169" t="str">
        <f>'EZ Data'!E28</f>
        <v>Madaripur</v>
      </c>
      <c r="F29" s="169" t="str">
        <f>'EZ Data'!F28</f>
        <v>Rajoir</v>
      </c>
      <c r="G29" s="200">
        <f>'EZ Data'!AQ28</f>
        <v>1125</v>
      </c>
      <c r="H29" s="198" t="str">
        <f>'EZ Data'!J28</f>
        <v>Priority 3</v>
      </c>
      <c r="I29" s="198" t="str">
        <f>'EZ Data'!AS28</f>
        <v>C Grade</v>
      </c>
      <c r="J29" s="162">
        <f t="shared" si="4"/>
        <v>1</v>
      </c>
      <c r="K29" s="161"/>
      <c r="L29" s="162">
        <f>IF('EZ Data'!O28="Yes",1,0)</f>
        <v>0</v>
      </c>
      <c r="M29" s="162">
        <f>IF('EZ Data'!Q28="Yes",1,0)</f>
        <v>0</v>
      </c>
      <c r="N29" s="162">
        <f>IF('EZ Data'!U28="Yes",1,0)</f>
        <v>0</v>
      </c>
      <c r="O29" s="189">
        <f>COUNTA('EZ Data'!BD28:BM28)</f>
        <v>0</v>
      </c>
      <c r="P29" s="190">
        <f t="shared" si="0"/>
        <v>4</v>
      </c>
      <c r="Q29" s="191">
        <f t="shared" si="5"/>
        <v>4</v>
      </c>
      <c r="R29" s="190">
        <f t="shared" si="1"/>
        <v>2</v>
      </c>
      <c r="S29" s="182">
        <f t="shared" si="2"/>
        <v>2</v>
      </c>
      <c r="T29" s="182">
        <f t="shared" si="3"/>
        <v>0</v>
      </c>
      <c r="U29" s="191">
        <f t="shared" si="6"/>
        <v>1.5</v>
      </c>
      <c r="V29" s="190">
        <v>0</v>
      </c>
      <c r="W29" s="182">
        <v>1</v>
      </c>
      <c r="X29" s="191">
        <f t="shared" si="7"/>
        <v>0.5</v>
      </c>
      <c r="Y29" s="187">
        <f t="shared" si="8"/>
        <v>0.97499999999999998</v>
      </c>
      <c r="Z29" s="188">
        <f t="shared" si="9"/>
        <v>88</v>
      </c>
    </row>
    <row r="30" spans="2:32" ht="14.5" customHeight="1" x14ac:dyDescent="0.35">
      <c r="B30" s="160">
        <v>26</v>
      </c>
      <c r="C30" s="169" t="s">
        <v>892</v>
      </c>
      <c r="D30" s="169" t="str">
        <f>'EZ Data'!D29</f>
        <v>Dhaka</v>
      </c>
      <c r="E30" s="169" t="str">
        <f>'EZ Data'!E29</f>
        <v>Manikganj</v>
      </c>
      <c r="F30" s="169" t="str">
        <f>'EZ Data'!F29</f>
        <v>Shibaloy</v>
      </c>
      <c r="G30" s="200">
        <f>'EZ Data'!AQ29</f>
        <v>320.37</v>
      </c>
      <c r="H30" s="198" t="str">
        <f>'EZ Data'!J29</f>
        <v>Priority 3</v>
      </c>
      <c r="I30" s="198" t="str">
        <f>'EZ Data'!AS29</f>
        <v>B Grade</v>
      </c>
      <c r="J30" s="162">
        <f t="shared" si="4"/>
        <v>0</v>
      </c>
      <c r="K30" s="161"/>
      <c r="L30" s="162">
        <f>IF('EZ Data'!O29="Yes",1,0)</f>
        <v>1</v>
      </c>
      <c r="M30" s="162">
        <f>IF('EZ Data'!Q29="Yes",1,0)</f>
        <v>1</v>
      </c>
      <c r="N30" s="162">
        <f>IF('EZ Data'!U29="Yes",1,0)</f>
        <v>0</v>
      </c>
      <c r="O30" s="189">
        <f>COUNTA('EZ Data'!BD29:BM29)</f>
        <v>7</v>
      </c>
      <c r="P30" s="190">
        <f t="shared" si="0"/>
        <v>3</v>
      </c>
      <c r="Q30" s="191">
        <f t="shared" si="5"/>
        <v>3</v>
      </c>
      <c r="R30" s="190">
        <f t="shared" si="1"/>
        <v>2</v>
      </c>
      <c r="S30" s="182">
        <f t="shared" si="2"/>
        <v>3</v>
      </c>
      <c r="T30" s="182">
        <f t="shared" si="3"/>
        <v>4</v>
      </c>
      <c r="U30" s="191">
        <f t="shared" si="6"/>
        <v>2.8499999999999996</v>
      </c>
      <c r="V30" s="190">
        <v>2</v>
      </c>
      <c r="W30" s="182">
        <v>2</v>
      </c>
      <c r="X30" s="191">
        <f t="shared" si="7"/>
        <v>2</v>
      </c>
      <c r="Y30" s="187">
        <f t="shared" si="8"/>
        <v>1.32</v>
      </c>
      <c r="Z30" s="188">
        <f t="shared" si="9"/>
        <v>63</v>
      </c>
    </row>
    <row r="31" spans="2:32" ht="14.5" customHeight="1" x14ac:dyDescent="0.35">
      <c r="B31" s="160">
        <v>27</v>
      </c>
      <c r="C31" s="170" t="s">
        <v>17</v>
      </c>
      <c r="D31" s="169" t="str">
        <f>'EZ Data'!D30</f>
        <v>Chattogram</v>
      </c>
      <c r="E31" s="169" t="str">
        <f>'EZ Data'!E30</f>
        <v>Chattogram</v>
      </c>
      <c r="F31" s="169" t="str">
        <f>'EZ Data'!F30</f>
        <v>Mirsarai</v>
      </c>
      <c r="G31" s="200">
        <f>'EZ Data'!AQ30</f>
        <v>11004.665000000001</v>
      </c>
      <c r="H31" s="198" t="str">
        <f>'EZ Data'!J30</f>
        <v>Priority 1</v>
      </c>
      <c r="I31" s="198" t="str">
        <f>'EZ Data'!AS30</f>
        <v>A Grade</v>
      </c>
      <c r="J31" s="162">
        <f t="shared" si="4"/>
        <v>0</v>
      </c>
      <c r="K31" s="163"/>
      <c r="L31" s="162">
        <f>IF('EZ Data'!O30="Yes",1,0)</f>
        <v>0</v>
      </c>
      <c r="M31" s="162">
        <f>IF('EZ Data'!Q30="Yes",1,0)</f>
        <v>0</v>
      </c>
      <c r="N31" s="162">
        <f>IF('EZ Data'!U30="Yes",1,0)</f>
        <v>1</v>
      </c>
      <c r="O31" s="189">
        <f>COUNTA('EZ Data'!BD30:BM30)</f>
        <v>8</v>
      </c>
      <c r="P31" s="190">
        <f t="shared" si="0"/>
        <v>4</v>
      </c>
      <c r="Q31" s="191">
        <f t="shared" si="5"/>
        <v>4</v>
      </c>
      <c r="R31" s="190">
        <f t="shared" si="1"/>
        <v>4</v>
      </c>
      <c r="S31" s="182">
        <f t="shared" si="2"/>
        <v>4</v>
      </c>
      <c r="T31" s="182">
        <f t="shared" si="3"/>
        <v>4</v>
      </c>
      <c r="U31" s="191">
        <f t="shared" si="6"/>
        <v>4</v>
      </c>
      <c r="V31" s="190">
        <v>19</v>
      </c>
      <c r="W31" s="182">
        <v>19</v>
      </c>
      <c r="X31" s="191">
        <f t="shared" si="7"/>
        <v>19</v>
      </c>
      <c r="Y31" s="187">
        <f t="shared" si="8"/>
        <v>4.25</v>
      </c>
      <c r="Z31" s="188">
        <f t="shared" si="9"/>
        <v>1</v>
      </c>
    </row>
    <row r="32" spans="2:32" ht="14.5" customHeight="1" x14ac:dyDescent="0.35">
      <c r="B32" s="160">
        <v>28</v>
      </c>
      <c r="C32" s="169" t="s">
        <v>56</v>
      </c>
      <c r="D32" s="169" t="str">
        <f>'EZ Data'!D31</f>
        <v>Chattogram</v>
      </c>
      <c r="E32" s="169" t="str">
        <f>'EZ Data'!E31</f>
        <v>Cox’s Bazar</v>
      </c>
      <c r="F32" s="169" t="str">
        <f>'EZ Data'!F31</f>
        <v>Moheshkhali</v>
      </c>
      <c r="G32" s="200">
        <f>'EZ Data'!AQ31</f>
        <v>1438.52</v>
      </c>
      <c r="H32" s="198" t="str">
        <f>'EZ Data'!J31</f>
        <v>Priority 3</v>
      </c>
      <c r="I32" s="198" t="str">
        <f>'EZ Data'!AS31</f>
        <v>C Grade</v>
      </c>
      <c r="J32" s="162">
        <f t="shared" si="4"/>
        <v>0</v>
      </c>
      <c r="K32" s="161"/>
      <c r="L32" s="162">
        <f>IF('EZ Data'!O31="Yes",1,0)</f>
        <v>0</v>
      </c>
      <c r="M32" s="162">
        <f>IF('EZ Data'!Q31="Yes",1,0)</f>
        <v>1</v>
      </c>
      <c r="N32" s="162">
        <f>IF('EZ Data'!U31="Yes",1,0)</f>
        <v>0</v>
      </c>
      <c r="O32" s="189">
        <f>COUNTA('EZ Data'!BD31:BM31)</f>
        <v>8</v>
      </c>
      <c r="P32" s="190">
        <f t="shared" si="0"/>
        <v>4</v>
      </c>
      <c r="Q32" s="191">
        <f t="shared" si="5"/>
        <v>4</v>
      </c>
      <c r="R32" s="190">
        <f t="shared" si="1"/>
        <v>2</v>
      </c>
      <c r="S32" s="182">
        <f t="shared" si="2"/>
        <v>2</v>
      </c>
      <c r="T32" s="182">
        <f t="shared" si="3"/>
        <v>4</v>
      </c>
      <c r="U32" s="191">
        <f t="shared" si="6"/>
        <v>2.5</v>
      </c>
      <c r="V32" s="190">
        <v>1</v>
      </c>
      <c r="W32" s="182">
        <v>4</v>
      </c>
      <c r="X32" s="191">
        <f t="shared" si="7"/>
        <v>2.5</v>
      </c>
      <c r="Y32" s="187">
        <f t="shared" si="8"/>
        <v>1.4750000000000001</v>
      </c>
      <c r="Z32" s="188">
        <f t="shared" si="9"/>
        <v>52</v>
      </c>
    </row>
    <row r="33" spans="2:26" ht="14.5" customHeight="1" x14ac:dyDescent="0.35">
      <c r="B33" s="160">
        <v>29</v>
      </c>
      <c r="C33" s="169" t="s">
        <v>215</v>
      </c>
      <c r="D33" s="169" t="str">
        <f>'EZ Data'!D32</f>
        <v>Chattogram</v>
      </c>
      <c r="E33" s="169" t="str">
        <f>'EZ Data'!E32</f>
        <v>Cox’s Bazar</v>
      </c>
      <c r="F33" s="169" t="str">
        <f>'EZ Data'!F32</f>
        <v>Moheshkhali</v>
      </c>
      <c r="G33" s="200">
        <f>'EZ Data'!AQ32</f>
        <v>827.31</v>
      </c>
      <c r="H33" s="198" t="str">
        <f>'EZ Data'!J32</f>
        <v>Priority 3</v>
      </c>
      <c r="I33" s="198" t="str">
        <f>'EZ Data'!AS32</f>
        <v>C Grade</v>
      </c>
      <c r="J33" s="162">
        <f t="shared" si="4"/>
        <v>1</v>
      </c>
      <c r="K33" s="161"/>
      <c r="L33" s="162">
        <f>IF('EZ Data'!O32="Yes",1,0)</f>
        <v>0</v>
      </c>
      <c r="M33" s="162">
        <f>IF('EZ Data'!Q32="Yes",1,0)</f>
        <v>0</v>
      </c>
      <c r="N33" s="162">
        <f>IF('EZ Data'!U32="Yes",1,0)</f>
        <v>0</v>
      </c>
      <c r="O33" s="189">
        <f>COUNTA('EZ Data'!BD32:BM32)</f>
        <v>0</v>
      </c>
      <c r="P33" s="190">
        <f t="shared" si="0"/>
        <v>4</v>
      </c>
      <c r="Q33" s="191">
        <f t="shared" si="5"/>
        <v>4</v>
      </c>
      <c r="R33" s="190">
        <f t="shared" si="1"/>
        <v>2</v>
      </c>
      <c r="S33" s="182">
        <f t="shared" si="2"/>
        <v>2</v>
      </c>
      <c r="T33" s="182">
        <f t="shared" si="3"/>
        <v>0</v>
      </c>
      <c r="U33" s="191">
        <f t="shared" si="6"/>
        <v>1.5</v>
      </c>
      <c r="V33" s="190">
        <v>1</v>
      </c>
      <c r="W33" s="182">
        <v>4</v>
      </c>
      <c r="X33" s="191">
        <f t="shared" si="7"/>
        <v>2.5</v>
      </c>
      <c r="Y33" s="187">
        <f t="shared" si="8"/>
        <v>1.2749999999999999</v>
      </c>
      <c r="Z33" s="188">
        <f t="shared" si="9"/>
        <v>64</v>
      </c>
    </row>
    <row r="34" spans="2:26" ht="14.5" customHeight="1" x14ac:dyDescent="0.35">
      <c r="B34" s="160">
        <v>30</v>
      </c>
      <c r="C34" s="169" t="s">
        <v>27</v>
      </c>
      <c r="D34" s="169" t="str">
        <f>'EZ Data'!D33</f>
        <v>Chattogram</v>
      </c>
      <c r="E34" s="169" t="str">
        <f>'EZ Data'!E33</f>
        <v>Cox’s Bazar</v>
      </c>
      <c r="F34" s="169" t="str">
        <f>'EZ Data'!F33</f>
        <v>Moheshkhali</v>
      </c>
      <c r="G34" s="200">
        <f>'EZ Data'!AQ33</f>
        <v>1240.72</v>
      </c>
      <c r="H34" s="198" t="str">
        <f>'EZ Data'!J33</f>
        <v>Priority 1</v>
      </c>
      <c r="I34" s="198" t="str">
        <f>'EZ Data'!AS33</f>
        <v>A Grade</v>
      </c>
      <c r="J34" s="162">
        <f t="shared" si="4"/>
        <v>0</v>
      </c>
      <c r="K34" s="161"/>
      <c r="L34" s="162">
        <f>IF('EZ Data'!O33="Yes",1,0)</f>
        <v>0</v>
      </c>
      <c r="M34" s="162">
        <f>IF('EZ Data'!Q33="Yes",1,0)</f>
        <v>0</v>
      </c>
      <c r="N34" s="162">
        <f>IF('EZ Data'!U33="Yes",1,0)</f>
        <v>1</v>
      </c>
      <c r="O34" s="189">
        <f>COUNTA('EZ Data'!BD33:BM33)</f>
        <v>7</v>
      </c>
      <c r="P34" s="190">
        <f t="shared" si="0"/>
        <v>4</v>
      </c>
      <c r="Q34" s="191">
        <f t="shared" si="5"/>
        <v>4</v>
      </c>
      <c r="R34" s="190">
        <f t="shared" si="1"/>
        <v>4</v>
      </c>
      <c r="S34" s="182">
        <f t="shared" si="2"/>
        <v>4</v>
      </c>
      <c r="T34" s="182">
        <f t="shared" si="3"/>
        <v>4</v>
      </c>
      <c r="U34" s="191">
        <f t="shared" si="6"/>
        <v>4</v>
      </c>
      <c r="V34" s="190">
        <v>1</v>
      </c>
      <c r="W34" s="182">
        <v>4</v>
      </c>
      <c r="X34" s="191">
        <f t="shared" si="7"/>
        <v>2.5</v>
      </c>
      <c r="Y34" s="187">
        <f t="shared" si="8"/>
        <v>1.7749999999999999</v>
      </c>
      <c r="Z34" s="188">
        <f t="shared" si="9"/>
        <v>35</v>
      </c>
    </row>
    <row r="35" spans="2:26" ht="14.5" customHeight="1" x14ac:dyDescent="0.35">
      <c r="B35" s="160">
        <v>31</v>
      </c>
      <c r="C35" s="169" t="s">
        <v>216</v>
      </c>
      <c r="D35" s="169" t="str">
        <f>'EZ Data'!D34</f>
        <v>Chattogram</v>
      </c>
      <c r="E35" s="169" t="str">
        <f>'EZ Data'!E34</f>
        <v>Cox’s Bazar</v>
      </c>
      <c r="F35" s="169" t="str">
        <f>'EZ Data'!F34</f>
        <v>Kalarmarchara</v>
      </c>
      <c r="G35" s="200">
        <f>'EZ Data'!AQ34</f>
        <v>2890.79</v>
      </c>
      <c r="H35" s="198" t="str">
        <f>'EZ Data'!J34</f>
        <v>Priority 3</v>
      </c>
      <c r="I35" s="198" t="str">
        <f>'EZ Data'!AS34</f>
        <v>C Grade</v>
      </c>
      <c r="J35" s="162">
        <f t="shared" si="4"/>
        <v>1</v>
      </c>
      <c r="K35" s="161"/>
      <c r="L35" s="162">
        <f>IF('EZ Data'!O34="Yes",1,0)</f>
        <v>0</v>
      </c>
      <c r="M35" s="162">
        <f>IF('EZ Data'!Q34="Yes",1,0)</f>
        <v>0</v>
      </c>
      <c r="N35" s="162">
        <f>IF('EZ Data'!U34="Yes",1,0)</f>
        <v>0</v>
      </c>
      <c r="O35" s="189">
        <f>COUNTA('EZ Data'!BD34:BM34)</f>
        <v>0</v>
      </c>
      <c r="P35" s="190">
        <f t="shared" si="0"/>
        <v>4</v>
      </c>
      <c r="Q35" s="191">
        <f t="shared" si="5"/>
        <v>4</v>
      </c>
      <c r="R35" s="190">
        <f t="shared" si="1"/>
        <v>2</v>
      </c>
      <c r="S35" s="182">
        <f t="shared" si="2"/>
        <v>2</v>
      </c>
      <c r="T35" s="182">
        <f t="shared" si="3"/>
        <v>0</v>
      </c>
      <c r="U35" s="191">
        <f t="shared" si="6"/>
        <v>1.5</v>
      </c>
      <c r="V35" s="190">
        <v>1</v>
      </c>
      <c r="W35" s="182">
        <v>4</v>
      </c>
      <c r="X35" s="191">
        <f t="shared" si="7"/>
        <v>2.5</v>
      </c>
      <c r="Y35" s="187">
        <f t="shared" si="8"/>
        <v>1.2749999999999999</v>
      </c>
      <c r="Z35" s="188">
        <f t="shared" si="9"/>
        <v>64</v>
      </c>
    </row>
    <row r="36" spans="2:26" ht="14.5" customHeight="1" x14ac:dyDescent="0.35">
      <c r="B36" s="160">
        <v>32</v>
      </c>
      <c r="C36" s="169" t="s">
        <v>158</v>
      </c>
      <c r="D36" s="169" t="str">
        <f>'EZ Data'!D35</f>
        <v>Chattogram</v>
      </c>
      <c r="E36" s="169" t="str">
        <f>'EZ Data'!E35</f>
        <v>Cox’s Bazar</v>
      </c>
      <c r="F36" s="169" t="str">
        <f>'EZ Data'!F35</f>
        <v>Moheshkhali</v>
      </c>
      <c r="G36" s="200">
        <f>'EZ Data'!AQ35</f>
        <v>1000</v>
      </c>
      <c r="H36" s="198" t="str">
        <f>'EZ Data'!J35</f>
        <v>Priority 3</v>
      </c>
      <c r="I36" s="198" t="str">
        <f>'EZ Data'!AS35</f>
        <v>C Grade</v>
      </c>
      <c r="J36" s="162">
        <f t="shared" si="4"/>
        <v>1</v>
      </c>
      <c r="K36" s="161"/>
      <c r="L36" s="162">
        <f>IF('EZ Data'!O35="Yes",1,0)</f>
        <v>0</v>
      </c>
      <c r="M36" s="162">
        <f>IF('EZ Data'!Q35="Yes",1,0)</f>
        <v>0</v>
      </c>
      <c r="N36" s="162">
        <f>IF('EZ Data'!U35="Yes",1,0)</f>
        <v>0</v>
      </c>
      <c r="O36" s="189">
        <f>COUNTA('EZ Data'!BD35:BM35)</f>
        <v>0</v>
      </c>
      <c r="P36" s="190">
        <f t="shared" si="0"/>
        <v>4</v>
      </c>
      <c r="Q36" s="191">
        <f t="shared" si="5"/>
        <v>4</v>
      </c>
      <c r="R36" s="190">
        <f t="shared" si="1"/>
        <v>2</v>
      </c>
      <c r="S36" s="182">
        <f t="shared" si="2"/>
        <v>2</v>
      </c>
      <c r="T36" s="182">
        <f t="shared" si="3"/>
        <v>0</v>
      </c>
      <c r="U36" s="191">
        <f t="shared" si="6"/>
        <v>1.5</v>
      </c>
      <c r="V36" s="190">
        <v>1</v>
      </c>
      <c r="W36" s="182">
        <v>4</v>
      </c>
      <c r="X36" s="191">
        <f t="shared" si="7"/>
        <v>2.5</v>
      </c>
      <c r="Y36" s="187">
        <f t="shared" si="8"/>
        <v>1.2749999999999999</v>
      </c>
      <c r="Z36" s="188">
        <f t="shared" si="9"/>
        <v>64</v>
      </c>
    </row>
    <row r="37" spans="2:26" ht="14.5" customHeight="1" x14ac:dyDescent="0.35">
      <c r="B37" s="160">
        <v>33</v>
      </c>
      <c r="C37" s="169" t="s">
        <v>30</v>
      </c>
      <c r="D37" s="169" t="str">
        <f>'EZ Data'!D36</f>
        <v>Chattogram</v>
      </c>
      <c r="E37" s="169" t="str">
        <f>'EZ Data'!E36</f>
        <v>Cox’s Bazar</v>
      </c>
      <c r="F37" s="169" t="str">
        <f>'EZ Data'!F36</f>
        <v>Moheshkhali</v>
      </c>
      <c r="G37" s="201"/>
      <c r="H37" s="198" t="str">
        <f>'EZ Data'!J36</f>
        <v>Priority 1</v>
      </c>
      <c r="I37" s="198" t="str">
        <f>'EZ Data'!AS36</f>
        <v>A Grade</v>
      </c>
      <c r="J37" s="162">
        <f t="shared" si="4"/>
        <v>0</v>
      </c>
      <c r="K37" s="161"/>
      <c r="L37" s="162">
        <f>IF('EZ Data'!O36="Yes",1,0)</f>
        <v>0</v>
      </c>
      <c r="M37" s="162">
        <f>IF('EZ Data'!Q36="Yes",1,0)</f>
        <v>0</v>
      </c>
      <c r="N37" s="162">
        <f>IF('EZ Data'!U36="Yes",1,0)</f>
        <v>1</v>
      </c>
      <c r="O37" s="189">
        <f>COUNTA('EZ Data'!BD36:BM36)</f>
        <v>1</v>
      </c>
      <c r="P37" s="190">
        <f t="shared" ref="P37:P68" si="10">VLOOKUP(G37,$AB$6:$AC$9,2,TRUE)</f>
        <v>2</v>
      </c>
      <c r="Q37" s="191">
        <f t="shared" si="5"/>
        <v>2</v>
      </c>
      <c r="R37" s="190">
        <f t="shared" ref="R37:R68" si="11">IFERROR(VLOOKUP(H37,$AB$12:$AC$15,2),0)</f>
        <v>4</v>
      </c>
      <c r="S37" s="182">
        <f t="shared" ref="S37:S68" si="12">IFERROR(VLOOKUP(I37,$AE$13:$AF$16,2),0)</f>
        <v>4</v>
      </c>
      <c r="T37" s="182">
        <f t="shared" ref="T37:T68" si="13">IF(N37+M37&gt;=1,4,IF(L37=1,3,IF(K37=1,2,0)))</f>
        <v>4</v>
      </c>
      <c r="U37" s="191">
        <f t="shared" si="6"/>
        <v>4</v>
      </c>
      <c r="V37" s="190">
        <v>1</v>
      </c>
      <c r="W37" s="182">
        <v>4</v>
      </c>
      <c r="X37" s="191">
        <f t="shared" si="7"/>
        <v>2.5</v>
      </c>
      <c r="Y37" s="187">
        <f t="shared" si="8"/>
        <v>1.4750000000000001</v>
      </c>
      <c r="Z37" s="188">
        <f t="shared" si="9"/>
        <v>52</v>
      </c>
    </row>
    <row r="38" spans="2:26" ht="14.5" customHeight="1" x14ac:dyDescent="0.35">
      <c r="B38" s="160">
        <v>34</v>
      </c>
      <c r="C38" s="169" t="s">
        <v>37</v>
      </c>
      <c r="D38" s="169" t="str">
        <f>'EZ Data'!D37</f>
        <v>Khulna</v>
      </c>
      <c r="E38" s="169" t="str">
        <f>'EZ Data'!E37</f>
        <v>Bagerhat</v>
      </c>
      <c r="F38" s="169" t="str">
        <f>'EZ Data'!F37</f>
        <v>Mongla</v>
      </c>
      <c r="G38" s="201">
        <v>205.22</v>
      </c>
      <c r="H38" s="198" t="str">
        <f>'EZ Data'!J37</f>
        <v>Priority 1</v>
      </c>
      <c r="I38" s="198" t="str">
        <f>'EZ Data'!AS37</f>
        <v>A Grade</v>
      </c>
      <c r="J38" s="162">
        <f t="shared" si="4"/>
        <v>0</v>
      </c>
      <c r="K38" s="161"/>
      <c r="L38" s="162">
        <f>IF('EZ Data'!O37="Yes",1,0)</f>
        <v>0</v>
      </c>
      <c r="M38" s="162">
        <f>IF('EZ Data'!Q37="Yes",1,0)</f>
        <v>0</v>
      </c>
      <c r="N38" s="162">
        <f>IF('EZ Data'!U37="Yes",1,0)</f>
        <v>1</v>
      </c>
      <c r="O38" s="189">
        <f>COUNTA('EZ Data'!BD37:BM37)</f>
        <v>3</v>
      </c>
      <c r="P38" s="190">
        <f t="shared" si="10"/>
        <v>3</v>
      </c>
      <c r="Q38" s="191">
        <f t="shared" si="5"/>
        <v>3</v>
      </c>
      <c r="R38" s="190">
        <f t="shared" si="11"/>
        <v>4</v>
      </c>
      <c r="S38" s="182">
        <f t="shared" si="12"/>
        <v>4</v>
      </c>
      <c r="T38" s="182">
        <f t="shared" si="13"/>
        <v>4</v>
      </c>
      <c r="U38" s="191">
        <f t="shared" si="6"/>
        <v>4</v>
      </c>
      <c r="V38" s="190">
        <v>0</v>
      </c>
      <c r="W38" s="182">
        <v>1</v>
      </c>
      <c r="X38" s="191">
        <f t="shared" si="7"/>
        <v>0.5</v>
      </c>
      <c r="Y38" s="187">
        <f t="shared" si="8"/>
        <v>1.325</v>
      </c>
      <c r="Z38" s="188">
        <f t="shared" si="9"/>
        <v>62</v>
      </c>
    </row>
    <row r="39" spans="2:26" ht="14.5" customHeight="1" x14ac:dyDescent="0.35">
      <c r="B39" s="160">
        <v>35</v>
      </c>
      <c r="C39" s="169" t="s">
        <v>167</v>
      </c>
      <c r="D39" s="169" t="str">
        <f>'EZ Data'!D38</f>
        <v>Mymensingh</v>
      </c>
      <c r="E39" s="169" t="str">
        <f>'EZ Data'!E38</f>
        <v>Mymensingh</v>
      </c>
      <c r="F39" s="169" t="str">
        <f>'EZ Data'!F38</f>
        <v>Mymensingh Sadar</v>
      </c>
      <c r="G39" s="201">
        <v>494</v>
      </c>
      <c r="H39" s="198" t="str">
        <f>'EZ Data'!J38</f>
        <v>Priority 3</v>
      </c>
      <c r="I39" s="198" t="str">
        <f>'EZ Data'!AS38</f>
        <v>C Grade</v>
      </c>
      <c r="J39" s="162">
        <f t="shared" si="4"/>
        <v>1</v>
      </c>
      <c r="K39" s="161"/>
      <c r="L39" s="162">
        <f>IF('EZ Data'!O38="Yes",1,0)</f>
        <v>0</v>
      </c>
      <c r="M39" s="162">
        <f>IF('EZ Data'!Q38="Yes",1,0)</f>
        <v>0</v>
      </c>
      <c r="N39" s="162">
        <f>IF('EZ Data'!U38="Yes",1,0)</f>
        <v>0</v>
      </c>
      <c r="O39" s="189">
        <f>COUNTA('EZ Data'!BD38:BM38)</f>
        <v>0</v>
      </c>
      <c r="P39" s="190">
        <f t="shared" si="10"/>
        <v>3</v>
      </c>
      <c r="Q39" s="191">
        <f t="shared" si="5"/>
        <v>3</v>
      </c>
      <c r="R39" s="190">
        <f t="shared" si="11"/>
        <v>2</v>
      </c>
      <c r="S39" s="182">
        <f t="shared" si="12"/>
        <v>2</v>
      </c>
      <c r="T39" s="182">
        <f t="shared" si="13"/>
        <v>0</v>
      </c>
      <c r="U39" s="191">
        <f t="shared" si="6"/>
        <v>1.5</v>
      </c>
      <c r="V39" s="190">
        <v>5</v>
      </c>
      <c r="W39" s="182">
        <v>8</v>
      </c>
      <c r="X39" s="191">
        <f t="shared" si="7"/>
        <v>6.5</v>
      </c>
      <c r="Y39" s="187">
        <f t="shared" si="8"/>
        <v>1.7250000000000001</v>
      </c>
      <c r="Z39" s="188">
        <f t="shared" si="9"/>
        <v>37</v>
      </c>
    </row>
    <row r="40" spans="2:26" ht="14.5" customHeight="1" x14ac:dyDescent="0.35">
      <c r="B40" s="160">
        <v>36</v>
      </c>
      <c r="C40" s="169" t="s">
        <v>195</v>
      </c>
      <c r="D40" s="169" t="str">
        <f>'EZ Data'!D39</f>
        <v>Mymensingh</v>
      </c>
      <c r="E40" s="169" t="str">
        <f>'EZ Data'!E39</f>
        <v>Mymensingh</v>
      </c>
      <c r="F40" s="169" t="str">
        <f>'EZ Data'!F39</f>
        <v>Ishwarganj</v>
      </c>
      <c r="G40" s="201">
        <v>509.66</v>
      </c>
      <c r="H40" s="198" t="str">
        <f>'EZ Data'!J39</f>
        <v>Priority 3</v>
      </c>
      <c r="I40" s="198" t="str">
        <f>'EZ Data'!AS39</f>
        <v>C Grade</v>
      </c>
      <c r="J40" s="162">
        <f t="shared" si="4"/>
        <v>1</v>
      </c>
      <c r="K40" s="161"/>
      <c r="L40" s="162">
        <f>IF('EZ Data'!O39="Yes",1,0)</f>
        <v>0</v>
      </c>
      <c r="M40" s="162">
        <f>IF('EZ Data'!Q39="Yes",1,0)</f>
        <v>0</v>
      </c>
      <c r="N40" s="162">
        <f>IF('EZ Data'!U39="Yes",1,0)</f>
        <v>0</v>
      </c>
      <c r="O40" s="189">
        <f>COUNTA('EZ Data'!BD39:BM39)</f>
        <v>0</v>
      </c>
      <c r="P40" s="190">
        <f t="shared" si="10"/>
        <v>4</v>
      </c>
      <c r="Q40" s="191">
        <f t="shared" si="5"/>
        <v>4</v>
      </c>
      <c r="R40" s="190">
        <f t="shared" si="11"/>
        <v>2</v>
      </c>
      <c r="S40" s="182">
        <f t="shared" si="12"/>
        <v>2</v>
      </c>
      <c r="T40" s="182">
        <f t="shared" si="13"/>
        <v>0</v>
      </c>
      <c r="U40" s="191">
        <f t="shared" si="6"/>
        <v>1.5</v>
      </c>
      <c r="V40" s="190">
        <v>5</v>
      </c>
      <c r="W40" s="182">
        <v>8</v>
      </c>
      <c r="X40" s="191">
        <f t="shared" si="7"/>
        <v>6.5</v>
      </c>
      <c r="Y40" s="187">
        <f t="shared" si="8"/>
        <v>1.875</v>
      </c>
      <c r="Z40" s="188">
        <f t="shared" si="9"/>
        <v>34</v>
      </c>
    </row>
    <row r="41" spans="2:26" ht="14.5" customHeight="1" x14ac:dyDescent="0.35">
      <c r="B41" s="160">
        <v>37</v>
      </c>
      <c r="C41" s="169" t="s">
        <v>28</v>
      </c>
      <c r="D41" s="169" t="str">
        <f>'EZ Data'!D40</f>
        <v>Chattogram</v>
      </c>
      <c r="E41" s="169" t="str">
        <f>'EZ Data'!E40</f>
        <v>Cox’s Bazar</v>
      </c>
      <c r="F41" s="169" t="str">
        <f>'EZ Data'!F40</f>
        <v>Teknaf</v>
      </c>
      <c r="G41" s="201">
        <v>293.05</v>
      </c>
      <c r="H41" s="198" t="str">
        <f>'EZ Data'!J40</f>
        <v>Priority 1</v>
      </c>
      <c r="I41" s="198" t="str">
        <f>'EZ Data'!AS40</f>
        <v>A Grade</v>
      </c>
      <c r="J41" s="162">
        <f t="shared" si="4"/>
        <v>0</v>
      </c>
      <c r="K41" s="161"/>
      <c r="L41" s="162">
        <f>IF('EZ Data'!O40="Yes",1,0)</f>
        <v>1</v>
      </c>
      <c r="M41" s="162">
        <f>IF('EZ Data'!Q40="Yes",1,0)</f>
        <v>1</v>
      </c>
      <c r="N41" s="162">
        <f>IF('EZ Data'!U40="Yes",1,0)</f>
        <v>0</v>
      </c>
      <c r="O41" s="189">
        <f>COUNTA('EZ Data'!BD40:BM40)</f>
        <v>1</v>
      </c>
      <c r="P41" s="190">
        <f t="shared" si="10"/>
        <v>3</v>
      </c>
      <c r="Q41" s="191">
        <f t="shared" si="5"/>
        <v>3</v>
      </c>
      <c r="R41" s="190">
        <f t="shared" si="11"/>
        <v>4</v>
      </c>
      <c r="S41" s="182">
        <f t="shared" si="12"/>
        <v>4</v>
      </c>
      <c r="T41" s="182">
        <f t="shared" si="13"/>
        <v>4</v>
      </c>
      <c r="U41" s="191">
        <f t="shared" si="6"/>
        <v>4</v>
      </c>
      <c r="V41" s="190">
        <v>1</v>
      </c>
      <c r="W41" s="182">
        <v>4</v>
      </c>
      <c r="X41" s="191">
        <f t="shared" si="7"/>
        <v>2.5</v>
      </c>
      <c r="Y41" s="187">
        <f t="shared" si="8"/>
        <v>1.625</v>
      </c>
      <c r="Z41" s="188">
        <f t="shared" si="9"/>
        <v>43</v>
      </c>
    </row>
    <row r="42" spans="2:26" ht="14.5" customHeight="1" x14ac:dyDescent="0.35">
      <c r="B42" s="160">
        <v>38</v>
      </c>
      <c r="C42" s="169" t="s">
        <v>29</v>
      </c>
      <c r="D42" s="169" t="str">
        <f>'EZ Data'!D41</f>
        <v>Dhaka</v>
      </c>
      <c r="E42" s="169" t="str">
        <f>'EZ Data'!E41</f>
        <v>Narayanganj</v>
      </c>
      <c r="F42" s="169" t="str">
        <f>'EZ Data'!F41</f>
        <v>Bandar and Sonargaon</v>
      </c>
      <c r="G42" s="201">
        <v>276.12</v>
      </c>
      <c r="H42" s="198" t="str">
        <f>'EZ Data'!J41</f>
        <v>Priority 3</v>
      </c>
      <c r="I42" s="198" t="str">
        <f>'EZ Data'!AS41</f>
        <v>B Grade</v>
      </c>
      <c r="J42" s="162">
        <f t="shared" si="4"/>
        <v>0</v>
      </c>
      <c r="K42" s="161"/>
      <c r="L42" s="162">
        <f>IF('EZ Data'!O41="Yes",1,0)</f>
        <v>1</v>
      </c>
      <c r="M42" s="162">
        <f>IF('EZ Data'!Q41="Yes",1,0)</f>
        <v>1</v>
      </c>
      <c r="N42" s="162">
        <f>IF('EZ Data'!U41="Yes",1,0)</f>
        <v>0</v>
      </c>
      <c r="O42" s="189">
        <f>COUNTA('EZ Data'!BD41:BM41)</f>
        <v>0</v>
      </c>
      <c r="P42" s="190">
        <f t="shared" si="10"/>
        <v>3</v>
      </c>
      <c r="Q42" s="191">
        <f t="shared" si="5"/>
        <v>3</v>
      </c>
      <c r="R42" s="190">
        <f t="shared" si="11"/>
        <v>2</v>
      </c>
      <c r="S42" s="182">
        <f t="shared" si="12"/>
        <v>3</v>
      </c>
      <c r="T42" s="182">
        <f t="shared" si="13"/>
        <v>4</v>
      </c>
      <c r="U42" s="191">
        <f t="shared" si="6"/>
        <v>2.8499999999999996</v>
      </c>
      <c r="V42" s="190">
        <v>18</v>
      </c>
      <c r="W42" s="182">
        <v>18</v>
      </c>
      <c r="X42" s="191">
        <f t="shared" si="7"/>
        <v>18</v>
      </c>
      <c r="Y42" s="187">
        <f t="shared" si="8"/>
        <v>3.7199999999999998</v>
      </c>
      <c r="Z42" s="188">
        <f t="shared" si="9"/>
        <v>8</v>
      </c>
    </row>
    <row r="43" spans="2:26" ht="14.5" customHeight="1" x14ac:dyDescent="0.35">
      <c r="B43" s="160">
        <v>39</v>
      </c>
      <c r="C43" s="169" t="s">
        <v>164</v>
      </c>
      <c r="D43" s="169" t="str">
        <f>'EZ Data'!D42</f>
        <v>Dhaka</v>
      </c>
      <c r="E43" s="169" t="str">
        <f>'EZ Data'!E42</f>
        <v>Narayanganj</v>
      </c>
      <c r="F43" s="169" t="str">
        <f>'EZ Data'!F42</f>
        <v>Sonargaon</v>
      </c>
      <c r="G43" s="201">
        <v>1000</v>
      </c>
      <c r="H43" s="198" t="str">
        <f>'EZ Data'!J42</f>
        <v>Priority 3</v>
      </c>
      <c r="I43" s="198" t="str">
        <f>'EZ Data'!AS42</f>
        <v>C Grade</v>
      </c>
      <c r="J43" s="162">
        <f t="shared" si="4"/>
        <v>1</v>
      </c>
      <c r="K43" s="161"/>
      <c r="L43" s="162">
        <f>IF('EZ Data'!O42="Yes",1,0)</f>
        <v>0</v>
      </c>
      <c r="M43" s="162">
        <f>IF('EZ Data'!Q42="Yes",1,0)</f>
        <v>0</v>
      </c>
      <c r="N43" s="162">
        <f>IF('EZ Data'!U42="Yes",1,0)</f>
        <v>0</v>
      </c>
      <c r="O43" s="189">
        <f>COUNTA('EZ Data'!BD42:BM42)</f>
        <v>0</v>
      </c>
      <c r="P43" s="190">
        <f t="shared" si="10"/>
        <v>4</v>
      </c>
      <c r="Q43" s="191">
        <f t="shared" si="5"/>
        <v>4</v>
      </c>
      <c r="R43" s="190">
        <f t="shared" si="11"/>
        <v>2</v>
      </c>
      <c r="S43" s="182">
        <f t="shared" si="12"/>
        <v>2</v>
      </c>
      <c r="T43" s="182">
        <f t="shared" si="13"/>
        <v>0</v>
      </c>
      <c r="U43" s="191">
        <f t="shared" si="6"/>
        <v>1.5</v>
      </c>
      <c r="V43" s="190">
        <v>18</v>
      </c>
      <c r="W43" s="182">
        <v>18</v>
      </c>
      <c r="X43" s="191">
        <f t="shared" si="7"/>
        <v>18</v>
      </c>
      <c r="Y43" s="187">
        <f t="shared" si="8"/>
        <v>3.5999999999999996</v>
      </c>
      <c r="Z43" s="188">
        <f t="shared" si="9"/>
        <v>10</v>
      </c>
    </row>
    <row r="44" spans="2:26" ht="14.5" customHeight="1" x14ac:dyDescent="0.35">
      <c r="B44" s="160">
        <v>40</v>
      </c>
      <c r="C44" s="169" t="s">
        <v>60</v>
      </c>
      <c r="D44" s="169" t="str">
        <f>'EZ Data'!D43</f>
        <v>Rajshahi</v>
      </c>
      <c r="E44" s="169" t="str">
        <f>'EZ Data'!E43</f>
        <v>Natore</v>
      </c>
      <c r="F44" s="169" t="str">
        <f>'EZ Data'!F43</f>
        <v>Lalpur</v>
      </c>
      <c r="G44" s="201">
        <v>242.34</v>
      </c>
      <c r="H44" s="198" t="str">
        <f>'EZ Data'!J43</f>
        <v>Priority 3</v>
      </c>
      <c r="I44" s="198" t="str">
        <f>'EZ Data'!AS43</f>
        <v>C Grade</v>
      </c>
      <c r="J44" s="162">
        <f t="shared" si="4"/>
        <v>0</v>
      </c>
      <c r="K44" s="161"/>
      <c r="L44" s="162">
        <f>IF('EZ Data'!O43="Yes",1,0)</f>
        <v>0</v>
      </c>
      <c r="M44" s="162">
        <f>IF('EZ Data'!Q43="Yes",1,0)</f>
        <v>1</v>
      </c>
      <c r="N44" s="162">
        <f>IF('EZ Data'!U43="Yes",1,0)</f>
        <v>0</v>
      </c>
      <c r="O44" s="189">
        <f>COUNTA('EZ Data'!BD43:BM43)</f>
        <v>0</v>
      </c>
      <c r="P44" s="190">
        <f t="shared" si="10"/>
        <v>3</v>
      </c>
      <c r="Q44" s="191">
        <f t="shared" si="5"/>
        <v>3</v>
      </c>
      <c r="R44" s="190">
        <f t="shared" si="11"/>
        <v>2</v>
      </c>
      <c r="S44" s="182">
        <f t="shared" si="12"/>
        <v>2</v>
      </c>
      <c r="T44" s="182">
        <f t="shared" si="13"/>
        <v>4</v>
      </c>
      <c r="U44" s="191">
        <f t="shared" si="6"/>
        <v>2.5</v>
      </c>
      <c r="V44" s="190">
        <v>2</v>
      </c>
      <c r="W44" s="182">
        <v>4</v>
      </c>
      <c r="X44" s="191">
        <f t="shared" si="7"/>
        <v>3</v>
      </c>
      <c r="Y44" s="187">
        <f t="shared" si="8"/>
        <v>1.4</v>
      </c>
      <c r="Z44" s="188">
        <f t="shared" si="9"/>
        <v>58</v>
      </c>
    </row>
    <row r="45" spans="2:26" ht="14.5" customHeight="1" x14ac:dyDescent="0.35">
      <c r="B45" s="160">
        <v>41</v>
      </c>
      <c r="C45" s="169" t="s">
        <v>182</v>
      </c>
      <c r="D45" s="169" t="str">
        <f>'EZ Data'!D44</f>
        <v>Rajshahi</v>
      </c>
      <c r="E45" s="169" t="str">
        <f>'EZ Data'!E44</f>
        <v>Natore</v>
      </c>
      <c r="F45" s="169" t="str">
        <f>'EZ Data'!F44</f>
        <v>Nator Sadar</v>
      </c>
      <c r="G45" s="201">
        <v>300</v>
      </c>
      <c r="H45" s="198" t="str">
        <f>'EZ Data'!J44</f>
        <v>N/A</v>
      </c>
      <c r="I45" s="198" t="str">
        <f>'EZ Data'!AS44</f>
        <v>C Grade</v>
      </c>
      <c r="J45" s="162">
        <f t="shared" si="4"/>
        <v>1</v>
      </c>
      <c r="K45" s="161"/>
      <c r="L45" s="162">
        <f>IF('EZ Data'!O44="Yes",1,0)</f>
        <v>0</v>
      </c>
      <c r="M45" s="162">
        <f>IF('EZ Data'!Q44="Yes",1,0)</f>
        <v>0</v>
      </c>
      <c r="N45" s="162">
        <f>IF('EZ Data'!U44="Yes",1,0)</f>
        <v>0</v>
      </c>
      <c r="O45" s="189">
        <f>COUNTA('EZ Data'!BD44:BM44)</f>
        <v>0</v>
      </c>
      <c r="P45" s="190">
        <f t="shared" si="10"/>
        <v>3</v>
      </c>
      <c r="Q45" s="191">
        <f t="shared" si="5"/>
        <v>3</v>
      </c>
      <c r="R45" s="190">
        <f t="shared" si="11"/>
        <v>0</v>
      </c>
      <c r="S45" s="182">
        <f t="shared" si="12"/>
        <v>2</v>
      </c>
      <c r="T45" s="182">
        <f t="shared" si="13"/>
        <v>0</v>
      </c>
      <c r="U45" s="191">
        <f t="shared" si="6"/>
        <v>0.7</v>
      </c>
      <c r="V45" s="190">
        <v>2</v>
      </c>
      <c r="W45" s="182">
        <v>4</v>
      </c>
      <c r="X45" s="191">
        <f t="shared" si="7"/>
        <v>3</v>
      </c>
      <c r="Y45" s="187">
        <f t="shared" si="8"/>
        <v>1.04</v>
      </c>
      <c r="Z45" s="188">
        <f t="shared" si="9"/>
        <v>87</v>
      </c>
    </row>
    <row r="46" spans="2:26" ht="14.5" customHeight="1" x14ac:dyDescent="0.35">
      <c r="B46" s="160">
        <v>42</v>
      </c>
      <c r="C46" s="169" t="s">
        <v>22</v>
      </c>
      <c r="D46" s="169" t="str">
        <f>'EZ Data'!D45</f>
        <v>Dhaka</v>
      </c>
      <c r="E46" s="169" t="str">
        <f>'EZ Data'!E45</f>
        <v>Dhaka</v>
      </c>
      <c r="F46" s="169" t="str">
        <f>'EZ Data'!F45</f>
        <v>Nawabganj</v>
      </c>
      <c r="G46" s="201">
        <v>880.04200000000003</v>
      </c>
      <c r="H46" s="198" t="str">
        <f>'EZ Data'!J45</f>
        <v>Priority 1</v>
      </c>
      <c r="I46" s="198" t="str">
        <f>'EZ Data'!AS45</f>
        <v>A Grade</v>
      </c>
      <c r="J46" s="162">
        <f t="shared" si="4"/>
        <v>0</v>
      </c>
      <c r="K46" s="161"/>
      <c r="L46" s="162">
        <f>IF('EZ Data'!O45="Yes",1,0)</f>
        <v>0</v>
      </c>
      <c r="M46" s="162">
        <f>IF('EZ Data'!Q45="Yes",1,0)</f>
        <v>1</v>
      </c>
      <c r="N46" s="162">
        <f>IF('EZ Data'!U45="Yes",1,0)</f>
        <v>0</v>
      </c>
      <c r="O46" s="189">
        <f>COUNTA('EZ Data'!BD45:BM45)</f>
        <v>9</v>
      </c>
      <c r="P46" s="190">
        <f t="shared" si="10"/>
        <v>4</v>
      </c>
      <c r="Q46" s="191">
        <f t="shared" si="5"/>
        <v>4</v>
      </c>
      <c r="R46" s="190">
        <f t="shared" si="11"/>
        <v>4</v>
      </c>
      <c r="S46" s="182">
        <f t="shared" si="12"/>
        <v>4</v>
      </c>
      <c r="T46" s="182">
        <f t="shared" si="13"/>
        <v>4</v>
      </c>
      <c r="U46" s="191">
        <f t="shared" si="6"/>
        <v>4</v>
      </c>
      <c r="V46" s="190">
        <v>15</v>
      </c>
      <c r="W46" s="182">
        <v>15</v>
      </c>
      <c r="X46" s="191">
        <f t="shared" si="7"/>
        <v>15</v>
      </c>
      <c r="Y46" s="187">
        <f t="shared" si="8"/>
        <v>3.65</v>
      </c>
      <c r="Z46" s="188">
        <f t="shared" si="9"/>
        <v>9</v>
      </c>
    </row>
    <row r="47" spans="2:26" ht="14.5" customHeight="1" x14ac:dyDescent="0.35">
      <c r="B47" s="160">
        <v>43</v>
      </c>
      <c r="C47" s="169" t="s">
        <v>58</v>
      </c>
      <c r="D47" s="169" t="str">
        <f>'EZ Data'!D46</f>
        <v>Mymensingh</v>
      </c>
      <c r="E47" s="169" t="str">
        <f>'EZ Data'!E46</f>
        <v>Netrakona</v>
      </c>
      <c r="F47" s="169" t="str">
        <f>'EZ Data'!F46</f>
        <v>Netrakona Sadar</v>
      </c>
      <c r="G47" s="201">
        <v>500</v>
      </c>
      <c r="H47" s="198" t="str">
        <f>'EZ Data'!J46</f>
        <v>Priority 2</v>
      </c>
      <c r="I47" s="198" t="str">
        <f>'EZ Data'!AS46</f>
        <v>C Grade</v>
      </c>
      <c r="J47" s="162">
        <f t="shared" si="4"/>
        <v>0</v>
      </c>
      <c r="K47" s="161"/>
      <c r="L47" s="162">
        <f>IF('EZ Data'!O46="Yes",1,0)</f>
        <v>0</v>
      </c>
      <c r="M47" s="162">
        <f>IF('EZ Data'!Q46="Yes",1,0)</f>
        <v>0</v>
      </c>
      <c r="N47" s="162">
        <f>IF('EZ Data'!U46="Yes",1,0)</f>
        <v>1</v>
      </c>
      <c r="O47" s="189">
        <f>COUNTA('EZ Data'!BD46:BM46)</f>
        <v>6</v>
      </c>
      <c r="P47" s="190">
        <f t="shared" si="10"/>
        <v>3</v>
      </c>
      <c r="Q47" s="191">
        <f t="shared" si="5"/>
        <v>3</v>
      </c>
      <c r="R47" s="190">
        <f t="shared" si="11"/>
        <v>3</v>
      </c>
      <c r="S47" s="182">
        <f t="shared" si="12"/>
        <v>2</v>
      </c>
      <c r="T47" s="182">
        <f t="shared" si="13"/>
        <v>4</v>
      </c>
      <c r="U47" s="191">
        <f t="shared" si="6"/>
        <v>2.9000000000000004</v>
      </c>
      <c r="V47" s="190">
        <v>0</v>
      </c>
      <c r="W47" s="182">
        <v>1</v>
      </c>
      <c r="X47" s="191">
        <f t="shared" si="7"/>
        <v>0.5</v>
      </c>
      <c r="Y47" s="187">
        <f t="shared" si="8"/>
        <v>1.105</v>
      </c>
      <c r="Z47" s="188">
        <f t="shared" si="9"/>
        <v>78</v>
      </c>
    </row>
    <row r="48" spans="2:26" ht="14.5" customHeight="1" x14ac:dyDescent="0.35">
      <c r="B48" s="160">
        <v>44</v>
      </c>
      <c r="C48" s="169" t="s">
        <v>59</v>
      </c>
      <c r="D48" s="169" t="str">
        <f>'EZ Data'!D47</f>
        <v>Rangpur</v>
      </c>
      <c r="E48" s="169" t="str">
        <f>'EZ Data'!E47</f>
        <v>Nilphamari</v>
      </c>
      <c r="F48" s="169" t="str">
        <f>'EZ Data'!F47</f>
        <v>Nilphamari Sadar</v>
      </c>
      <c r="G48" s="201">
        <v>107.73</v>
      </c>
      <c r="H48" s="198" t="str">
        <f>'EZ Data'!J47</f>
        <v>Priority 2</v>
      </c>
      <c r="I48" s="198" t="str">
        <f>'EZ Data'!AS47</f>
        <v>B Grade</v>
      </c>
      <c r="J48" s="162">
        <f t="shared" si="4"/>
        <v>0</v>
      </c>
      <c r="K48" s="161"/>
      <c r="L48" s="162">
        <f>IF('EZ Data'!O47="Yes",1,0)</f>
        <v>1</v>
      </c>
      <c r="M48" s="162">
        <f>IF('EZ Data'!Q47="Yes",1,0)</f>
        <v>1</v>
      </c>
      <c r="N48" s="162">
        <f>IF('EZ Data'!U47="Yes",1,0)</f>
        <v>0</v>
      </c>
      <c r="O48" s="189">
        <f>COUNTA('EZ Data'!BD47:BM47)</f>
        <v>6</v>
      </c>
      <c r="P48" s="190">
        <f t="shared" si="10"/>
        <v>3</v>
      </c>
      <c r="Q48" s="191">
        <f t="shared" si="5"/>
        <v>3</v>
      </c>
      <c r="R48" s="190">
        <f t="shared" si="11"/>
        <v>3</v>
      </c>
      <c r="S48" s="182">
        <f t="shared" si="12"/>
        <v>3</v>
      </c>
      <c r="T48" s="182">
        <f t="shared" si="13"/>
        <v>4</v>
      </c>
      <c r="U48" s="191">
        <f t="shared" si="6"/>
        <v>3.25</v>
      </c>
      <c r="V48" s="190">
        <v>0</v>
      </c>
      <c r="W48" s="182">
        <v>0</v>
      </c>
      <c r="X48" s="191">
        <f t="shared" si="7"/>
        <v>0</v>
      </c>
      <c r="Y48" s="187">
        <f t="shared" si="8"/>
        <v>1.1000000000000001</v>
      </c>
      <c r="Z48" s="188">
        <f t="shared" si="9"/>
        <v>79</v>
      </c>
    </row>
    <row r="49" spans="2:26" ht="14.5" customHeight="1" x14ac:dyDescent="0.35">
      <c r="B49" s="160">
        <v>45</v>
      </c>
      <c r="C49" s="169" t="s">
        <v>154</v>
      </c>
      <c r="D49" s="169" t="str">
        <f>'EZ Data'!D48</f>
        <v>Chattogram</v>
      </c>
      <c r="E49" s="169" t="str">
        <f>'EZ Data'!E48</f>
        <v>Noakhali</v>
      </c>
      <c r="F49" s="169" t="str">
        <f>'EZ Data'!F48</f>
        <v>Companiganj</v>
      </c>
      <c r="G49" s="201">
        <v>4835.91</v>
      </c>
      <c r="H49" s="198" t="str">
        <f>'EZ Data'!J48</f>
        <v>Priority 3</v>
      </c>
      <c r="I49" s="198" t="str">
        <f>'EZ Data'!AS48</f>
        <v>B Grade</v>
      </c>
      <c r="J49" s="162">
        <f t="shared" si="4"/>
        <v>1</v>
      </c>
      <c r="K49" s="161"/>
      <c r="L49" s="162">
        <f>IF('EZ Data'!O48="Yes",1,0)</f>
        <v>0</v>
      </c>
      <c r="M49" s="162">
        <f>IF('EZ Data'!Q48="Yes",1,0)</f>
        <v>0</v>
      </c>
      <c r="N49" s="162">
        <f>IF('EZ Data'!U48="Yes",1,0)</f>
        <v>0</v>
      </c>
      <c r="O49" s="189">
        <f>COUNTA('EZ Data'!BD48:BM48)</f>
        <v>0</v>
      </c>
      <c r="P49" s="190">
        <f t="shared" si="10"/>
        <v>4</v>
      </c>
      <c r="Q49" s="191">
        <f t="shared" si="5"/>
        <v>4</v>
      </c>
      <c r="R49" s="190">
        <f t="shared" si="11"/>
        <v>2</v>
      </c>
      <c r="S49" s="182">
        <f t="shared" si="12"/>
        <v>3</v>
      </c>
      <c r="T49" s="182">
        <f t="shared" si="13"/>
        <v>0</v>
      </c>
      <c r="U49" s="191">
        <f t="shared" si="6"/>
        <v>1.8499999999999999</v>
      </c>
      <c r="V49" s="190">
        <v>0</v>
      </c>
      <c r="W49" s="182">
        <v>1</v>
      </c>
      <c r="X49" s="191">
        <f t="shared" si="7"/>
        <v>0.5</v>
      </c>
      <c r="Y49" s="187">
        <f t="shared" si="8"/>
        <v>1.0449999999999999</v>
      </c>
      <c r="Z49" s="188">
        <f t="shared" si="9"/>
        <v>84</v>
      </c>
    </row>
    <row r="50" spans="2:26" ht="14.5" customHeight="1" x14ac:dyDescent="0.35">
      <c r="B50" s="160">
        <v>46</v>
      </c>
      <c r="C50" s="169" t="s">
        <v>232</v>
      </c>
      <c r="D50" s="169" t="str">
        <f>'EZ Data'!D49</f>
        <v>Dhaka</v>
      </c>
      <c r="E50" s="169" t="str">
        <f>'EZ Data'!E49</f>
        <v>Narsingdi</v>
      </c>
      <c r="F50" s="169" t="str">
        <f>'EZ Data'!F49</f>
        <v>Narsingdi Sadar</v>
      </c>
      <c r="G50" s="201">
        <v>690.2</v>
      </c>
      <c r="H50" s="198" t="str">
        <f>'EZ Data'!J49</f>
        <v>Priority 3</v>
      </c>
      <c r="I50" s="198" t="str">
        <f>'EZ Data'!AS49</f>
        <v>C Grade</v>
      </c>
      <c r="J50" s="162">
        <f t="shared" si="4"/>
        <v>1</v>
      </c>
      <c r="K50" s="161"/>
      <c r="L50" s="162">
        <f>IF('EZ Data'!O49="Yes",1,0)</f>
        <v>0</v>
      </c>
      <c r="M50" s="162">
        <f>IF('EZ Data'!Q49="Yes",1,0)</f>
        <v>0</v>
      </c>
      <c r="N50" s="162">
        <f>IF('EZ Data'!U49="Yes",1,0)</f>
        <v>0</v>
      </c>
      <c r="O50" s="189">
        <f>COUNTA('EZ Data'!BD49:BM49)</f>
        <v>0</v>
      </c>
      <c r="P50" s="190">
        <f t="shared" si="10"/>
        <v>4</v>
      </c>
      <c r="Q50" s="191">
        <f t="shared" si="5"/>
        <v>4</v>
      </c>
      <c r="R50" s="190">
        <f t="shared" si="11"/>
        <v>2</v>
      </c>
      <c r="S50" s="182">
        <f t="shared" si="12"/>
        <v>2</v>
      </c>
      <c r="T50" s="182">
        <f t="shared" si="13"/>
        <v>0</v>
      </c>
      <c r="U50" s="191">
        <f t="shared" si="6"/>
        <v>1.5</v>
      </c>
      <c r="V50" s="190">
        <v>3</v>
      </c>
      <c r="W50" s="182">
        <v>3</v>
      </c>
      <c r="X50" s="191">
        <f t="shared" si="7"/>
        <v>3</v>
      </c>
      <c r="Y50" s="187">
        <f t="shared" si="8"/>
        <v>1.35</v>
      </c>
      <c r="Z50" s="188">
        <f t="shared" si="9"/>
        <v>59</v>
      </c>
    </row>
    <row r="51" spans="2:26" ht="14.5" customHeight="1" x14ac:dyDescent="0.35">
      <c r="B51" s="160">
        <v>47</v>
      </c>
      <c r="C51" s="169" t="s">
        <v>235</v>
      </c>
      <c r="D51" s="169" t="str">
        <f>'EZ Data'!D50</f>
        <v>Rajshahi</v>
      </c>
      <c r="E51" s="169" t="str">
        <f>'EZ Data'!E50</f>
        <v>Pabna</v>
      </c>
      <c r="F51" s="169" t="str">
        <f>'EZ Data'!F50</f>
        <v>Bera</v>
      </c>
      <c r="G51" s="201">
        <v>516.26</v>
      </c>
      <c r="H51" s="198" t="str">
        <f>'EZ Data'!J50</f>
        <v>Priority 3</v>
      </c>
      <c r="I51" s="198" t="str">
        <f>'EZ Data'!AS50</f>
        <v>B Grade</v>
      </c>
      <c r="J51" s="162">
        <f t="shared" si="4"/>
        <v>1</v>
      </c>
      <c r="K51" s="161"/>
      <c r="L51" s="162">
        <f>IF('EZ Data'!O50="Yes",1,0)</f>
        <v>0</v>
      </c>
      <c r="M51" s="162">
        <f>IF('EZ Data'!Q50="Yes",1,0)</f>
        <v>0</v>
      </c>
      <c r="N51" s="162">
        <f>IF('EZ Data'!U50="Yes",1,0)</f>
        <v>0</v>
      </c>
      <c r="O51" s="189">
        <f>COUNTA('EZ Data'!BD50:BM50)</f>
        <v>0</v>
      </c>
      <c r="P51" s="190">
        <f t="shared" si="10"/>
        <v>4</v>
      </c>
      <c r="Q51" s="191">
        <f t="shared" si="5"/>
        <v>4</v>
      </c>
      <c r="R51" s="190">
        <f t="shared" si="11"/>
        <v>2</v>
      </c>
      <c r="S51" s="182">
        <f t="shared" si="12"/>
        <v>3</v>
      </c>
      <c r="T51" s="182">
        <f t="shared" si="13"/>
        <v>0</v>
      </c>
      <c r="U51" s="191">
        <f t="shared" si="6"/>
        <v>1.8499999999999999</v>
      </c>
      <c r="V51" s="190">
        <v>3</v>
      </c>
      <c r="W51" s="182">
        <v>4</v>
      </c>
      <c r="X51" s="191">
        <f t="shared" si="7"/>
        <v>3.5</v>
      </c>
      <c r="Y51" s="187">
        <f t="shared" si="8"/>
        <v>1.4950000000000001</v>
      </c>
      <c r="Z51" s="188">
        <f t="shared" si="9"/>
        <v>49</v>
      </c>
    </row>
    <row r="52" spans="2:26" ht="14.5" customHeight="1" x14ac:dyDescent="0.35">
      <c r="B52" s="160">
        <v>48</v>
      </c>
      <c r="C52" s="169" t="s">
        <v>55</v>
      </c>
      <c r="D52" s="169" t="str">
        <f>'EZ Data'!D51</f>
        <v>Rangpur</v>
      </c>
      <c r="E52" s="169" t="str">
        <f>'EZ Data'!E51</f>
        <v>Panchagarh</v>
      </c>
      <c r="F52" s="169" t="str">
        <f>'EZ Data'!F51</f>
        <v>Debiganj</v>
      </c>
      <c r="G52" s="201">
        <v>602.41999999999996</v>
      </c>
      <c r="H52" s="198" t="str">
        <f>'EZ Data'!J51</f>
        <v>Priority 2</v>
      </c>
      <c r="I52" s="198" t="str">
        <f>'EZ Data'!AS51</f>
        <v>B Grade</v>
      </c>
      <c r="J52" s="162">
        <f t="shared" si="4"/>
        <v>0</v>
      </c>
      <c r="K52" s="161"/>
      <c r="L52" s="162">
        <f>IF('EZ Data'!O51="Yes",1,0)</f>
        <v>1</v>
      </c>
      <c r="M52" s="162">
        <f>IF('EZ Data'!Q51="Yes",1,0)</f>
        <v>1</v>
      </c>
      <c r="N52" s="162">
        <f>IF('EZ Data'!U51="Yes",1,0)</f>
        <v>0</v>
      </c>
      <c r="O52" s="189">
        <f>COUNTA('EZ Data'!BD51:BM51)</f>
        <v>5</v>
      </c>
      <c r="P52" s="190">
        <f t="shared" si="10"/>
        <v>4</v>
      </c>
      <c r="Q52" s="191">
        <f t="shared" si="5"/>
        <v>4</v>
      </c>
      <c r="R52" s="190">
        <f t="shared" si="11"/>
        <v>3</v>
      </c>
      <c r="S52" s="182">
        <f t="shared" si="12"/>
        <v>3</v>
      </c>
      <c r="T52" s="182">
        <f t="shared" si="13"/>
        <v>4</v>
      </c>
      <c r="U52" s="191">
        <f t="shared" si="6"/>
        <v>3.25</v>
      </c>
      <c r="V52" s="190">
        <v>0</v>
      </c>
      <c r="W52" s="182">
        <v>0</v>
      </c>
      <c r="X52" s="191">
        <f t="shared" si="7"/>
        <v>0</v>
      </c>
      <c r="Y52" s="187">
        <f t="shared" si="8"/>
        <v>1.25</v>
      </c>
      <c r="Z52" s="188">
        <f t="shared" si="9"/>
        <v>69</v>
      </c>
    </row>
    <row r="53" spans="2:26" ht="14.5" customHeight="1" x14ac:dyDescent="0.35">
      <c r="B53" s="160">
        <v>49</v>
      </c>
      <c r="C53" s="169" t="s">
        <v>199</v>
      </c>
      <c r="D53" s="169" t="str">
        <f>'EZ Data'!D52</f>
        <v>Chattogram</v>
      </c>
      <c r="E53" s="169" t="str">
        <f>'EZ Data'!E52</f>
        <v>Chattogram</v>
      </c>
      <c r="F53" s="169" t="str">
        <f>'EZ Data'!F52</f>
        <v>Patia</v>
      </c>
      <c r="G53" s="201">
        <v>774.48</v>
      </c>
      <c r="H53" s="198" t="str">
        <f>'EZ Data'!J52</f>
        <v>Priority 3</v>
      </c>
      <c r="I53" s="198" t="str">
        <f>'EZ Data'!AS52</f>
        <v>C Grade</v>
      </c>
      <c r="J53" s="162">
        <f t="shared" si="4"/>
        <v>1</v>
      </c>
      <c r="K53" s="161"/>
      <c r="L53" s="162">
        <f>IF('EZ Data'!O52="Yes",1,0)</f>
        <v>0</v>
      </c>
      <c r="M53" s="162">
        <f>IF('EZ Data'!Q52="Yes",1,0)</f>
        <v>0</v>
      </c>
      <c r="N53" s="162">
        <f>IF('EZ Data'!U52="Yes",1,0)</f>
        <v>0</v>
      </c>
      <c r="O53" s="189">
        <f>COUNTA('EZ Data'!BD52:BM52)</f>
        <v>0</v>
      </c>
      <c r="P53" s="190">
        <f t="shared" si="10"/>
        <v>4</v>
      </c>
      <c r="Q53" s="191">
        <f t="shared" si="5"/>
        <v>4</v>
      </c>
      <c r="R53" s="190">
        <f t="shared" si="11"/>
        <v>2</v>
      </c>
      <c r="S53" s="182">
        <f t="shared" si="12"/>
        <v>2</v>
      </c>
      <c r="T53" s="182">
        <f t="shared" si="13"/>
        <v>0</v>
      </c>
      <c r="U53" s="191">
        <f t="shared" si="6"/>
        <v>1.5</v>
      </c>
      <c r="V53" s="190">
        <v>19</v>
      </c>
      <c r="W53" s="182">
        <v>19</v>
      </c>
      <c r="X53" s="191">
        <f t="shared" si="7"/>
        <v>19</v>
      </c>
      <c r="Y53" s="187">
        <f t="shared" si="8"/>
        <v>3.75</v>
      </c>
      <c r="Z53" s="188">
        <f t="shared" si="9"/>
        <v>7</v>
      </c>
    </row>
    <row r="54" spans="2:26" ht="14.5" customHeight="1" x14ac:dyDescent="0.35">
      <c r="B54" s="160">
        <v>50</v>
      </c>
      <c r="C54" s="169" t="s">
        <v>248</v>
      </c>
      <c r="D54" s="169" t="str">
        <f>'EZ Data'!D53</f>
        <v>Rajshahi</v>
      </c>
      <c r="E54" s="169" t="str">
        <f>'EZ Data'!E53</f>
        <v>Rajshahi</v>
      </c>
      <c r="F54" s="169" t="str">
        <f>'EZ Data'!F53</f>
        <v>Paba</v>
      </c>
      <c r="G54" s="201">
        <v>360</v>
      </c>
      <c r="H54" s="198" t="str">
        <f>'EZ Data'!J53</f>
        <v>Priority 3</v>
      </c>
      <c r="I54" s="198" t="str">
        <f>'EZ Data'!AS53</f>
        <v>B Grade</v>
      </c>
      <c r="J54" s="162">
        <f t="shared" si="4"/>
        <v>1</v>
      </c>
      <c r="K54" s="161"/>
      <c r="L54" s="162">
        <f>IF('EZ Data'!O53="Yes",1,0)</f>
        <v>0</v>
      </c>
      <c r="M54" s="162">
        <f>IF('EZ Data'!Q53="Yes",1,0)</f>
        <v>0</v>
      </c>
      <c r="N54" s="162">
        <f>IF('EZ Data'!U53="Yes",1,0)</f>
        <v>0</v>
      </c>
      <c r="O54" s="189">
        <f>COUNTA('EZ Data'!BD53:BM53)</f>
        <v>0</v>
      </c>
      <c r="P54" s="190">
        <f t="shared" si="10"/>
        <v>3</v>
      </c>
      <c r="Q54" s="191">
        <f t="shared" si="5"/>
        <v>3</v>
      </c>
      <c r="R54" s="190">
        <f t="shared" si="11"/>
        <v>2</v>
      </c>
      <c r="S54" s="182">
        <f t="shared" si="12"/>
        <v>3</v>
      </c>
      <c r="T54" s="182">
        <f t="shared" si="13"/>
        <v>0</v>
      </c>
      <c r="U54" s="191">
        <f t="shared" si="6"/>
        <v>1.8499999999999999</v>
      </c>
      <c r="V54" s="190">
        <f>VLOOKUP(O54,$AB$19:$AC$22,2,TRUE)</f>
        <v>1</v>
      </c>
      <c r="W54" s="182">
        <v>2</v>
      </c>
      <c r="X54" s="191">
        <f t="shared" si="7"/>
        <v>1.5</v>
      </c>
      <c r="Y54" s="187">
        <f t="shared" si="8"/>
        <v>1.0449999999999999</v>
      </c>
      <c r="Z54" s="188">
        <f t="shared" si="9"/>
        <v>84</v>
      </c>
    </row>
    <row r="55" spans="2:26" ht="14.5" customHeight="1" x14ac:dyDescent="0.35">
      <c r="B55" s="160">
        <v>51</v>
      </c>
      <c r="C55" s="169" t="s">
        <v>238</v>
      </c>
      <c r="D55" s="169" t="str">
        <f>'EZ Data'!D54</f>
        <v>Khulna</v>
      </c>
      <c r="E55" s="169" t="str">
        <f>'EZ Data'!E54</f>
        <v>Bagerhat</v>
      </c>
      <c r="F55" s="169" t="str">
        <f>'EZ Data'!F54</f>
        <v>Rampal</v>
      </c>
      <c r="G55" s="201">
        <v>300</v>
      </c>
      <c r="H55" s="198" t="str">
        <f>'EZ Data'!J54</f>
        <v>Priority 3</v>
      </c>
      <c r="I55" s="198" t="str">
        <f>'EZ Data'!AS54</f>
        <v>C Grade</v>
      </c>
      <c r="J55" s="162">
        <f t="shared" si="4"/>
        <v>1</v>
      </c>
      <c r="K55" s="161"/>
      <c r="L55" s="162">
        <f>IF('EZ Data'!O54="Yes",1,0)</f>
        <v>0</v>
      </c>
      <c r="M55" s="162">
        <f>IF('EZ Data'!Q54="Yes",1,0)</f>
        <v>0</v>
      </c>
      <c r="N55" s="162">
        <f>IF('EZ Data'!U54="Yes",1,0)</f>
        <v>0</v>
      </c>
      <c r="O55" s="189">
        <f>COUNTA('EZ Data'!BD54:BM54)</f>
        <v>0</v>
      </c>
      <c r="P55" s="190">
        <f t="shared" si="10"/>
        <v>3</v>
      </c>
      <c r="Q55" s="191">
        <f t="shared" si="5"/>
        <v>3</v>
      </c>
      <c r="R55" s="190">
        <f t="shared" si="11"/>
        <v>2</v>
      </c>
      <c r="S55" s="182">
        <f t="shared" si="12"/>
        <v>2</v>
      </c>
      <c r="T55" s="182">
        <f t="shared" si="13"/>
        <v>0</v>
      </c>
      <c r="U55" s="191">
        <f t="shared" si="6"/>
        <v>1.5</v>
      </c>
      <c r="V55" s="190">
        <v>0</v>
      </c>
      <c r="W55" s="182">
        <v>1</v>
      </c>
      <c r="X55" s="191">
        <f t="shared" si="7"/>
        <v>0.5</v>
      </c>
      <c r="Y55" s="187">
        <f t="shared" si="8"/>
        <v>0.82499999999999996</v>
      </c>
      <c r="Z55" s="188">
        <f t="shared" si="9"/>
        <v>93</v>
      </c>
    </row>
    <row r="56" spans="2:26" ht="14.5" customHeight="1" x14ac:dyDescent="0.35">
      <c r="B56" s="160">
        <v>52</v>
      </c>
      <c r="C56" s="169" t="s">
        <v>20</v>
      </c>
      <c r="D56" s="169" t="str">
        <f>'EZ Data'!D55</f>
        <v>Chattogram</v>
      </c>
      <c r="E56" s="169" t="str">
        <f>'EZ Data'!E55</f>
        <v>Cox’s Bazar</v>
      </c>
      <c r="F56" s="169" t="str">
        <f>'EZ Data'!F55</f>
        <v>Teknaf</v>
      </c>
      <c r="G56" s="201">
        <v>965.36</v>
      </c>
      <c r="H56" s="198" t="str">
        <f>'EZ Data'!J55</f>
        <v>Priority 1</v>
      </c>
      <c r="I56" s="198" t="str">
        <f>'EZ Data'!AS55</f>
        <v>A Grade</v>
      </c>
      <c r="J56" s="162">
        <f t="shared" si="4"/>
        <v>0</v>
      </c>
      <c r="K56" s="161"/>
      <c r="L56" s="162">
        <f>IF('EZ Data'!O55="Yes",1,0)</f>
        <v>1</v>
      </c>
      <c r="M56" s="162">
        <f>IF('EZ Data'!Q55="Yes",1,0)</f>
        <v>1</v>
      </c>
      <c r="N56" s="162">
        <f>IF('EZ Data'!U55="Yes",1,0)</f>
        <v>1</v>
      </c>
      <c r="O56" s="189">
        <f>COUNTA('EZ Data'!BD55:BM55)</f>
        <v>1</v>
      </c>
      <c r="P56" s="190">
        <f t="shared" si="10"/>
        <v>4</v>
      </c>
      <c r="Q56" s="191">
        <f t="shared" si="5"/>
        <v>4</v>
      </c>
      <c r="R56" s="190">
        <f t="shared" si="11"/>
        <v>4</v>
      </c>
      <c r="S56" s="182">
        <f t="shared" si="12"/>
        <v>4</v>
      </c>
      <c r="T56" s="182">
        <f t="shared" si="13"/>
        <v>4</v>
      </c>
      <c r="U56" s="191">
        <f t="shared" si="6"/>
        <v>4</v>
      </c>
      <c r="V56" s="190">
        <v>1</v>
      </c>
      <c r="W56" s="182">
        <v>4</v>
      </c>
      <c r="X56" s="191">
        <f t="shared" si="7"/>
        <v>2.5</v>
      </c>
      <c r="Y56" s="187">
        <f t="shared" si="8"/>
        <v>1.7749999999999999</v>
      </c>
      <c r="Z56" s="188">
        <f t="shared" si="9"/>
        <v>35</v>
      </c>
    </row>
    <row r="57" spans="2:26" ht="14.5" customHeight="1" x14ac:dyDescent="0.35">
      <c r="B57" s="160">
        <v>53</v>
      </c>
      <c r="C57" s="169" t="s">
        <v>197</v>
      </c>
      <c r="D57" s="169" t="str">
        <f>'EZ Data'!D56</f>
        <v>Chattogram</v>
      </c>
      <c r="E57" s="169" t="str">
        <f>'EZ Data'!E56</f>
        <v>Chattogram</v>
      </c>
      <c r="F57" s="169" t="str">
        <f>'EZ Data'!F56</f>
        <v>Sandwip</v>
      </c>
      <c r="G57" s="201">
        <v>13000.4264</v>
      </c>
      <c r="H57" s="198" t="str">
        <f>'EZ Data'!J56</f>
        <v>Priority 3</v>
      </c>
      <c r="I57" s="198" t="str">
        <f>'EZ Data'!AS56</f>
        <v>B Grade</v>
      </c>
      <c r="J57" s="162">
        <f t="shared" si="4"/>
        <v>1</v>
      </c>
      <c r="K57" s="161"/>
      <c r="L57" s="162">
        <f>IF('EZ Data'!O56="Yes",1,0)</f>
        <v>0</v>
      </c>
      <c r="M57" s="162">
        <f>IF('EZ Data'!Q56="Yes",1,0)</f>
        <v>0</v>
      </c>
      <c r="N57" s="162">
        <f>IF('EZ Data'!U56="Yes",1,0)</f>
        <v>0</v>
      </c>
      <c r="O57" s="189">
        <f>COUNTA('EZ Data'!BD56:BM56)</f>
        <v>0</v>
      </c>
      <c r="P57" s="190">
        <f t="shared" si="10"/>
        <v>4</v>
      </c>
      <c r="Q57" s="191">
        <f t="shared" si="5"/>
        <v>4</v>
      </c>
      <c r="R57" s="190">
        <f t="shared" si="11"/>
        <v>2</v>
      </c>
      <c r="S57" s="182">
        <f t="shared" si="12"/>
        <v>3</v>
      </c>
      <c r="T57" s="182">
        <f t="shared" si="13"/>
        <v>0</v>
      </c>
      <c r="U57" s="191">
        <f t="shared" si="6"/>
        <v>1.8499999999999999</v>
      </c>
      <c r="V57" s="190">
        <v>19</v>
      </c>
      <c r="W57" s="182">
        <v>19</v>
      </c>
      <c r="X57" s="191">
        <f t="shared" si="7"/>
        <v>19</v>
      </c>
      <c r="Y57" s="187">
        <f t="shared" si="8"/>
        <v>3.8200000000000003</v>
      </c>
      <c r="Z57" s="188">
        <f t="shared" si="9"/>
        <v>6</v>
      </c>
    </row>
    <row r="58" spans="2:26" ht="14.5" customHeight="1" x14ac:dyDescent="0.35">
      <c r="B58" s="160">
        <v>54</v>
      </c>
      <c r="C58" s="169" t="s">
        <v>239</v>
      </c>
      <c r="D58" s="169" t="str">
        <f>'EZ Data'!D57</f>
        <v>Rajshahi</v>
      </c>
      <c r="E58" s="169" t="str">
        <f>'EZ Data'!E57</f>
        <v>Naogaon</v>
      </c>
      <c r="F58" s="169" t="str">
        <f>'EZ Data'!F57</f>
        <v>Sapahar</v>
      </c>
      <c r="G58" s="201">
        <v>254.15</v>
      </c>
      <c r="H58" s="198" t="str">
        <f>'EZ Data'!J57</f>
        <v>Priority 3</v>
      </c>
      <c r="I58" s="198" t="str">
        <f>'EZ Data'!AS57</f>
        <v>C Grade</v>
      </c>
      <c r="J58" s="162">
        <f t="shared" si="4"/>
        <v>1</v>
      </c>
      <c r="K58" s="161"/>
      <c r="L58" s="162">
        <f>IF('EZ Data'!O57="Yes",1,0)</f>
        <v>0</v>
      </c>
      <c r="M58" s="162">
        <f>IF('EZ Data'!Q57="Yes",1,0)</f>
        <v>0</v>
      </c>
      <c r="N58" s="162">
        <f>IF('EZ Data'!U57="Yes",1,0)</f>
        <v>0</v>
      </c>
      <c r="O58" s="189">
        <f>COUNTA('EZ Data'!BD57:BM57)</f>
        <v>0</v>
      </c>
      <c r="P58" s="190">
        <f t="shared" si="10"/>
        <v>3</v>
      </c>
      <c r="Q58" s="191">
        <f t="shared" si="5"/>
        <v>3</v>
      </c>
      <c r="R58" s="190">
        <f t="shared" si="11"/>
        <v>2</v>
      </c>
      <c r="S58" s="182">
        <f t="shared" si="12"/>
        <v>2</v>
      </c>
      <c r="T58" s="182">
        <f t="shared" si="13"/>
        <v>0</v>
      </c>
      <c r="U58" s="191">
        <f t="shared" si="6"/>
        <v>1.5</v>
      </c>
      <c r="V58" s="190">
        <v>0</v>
      </c>
      <c r="W58" s="182">
        <v>0</v>
      </c>
      <c r="X58" s="191">
        <f t="shared" si="7"/>
        <v>0</v>
      </c>
      <c r="Y58" s="187">
        <f t="shared" si="8"/>
        <v>0.75</v>
      </c>
      <c r="Z58" s="188">
        <f t="shared" si="9"/>
        <v>96</v>
      </c>
    </row>
    <row r="59" spans="2:26" ht="14.5" customHeight="1" x14ac:dyDescent="0.35">
      <c r="B59" s="160">
        <v>55</v>
      </c>
      <c r="C59" s="169" t="s">
        <v>138</v>
      </c>
      <c r="D59" s="169" t="str">
        <f>'EZ Data'!D58</f>
        <v>Dhaka</v>
      </c>
      <c r="E59" s="169" t="str">
        <f>'EZ Data'!E58</f>
        <v>Shariatpur</v>
      </c>
      <c r="F59" s="169" t="str">
        <f>'EZ Data'!F58</f>
        <v>Gosairhat</v>
      </c>
      <c r="G59" s="201">
        <v>686</v>
      </c>
      <c r="H59" s="198" t="str">
        <f>'EZ Data'!J58</f>
        <v>Priority 3</v>
      </c>
      <c r="I59" s="198" t="str">
        <f>'EZ Data'!AS58</f>
        <v>B Grade</v>
      </c>
      <c r="J59" s="162">
        <f t="shared" si="4"/>
        <v>0</v>
      </c>
      <c r="K59" s="161"/>
      <c r="L59" s="162">
        <f>IF('EZ Data'!O58="Yes",1,0)</f>
        <v>1</v>
      </c>
      <c r="M59" s="162">
        <f>IF('EZ Data'!Q58="Yes",1,0)</f>
        <v>0</v>
      </c>
      <c r="N59" s="162">
        <f>IF('EZ Data'!U58="Yes",1,0)</f>
        <v>0</v>
      </c>
      <c r="O59" s="189">
        <f>COUNTA('EZ Data'!BD58:BM58)</f>
        <v>0</v>
      </c>
      <c r="P59" s="190">
        <f t="shared" si="10"/>
        <v>4</v>
      </c>
      <c r="Q59" s="191">
        <f t="shared" si="5"/>
        <v>4</v>
      </c>
      <c r="R59" s="190">
        <f t="shared" si="11"/>
        <v>2</v>
      </c>
      <c r="S59" s="182">
        <f t="shared" si="12"/>
        <v>3</v>
      </c>
      <c r="T59" s="182">
        <f t="shared" si="13"/>
        <v>3</v>
      </c>
      <c r="U59" s="191">
        <f t="shared" si="6"/>
        <v>2.5999999999999996</v>
      </c>
      <c r="V59" s="190">
        <v>0</v>
      </c>
      <c r="W59" s="182">
        <v>0</v>
      </c>
      <c r="X59" s="191">
        <f t="shared" si="7"/>
        <v>0</v>
      </c>
      <c r="Y59" s="187">
        <f t="shared" si="8"/>
        <v>1.1199999999999999</v>
      </c>
      <c r="Z59" s="188">
        <f t="shared" si="9"/>
        <v>76</v>
      </c>
    </row>
    <row r="60" spans="2:26" ht="14.5" customHeight="1" x14ac:dyDescent="0.35">
      <c r="B60" s="160">
        <v>56</v>
      </c>
      <c r="C60" s="169" t="s">
        <v>61</v>
      </c>
      <c r="D60" s="169" t="str">
        <f>'EZ Data'!D59</f>
        <v>Dhaka</v>
      </c>
      <c r="E60" s="169" t="str">
        <f>'EZ Data'!E59</f>
        <v>Shariatpur</v>
      </c>
      <c r="F60" s="169" t="str">
        <f>'EZ Data'!F59</f>
        <v>Jajira</v>
      </c>
      <c r="G60" s="201">
        <v>525.26499999999999</v>
      </c>
      <c r="H60" s="198" t="str">
        <f>'EZ Data'!J59</f>
        <v>Priority 3</v>
      </c>
      <c r="I60" s="198" t="str">
        <f>'EZ Data'!AS59</f>
        <v>B Grade</v>
      </c>
      <c r="J60" s="162">
        <f t="shared" si="4"/>
        <v>0</v>
      </c>
      <c r="K60" s="161"/>
      <c r="L60" s="162">
        <f>IF('EZ Data'!O59="Yes",1,0)</f>
        <v>0</v>
      </c>
      <c r="M60" s="162">
        <f>IF('EZ Data'!Q59="Yes",1,0)</f>
        <v>1</v>
      </c>
      <c r="N60" s="162">
        <f>IF('EZ Data'!U59="Yes",1,0)</f>
        <v>0</v>
      </c>
      <c r="O60" s="189">
        <f>COUNTA('EZ Data'!BD59:BM59)</f>
        <v>4</v>
      </c>
      <c r="P60" s="190">
        <f t="shared" si="10"/>
        <v>4</v>
      </c>
      <c r="Q60" s="191">
        <f t="shared" si="5"/>
        <v>4</v>
      </c>
      <c r="R60" s="190">
        <f t="shared" si="11"/>
        <v>2</v>
      </c>
      <c r="S60" s="182">
        <f t="shared" si="12"/>
        <v>3</v>
      </c>
      <c r="T60" s="182">
        <f t="shared" si="13"/>
        <v>4</v>
      </c>
      <c r="U60" s="191">
        <f t="shared" si="6"/>
        <v>2.8499999999999996</v>
      </c>
      <c r="V60" s="190">
        <v>0</v>
      </c>
      <c r="W60" s="182">
        <v>0</v>
      </c>
      <c r="X60" s="191">
        <f t="shared" si="7"/>
        <v>0</v>
      </c>
      <c r="Y60" s="187">
        <f t="shared" si="8"/>
        <v>1.17</v>
      </c>
      <c r="Z60" s="188">
        <f t="shared" si="9"/>
        <v>73</v>
      </c>
    </row>
    <row r="61" spans="2:26" ht="14.5" customHeight="1" x14ac:dyDescent="0.35">
      <c r="B61" s="160">
        <v>57</v>
      </c>
      <c r="C61" s="169" t="s">
        <v>487</v>
      </c>
      <c r="D61" s="169" t="str">
        <f>'EZ Data'!D60</f>
        <v>Mymensingh</v>
      </c>
      <c r="E61" s="169" t="str">
        <f>'EZ Data'!E60</f>
        <v>Sherpur</v>
      </c>
      <c r="F61" s="169" t="str">
        <f>'EZ Data'!F60</f>
        <v>Sherpur Sadar</v>
      </c>
      <c r="G61" s="201">
        <v>403.63</v>
      </c>
      <c r="H61" s="198" t="str">
        <f>'EZ Data'!J60</f>
        <v>Priority 3</v>
      </c>
      <c r="I61" s="198" t="str">
        <f>'EZ Data'!AS60</f>
        <v>C Grade</v>
      </c>
      <c r="J61" s="162">
        <f t="shared" si="4"/>
        <v>1</v>
      </c>
      <c r="K61" s="161"/>
      <c r="L61" s="162">
        <f>IF('EZ Data'!O60="Yes",1,0)</f>
        <v>0</v>
      </c>
      <c r="M61" s="162">
        <f>IF('EZ Data'!Q60="Yes",1,0)</f>
        <v>0</v>
      </c>
      <c r="N61" s="162">
        <f>IF('EZ Data'!U60="Yes",1,0)</f>
        <v>0</v>
      </c>
      <c r="O61" s="189">
        <f>COUNTA('EZ Data'!BD60:BM60)</f>
        <v>8</v>
      </c>
      <c r="P61" s="190">
        <f t="shared" si="10"/>
        <v>3</v>
      </c>
      <c r="Q61" s="191">
        <f t="shared" si="5"/>
        <v>3</v>
      </c>
      <c r="R61" s="190">
        <f t="shared" si="11"/>
        <v>2</v>
      </c>
      <c r="S61" s="182">
        <f t="shared" si="12"/>
        <v>2</v>
      </c>
      <c r="T61" s="182">
        <f t="shared" si="13"/>
        <v>0</v>
      </c>
      <c r="U61" s="191">
        <f t="shared" si="6"/>
        <v>1.5</v>
      </c>
      <c r="V61" s="190">
        <v>1</v>
      </c>
      <c r="W61" s="182">
        <v>1</v>
      </c>
      <c r="X61" s="191">
        <f t="shared" si="7"/>
        <v>1</v>
      </c>
      <c r="Y61" s="187">
        <f t="shared" si="8"/>
        <v>0.9</v>
      </c>
      <c r="Z61" s="188">
        <f t="shared" si="9"/>
        <v>91</v>
      </c>
    </row>
    <row r="62" spans="2:26" ht="14.5" customHeight="1" x14ac:dyDescent="0.35">
      <c r="B62" s="160">
        <v>58</v>
      </c>
      <c r="C62" s="169" t="s">
        <v>36</v>
      </c>
      <c r="D62" s="169" t="str">
        <f>'EZ Data'!D61</f>
        <v>Sylhet</v>
      </c>
      <c r="E62" s="169" t="str">
        <f>'EZ Data'!E61</f>
        <v>Moulvibazar</v>
      </c>
      <c r="F62" s="169" t="str">
        <f>'EZ Data'!F61</f>
        <v>Moulvibazar Sadar</v>
      </c>
      <c r="G62" s="201">
        <v>352.12</v>
      </c>
      <c r="H62" s="198" t="str">
        <f>'EZ Data'!J61</f>
        <v>Priority 1</v>
      </c>
      <c r="I62" s="198" t="str">
        <f>'EZ Data'!AS61</f>
        <v>A Grade</v>
      </c>
      <c r="J62" s="162">
        <f t="shared" si="4"/>
        <v>1</v>
      </c>
      <c r="K62" s="161"/>
      <c r="L62" s="162">
        <f>IF('EZ Data'!O61="Yes",1,0)</f>
        <v>0</v>
      </c>
      <c r="M62" s="162">
        <f>IF('EZ Data'!Q61="Yes",1,0)</f>
        <v>0</v>
      </c>
      <c r="N62" s="162">
        <f>IF('EZ Data'!U61="Yes",1,0)</f>
        <v>0</v>
      </c>
      <c r="O62" s="189">
        <f>COUNTA('EZ Data'!BD61:BM61)</f>
        <v>0</v>
      </c>
      <c r="P62" s="190">
        <f t="shared" si="10"/>
        <v>3</v>
      </c>
      <c r="Q62" s="191">
        <f t="shared" si="5"/>
        <v>3</v>
      </c>
      <c r="R62" s="190">
        <f t="shared" si="11"/>
        <v>4</v>
      </c>
      <c r="S62" s="182">
        <f t="shared" si="12"/>
        <v>4</v>
      </c>
      <c r="T62" s="182">
        <f t="shared" si="13"/>
        <v>0</v>
      </c>
      <c r="U62" s="191">
        <f t="shared" si="6"/>
        <v>3</v>
      </c>
      <c r="V62" s="190">
        <v>4</v>
      </c>
      <c r="W62" s="182">
        <v>4</v>
      </c>
      <c r="X62" s="191">
        <f t="shared" si="7"/>
        <v>4</v>
      </c>
      <c r="Y62" s="187">
        <f t="shared" si="8"/>
        <v>1.65</v>
      </c>
      <c r="Z62" s="188">
        <f t="shared" si="9"/>
        <v>40</v>
      </c>
    </row>
    <row r="63" spans="2:26" ht="14.5" customHeight="1" x14ac:dyDescent="0.35">
      <c r="B63" s="160">
        <v>59</v>
      </c>
      <c r="C63" s="169" t="s">
        <v>175</v>
      </c>
      <c r="D63" s="169" t="str">
        <f>'EZ Data'!D62</f>
        <v>Dhaka</v>
      </c>
      <c r="E63" s="169" t="str">
        <f>'EZ Data'!E62</f>
        <v>Gazipur</v>
      </c>
      <c r="F63" s="169" t="str">
        <f>'EZ Data'!F62</f>
        <v>Shreepur</v>
      </c>
      <c r="G63" s="201">
        <v>510</v>
      </c>
      <c r="H63" s="198" t="str">
        <f>'EZ Data'!J62</f>
        <v>Priority 3</v>
      </c>
      <c r="I63" s="198" t="str">
        <f>'EZ Data'!AS62</f>
        <v>C Grade</v>
      </c>
      <c r="J63" s="162">
        <f t="shared" si="4"/>
        <v>1</v>
      </c>
      <c r="K63" s="161"/>
      <c r="L63" s="162">
        <f>IF('EZ Data'!O62="Yes",1,0)</f>
        <v>0</v>
      </c>
      <c r="M63" s="162">
        <f>IF('EZ Data'!Q62="Yes",1,0)</f>
        <v>0</v>
      </c>
      <c r="N63" s="162">
        <f>IF('EZ Data'!U62="Yes",1,0)</f>
        <v>0</v>
      </c>
      <c r="O63" s="189">
        <f>COUNTA('EZ Data'!BD62:BM62)</f>
        <v>0</v>
      </c>
      <c r="P63" s="190">
        <f t="shared" si="10"/>
        <v>4</v>
      </c>
      <c r="Q63" s="191">
        <f t="shared" si="5"/>
        <v>4</v>
      </c>
      <c r="R63" s="190">
        <f t="shared" si="11"/>
        <v>2</v>
      </c>
      <c r="S63" s="182">
        <f t="shared" si="12"/>
        <v>2</v>
      </c>
      <c r="T63" s="182">
        <f t="shared" si="13"/>
        <v>0</v>
      </c>
      <c r="U63" s="191">
        <f t="shared" si="6"/>
        <v>1.5</v>
      </c>
      <c r="V63" s="190">
        <v>13</v>
      </c>
      <c r="W63" s="182">
        <v>12</v>
      </c>
      <c r="X63" s="191">
        <f t="shared" si="7"/>
        <v>12.5</v>
      </c>
      <c r="Y63" s="187">
        <f t="shared" si="8"/>
        <v>2.7749999999999999</v>
      </c>
      <c r="Z63" s="188">
        <f t="shared" si="9"/>
        <v>23</v>
      </c>
    </row>
    <row r="64" spans="2:26" ht="14.5" customHeight="1" x14ac:dyDescent="0.35">
      <c r="B64" s="160">
        <v>60</v>
      </c>
      <c r="C64" s="169" t="s">
        <v>19</v>
      </c>
      <c r="D64" s="169" t="str">
        <f>'EZ Data'!D63</f>
        <v>Chattogram</v>
      </c>
      <c r="E64" s="169" t="str">
        <f>'EZ Data'!E63</f>
        <v>Chattogram</v>
      </c>
      <c r="F64" s="169" t="str">
        <f>'EZ Data'!F63</f>
        <v>Sitakundo</v>
      </c>
      <c r="G64" s="201">
        <v>1918.807</v>
      </c>
      <c r="H64" s="198" t="str">
        <f>'EZ Data'!J63</f>
        <v>Priority 1</v>
      </c>
      <c r="I64" s="198" t="str">
        <f>'EZ Data'!AS63</f>
        <v>B Grade</v>
      </c>
      <c r="J64" s="162">
        <f t="shared" si="4"/>
        <v>0</v>
      </c>
      <c r="K64" s="161"/>
      <c r="L64" s="162">
        <f>IF('EZ Data'!O63="Yes",1,0)</f>
        <v>0</v>
      </c>
      <c r="M64" s="162">
        <f>IF('EZ Data'!Q63="Yes",1,0)</f>
        <v>1</v>
      </c>
      <c r="N64" s="162">
        <f>IF('EZ Data'!U63="Yes",1,0)</f>
        <v>0</v>
      </c>
      <c r="O64" s="189">
        <f>COUNTA('EZ Data'!BD63:BM63)</f>
        <v>5</v>
      </c>
      <c r="P64" s="190">
        <f t="shared" si="10"/>
        <v>4</v>
      </c>
      <c r="Q64" s="191">
        <f t="shared" si="5"/>
        <v>4</v>
      </c>
      <c r="R64" s="190">
        <f t="shared" si="11"/>
        <v>4</v>
      </c>
      <c r="S64" s="182">
        <f t="shared" si="12"/>
        <v>3</v>
      </c>
      <c r="T64" s="182">
        <f t="shared" si="13"/>
        <v>4</v>
      </c>
      <c r="U64" s="191">
        <f t="shared" si="6"/>
        <v>3.65</v>
      </c>
      <c r="V64" s="190">
        <v>19</v>
      </c>
      <c r="W64" s="182">
        <v>19</v>
      </c>
      <c r="X64" s="191">
        <f t="shared" si="7"/>
        <v>19</v>
      </c>
      <c r="Y64" s="187">
        <f t="shared" si="8"/>
        <v>4.18</v>
      </c>
      <c r="Z64" s="188">
        <f t="shared" si="9"/>
        <v>2</v>
      </c>
    </row>
    <row r="65" spans="2:26" ht="14.5" customHeight="1" x14ac:dyDescent="0.35">
      <c r="B65" s="160">
        <v>61</v>
      </c>
      <c r="C65" s="169" t="s">
        <v>223</v>
      </c>
      <c r="D65" s="169" t="str">
        <f>'EZ Data'!D64</f>
        <v>Sylhet</v>
      </c>
      <c r="E65" s="169" t="str">
        <f>'EZ Data'!E64</f>
        <v>Sunamganj</v>
      </c>
      <c r="F65" s="169" t="str">
        <f>'EZ Data'!F64</f>
        <v> Chhatak</v>
      </c>
      <c r="G65" s="201">
        <v>2925.2</v>
      </c>
      <c r="H65" s="198" t="str">
        <f>'EZ Data'!J64</f>
        <v>Priority 3</v>
      </c>
      <c r="I65" s="198" t="str">
        <f>'EZ Data'!AS64</f>
        <v>C Grade</v>
      </c>
      <c r="J65" s="162">
        <f t="shared" si="4"/>
        <v>1</v>
      </c>
      <c r="K65" s="161"/>
      <c r="L65" s="162">
        <f>IF('EZ Data'!O64="Yes",1,0)</f>
        <v>0</v>
      </c>
      <c r="M65" s="162">
        <f>IF('EZ Data'!Q64="Yes",1,0)</f>
        <v>0</v>
      </c>
      <c r="N65" s="162">
        <f>IF('EZ Data'!U64="Yes",1,0)</f>
        <v>0</v>
      </c>
      <c r="O65" s="189">
        <f>COUNTA('EZ Data'!BD64:BM64)</f>
        <v>0</v>
      </c>
      <c r="P65" s="190">
        <f t="shared" si="10"/>
        <v>4</v>
      </c>
      <c r="Q65" s="191">
        <f t="shared" si="5"/>
        <v>4</v>
      </c>
      <c r="R65" s="190">
        <f t="shared" si="11"/>
        <v>2</v>
      </c>
      <c r="S65" s="182">
        <f t="shared" si="12"/>
        <v>2</v>
      </c>
      <c r="T65" s="182">
        <f t="shared" si="13"/>
        <v>0</v>
      </c>
      <c r="U65" s="191">
        <f t="shared" si="6"/>
        <v>1.5</v>
      </c>
      <c r="V65" s="190">
        <v>4</v>
      </c>
      <c r="W65" s="182">
        <v>5</v>
      </c>
      <c r="X65" s="191">
        <f t="shared" si="7"/>
        <v>4.5</v>
      </c>
      <c r="Y65" s="187">
        <f t="shared" si="8"/>
        <v>1.575</v>
      </c>
      <c r="Z65" s="188">
        <f t="shared" si="9"/>
        <v>44</v>
      </c>
    </row>
    <row r="66" spans="2:26" ht="14.5" customHeight="1" x14ac:dyDescent="0.35">
      <c r="B66" s="160">
        <v>62</v>
      </c>
      <c r="C66" s="169" t="s">
        <v>227</v>
      </c>
      <c r="D66" s="169" t="str">
        <f>'EZ Data'!D65</f>
        <v>Khulna</v>
      </c>
      <c r="E66" s="169" t="str">
        <f>'EZ Data'!E65</f>
        <v>Bagerhat</v>
      </c>
      <c r="F66" s="169" t="str">
        <f>'EZ Data'!F65</f>
        <v>Sharankhola</v>
      </c>
      <c r="G66" s="201">
        <v>1564.35</v>
      </c>
      <c r="H66" s="198" t="str">
        <f>'EZ Data'!J65</f>
        <v>Priority 3</v>
      </c>
      <c r="I66" s="198" t="str">
        <f>'EZ Data'!AS65</f>
        <v>C Grade</v>
      </c>
      <c r="J66" s="162">
        <f t="shared" si="4"/>
        <v>1</v>
      </c>
      <c r="K66" s="161"/>
      <c r="L66" s="162">
        <f>IF('EZ Data'!O65="Yes",1,0)</f>
        <v>0</v>
      </c>
      <c r="M66" s="162">
        <f>IF('EZ Data'!Q65="Yes",1,0)</f>
        <v>0</v>
      </c>
      <c r="N66" s="162">
        <f>IF('EZ Data'!U65="Yes",1,0)</f>
        <v>0</v>
      </c>
      <c r="O66" s="189">
        <f>COUNTA('EZ Data'!BD65:BM65)</f>
        <v>0</v>
      </c>
      <c r="P66" s="190">
        <f t="shared" si="10"/>
        <v>4</v>
      </c>
      <c r="Q66" s="191">
        <f t="shared" si="5"/>
        <v>4</v>
      </c>
      <c r="R66" s="190">
        <f t="shared" si="11"/>
        <v>2</v>
      </c>
      <c r="S66" s="182">
        <f t="shared" si="12"/>
        <v>2</v>
      </c>
      <c r="T66" s="182">
        <f t="shared" si="13"/>
        <v>0</v>
      </c>
      <c r="U66" s="191">
        <f t="shared" si="6"/>
        <v>1.5</v>
      </c>
      <c r="V66" s="190">
        <v>0</v>
      </c>
      <c r="W66" s="182">
        <v>1</v>
      </c>
      <c r="X66" s="191">
        <f t="shared" si="7"/>
        <v>0.5</v>
      </c>
      <c r="Y66" s="187">
        <f t="shared" si="8"/>
        <v>0.97499999999999998</v>
      </c>
      <c r="Z66" s="188">
        <f t="shared" si="9"/>
        <v>88</v>
      </c>
    </row>
    <row r="67" spans="2:26" ht="14.5" customHeight="1" x14ac:dyDescent="0.35">
      <c r="B67" s="160">
        <v>63</v>
      </c>
      <c r="C67" s="169" t="s">
        <v>50</v>
      </c>
      <c r="D67" s="169" t="str">
        <f>'EZ Data'!D66</f>
        <v>Sylhet</v>
      </c>
      <c r="E67" s="169" t="str">
        <f>'EZ Data'!E66</f>
        <v>Sylhet</v>
      </c>
      <c r="F67" s="169" t="str">
        <f>'EZ Data'!F66</f>
        <v>Gowainghat</v>
      </c>
      <c r="G67" s="201">
        <v>255.86</v>
      </c>
      <c r="H67" s="198" t="str">
        <f>'EZ Data'!J66</f>
        <v>Priority 2</v>
      </c>
      <c r="I67" s="198" t="str">
        <f>'EZ Data'!AS66</f>
        <v>B Grade</v>
      </c>
      <c r="J67" s="162">
        <f t="shared" si="4"/>
        <v>0</v>
      </c>
      <c r="K67" s="161"/>
      <c r="L67" s="162">
        <f>IF('EZ Data'!O66="Yes",1,0)</f>
        <v>0</v>
      </c>
      <c r="M67" s="162">
        <f>IF('EZ Data'!Q66="Yes",1,0)</f>
        <v>1</v>
      </c>
      <c r="N67" s="162">
        <f>IF('EZ Data'!U66="Yes",1,0)</f>
        <v>0</v>
      </c>
      <c r="O67" s="189">
        <f>COUNTA('EZ Data'!BD66:BM66)</f>
        <v>5</v>
      </c>
      <c r="P67" s="190">
        <f t="shared" si="10"/>
        <v>3</v>
      </c>
      <c r="Q67" s="191">
        <f t="shared" si="5"/>
        <v>3</v>
      </c>
      <c r="R67" s="190">
        <f t="shared" si="11"/>
        <v>3</v>
      </c>
      <c r="S67" s="182">
        <f t="shared" si="12"/>
        <v>3</v>
      </c>
      <c r="T67" s="182">
        <f t="shared" si="13"/>
        <v>4</v>
      </c>
      <c r="U67" s="191">
        <f t="shared" si="6"/>
        <v>3.25</v>
      </c>
      <c r="V67" s="190">
        <v>8</v>
      </c>
      <c r="W67" s="182">
        <v>8</v>
      </c>
      <c r="X67" s="191">
        <f t="shared" si="7"/>
        <v>8</v>
      </c>
      <c r="Y67" s="187">
        <f t="shared" si="8"/>
        <v>2.2999999999999998</v>
      </c>
      <c r="Z67" s="188">
        <f t="shared" si="9"/>
        <v>30</v>
      </c>
    </row>
    <row r="68" spans="2:26" ht="14.5" customHeight="1" x14ac:dyDescent="0.35">
      <c r="B68" s="160">
        <v>64</v>
      </c>
      <c r="C68" s="169" t="s">
        <v>41</v>
      </c>
      <c r="D68" s="169" t="str">
        <f>'EZ Data'!D67</f>
        <v>Dhaka</v>
      </c>
      <c r="E68" s="169" t="str">
        <f>'EZ Data'!E67</f>
        <v>Tangail</v>
      </c>
      <c r="F68" s="169" t="str">
        <f>'EZ Data'!F67</f>
        <v>Bhuapur</v>
      </c>
      <c r="G68" s="201">
        <v>1764.89</v>
      </c>
      <c r="H68" s="198" t="str">
        <f>'EZ Data'!J67</f>
        <v>Priority 2</v>
      </c>
      <c r="I68" s="198" t="str">
        <f>'EZ Data'!AS67</f>
        <v>C Grade</v>
      </c>
      <c r="J68" s="162">
        <f t="shared" si="4"/>
        <v>0</v>
      </c>
      <c r="K68" s="161"/>
      <c r="L68" s="162">
        <f>IF('EZ Data'!O67="Yes",1,0)</f>
        <v>0</v>
      </c>
      <c r="M68" s="162">
        <f>IF('EZ Data'!Q67="Yes",1,0)</f>
        <v>1</v>
      </c>
      <c r="N68" s="162">
        <f>IF('EZ Data'!U67="Yes",1,0)</f>
        <v>0</v>
      </c>
      <c r="O68" s="189">
        <f>COUNTA('EZ Data'!BD67:BM67)</f>
        <v>9</v>
      </c>
      <c r="P68" s="190">
        <f t="shared" si="10"/>
        <v>4</v>
      </c>
      <c r="Q68" s="191">
        <f t="shared" si="5"/>
        <v>4</v>
      </c>
      <c r="R68" s="190">
        <f t="shared" si="11"/>
        <v>3</v>
      </c>
      <c r="S68" s="182">
        <f t="shared" si="12"/>
        <v>2</v>
      </c>
      <c r="T68" s="182">
        <f t="shared" si="13"/>
        <v>4</v>
      </c>
      <c r="U68" s="191">
        <f t="shared" si="6"/>
        <v>2.9000000000000004</v>
      </c>
      <c r="V68" s="190">
        <f>VLOOKUP(O68,$AB$19:$AC$22,2,TRUE)</f>
        <v>3</v>
      </c>
      <c r="W68" s="182">
        <v>3</v>
      </c>
      <c r="X68" s="191">
        <f t="shared" si="7"/>
        <v>3</v>
      </c>
      <c r="Y68" s="187">
        <f t="shared" si="8"/>
        <v>1.6300000000000001</v>
      </c>
      <c r="Z68" s="188">
        <f t="shared" si="9"/>
        <v>42</v>
      </c>
    </row>
    <row r="69" spans="2:26" ht="14.5" customHeight="1" x14ac:dyDescent="0.35">
      <c r="B69" s="160">
        <v>65</v>
      </c>
      <c r="C69" s="169" t="s">
        <v>42</v>
      </c>
      <c r="D69" s="169" t="str">
        <f>'EZ Data'!D68</f>
        <v>Chattogram</v>
      </c>
      <c r="E69" s="169" t="str">
        <f>'EZ Data'!E68</f>
        <v>Chattogram</v>
      </c>
      <c r="F69" s="169" t="str">
        <f>'EZ Data'!F68</f>
        <v>Anowara</v>
      </c>
      <c r="G69" s="201">
        <v>805.86649999999997</v>
      </c>
      <c r="H69" s="198" t="str">
        <f>'EZ Data'!J68</f>
        <v>Priority 1</v>
      </c>
      <c r="I69" s="198" t="str">
        <f>'EZ Data'!AS68</f>
        <v>C Grade</v>
      </c>
      <c r="J69" s="162">
        <f t="shared" si="4"/>
        <v>0</v>
      </c>
      <c r="K69" s="161"/>
      <c r="L69" s="162">
        <f>IF('EZ Data'!O68="Yes",1,0)</f>
        <v>0</v>
      </c>
      <c r="M69" s="162">
        <f>IF('EZ Data'!Q68="Yes",1,0)</f>
        <v>0</v>
      </c>
      <c r="N69" s="162">
        <f>IF('EZ Data'!U68="Yes",1,0)</f>
        <v>1</v>
      </c>
      <c r="O69" s="189">
        <f>COUNTA('EZ Data'!BD68:BM68)</f>
        <v>6</v>
      </c>
      <c r="P69" s="190">
        <f t="shared" ref="P69:P105" si="14">VLOOKUP(G69,$AB$6:$AC$9,2,TRUE)</f>
        <v>4</v>
      </c>
      <c r="Q69" s="191">
        <f t="shared" si="5"/>
        <v>4</v>
      </c>
      <c r="R69" s="190">
        <f t="shared" ref="R69:R105" si="15">IFERROR(VLOOKUP(H69,$AB$12:$AC$15,2),0)</f>
        <v>4</v>
      </c>
      <c r="S69" s="182">
        <f t="shared" ref="S69:S105" si="16">IFERROR(VLOOKUP(I69,$AE$13:$AF$16,2),0)</f>
        <v>2</v>
      </c>
      <c r="T69" s="182">
        <f t="shared" ref="T69:T105" si="17">IF(N69+M69&gt;=1,4,IF(L69=1,3,IF(K69=1,2,0)))</f>
        <v>4</v>
      </c>
      <c r="U69" s="191">
        <f t="shared" si="6"/>
        <v>3.3</v>
      </c>
      <c r="V69" s="190">
        <v>19</v>
      </c>
      <c r="W69" s="182">
        <v>19</v>
      </c>
      <c r="X69" s="191">
        <f t="shared" si="7"/>
        <v>19</v>
      </c>
      <c r="Y69" s="187">
        <f t="shared" si="8"/>
        <v>4.1100000000000003</v>
      </c>
      <c r="Z69" s="188">
        <f t="shared" si="9"/>
        <v>3</v>
      </c>
    </row>
    <row r="70" spans="2:26" ht="14.5" customHeight="1" x14ac:dyDescent="0.35">
      <c r="B70" s="160">
        <v>66</v>
      </c>
      <c r="C70" s="169" t="s">
        <v>845</v>
      </c>
      <c r="D70" s="169" t="str">
        <f>'EZ Data'!D69</f>
        <v>Dhaka</v>
      </c>
      <c r="E70" s="169" t="str">
        <f>'EZ Data'!E69</f>
        <v>Narayanganj</v>
      </c>
      <c r="F70" s="169" t="str">
        <f>'EZ Data'!F69</f>
        <v>Araihazar</v>
      </c>
      <c r="G70" s="201">
        <v>1010.9</v>
      </c>
      <c r="H70" s="198" t="str">
        <f>'EZ Data'!J69</f>
        <v>Priority 1</v>
      </c>
      <c r="I70" s="198" t="str">
        <f>'EZ Data'!AS69</f>
        <v>A Grade</v>
      </c>
      <c r="J70" s="162">
        <f t="shared" ref="J70:J105" si="18">IF(K70+L70+M70+N70=0,1,0)</f>
        <v>0</v>
      </c>
      <c r="K70" s="161"/>
      <c r="L70" s="162">
        <f>IF('EZ Data'!O69="Yes",1,0)</f>
        <v>0</v>
      </c>
      <c r="M70" s="162">
        <f>IF('EZ Data'!Q69="Yes",1,0)</f>
        <v>1</v>
      </c>
      <c r="N70" s="162">
        <f>IF('EZ Data'!U69="Yes",1,0)</f>
        <v>0</v>
      </c>
      <c r="O70" s="189">
        <f>COUNTA('EZ Data'!BD69:BM69)</f>
        <v>8</v>
      </c>
      <c r="P70" s="190">
        <f t="shared" si="14"/>
        <v>4</v>
      </c>
      <c r="Q70" s="191">
        <f t="shared" ref="Q70:Q105" si="19">P70*$Q$4</f>
        <v>4</v>
      </c>
      <c r="R70" s="190">
        <f t="shared" si="15"/>
        <v>4</v>
      </c>
      <c r="S70" s="182">
        <f t="shared" si="16"/>
        <v>4</v>
      </c>
      <c r="T70" s="182">
        <f t="shared" si="17"/>
        <v>4</v>
      </c>
      <c r="U70" s="191">
        <f t="shared" ref="U70:U105" si="20">SUMPRODUCT($R$4:$T$4,R70:T70)</f>
        <v>4</v>
      </c>
      <c r="V70" s="190">
        <v>18</v>
      </c>
      <c r="W70" s="182">
        <v>18</v>
      </c>
      <c r="X70" s="191">
        <f t="shared" ref="X70:X105" si="21">SUMPRODUCT($V$4:$W$4,V70:W70)</f>
        <v>18</v>
      </c>
      <c r="Y70" s="187">
        <f t="shared" ref="Y70:Y105" si="22">Q70*$P$1+U70*$R$1+X70*$V$1</f>
        <v>4.0999999999999996</v>
      </c>
      <c r="Z70" s="188">
        <f t="shared" ref="Z70:Z105" si="23">_xlfn.RANK.EQ(Y70,$Y$5:$Y$105)</f>
        <v>4</v>
      </c>
    </row>
    <row r="71" spans="2:26" ht="14.5" customHeight="1" x14ac:dyDescent="0.35">
      <c r="B71" s="160">
        <v>67</v>
      </c>
      <c r="C71" s="169" t="s">
        <v>25</v>
      </c>
      <c r="D71" s="169" t="str">
        <f>'EZ Data'!D70</f>
        <v>Khulna</v>
      </c>
      <c r="E71" s="169" t="str">
        <f>'EZ Data'!E70</f>
        <v>Kushtia</v>
      </c>
      <c r="F71" s="169" t="str">
        <f>'EZ Data'!F70</f>
        <v>Bheramara</v>
      </c>
      <c r="G71" s="201">
        <v>382.07209999999998</v>
      </c>
      <c r="H71" s="198" t="str">
        <f>'EZ Data'!J70</f>
        <v>Priority 2</v>
      </c>
      <c r="I71" s="198" t="str">
        <f>'EZ Data'!AS70</f>
        <v>B Grade</v>
      </c>
      <c r="J71" s="162">
        <f t="shared" si="18"/>
        <v>0</v>
      </c>
      <c r="K71" s="161"/>
      <c r="L71" s="162">
        <f>IF('EZ Data'!O70="Yes",1,0)</f>
        <v>1</v>
      </c>
      <c r="M71" s="162">
        <f>IF('EZ Data'!Q70="Yes",1,0)</f>
        <v>0</v>
      </c>
      <c r="N71" s="162">
        <f>IF('EZ Data'!U70="Yes",1,0)</f>
        <v>0</v>
      </c>
      <c r="O71" s="189">
        <f>COUNTA('EZ Data'!BD70:BM70)</f>
        <v>0</v>
      </c>
      <c r="P71" s="190">
        <f t="shared" si="14"/>
        <v>3</v>
      </c>
      <c r="Q71" s="191">
        <f t="shared" si="19"/>
        <v>3</v>
      </c>
      <c r="R71" s="190">
        <f t="shared" si="15"/>
        <v>3</v>
      </c>
      <c r="S71" s="182">
        <f t="shared" si="16"/>
        <v>3</v>
      </c>
      <c r="T71" s="182">
        <f t="shared" si="17"/>
        <v>3</v>
      </c>
      <c r="U71" s="191">
        <f t="shared" si="20"/>
        <v>3</v>
      </c>
      <c r="V71" s="190">
        <f>VLOOKUP(O71,$AB$19:$AC$22,2,TRUE)</f>
        <v>1</v>
      </c>
      <c r="W71" s="182">
        <v>1</v>
      </c>
      <c r="X71" s="191">
        <f t="shared" si="21"/>
        <v>1</v>
      </c>
      <c r="Y71" s="187">
        <f t="shared" si="22"/>
        <v>1.2</v>
      </c>
      <c r="Z71" s="188">
        <f t="shared" si="23"/>
        <v>70</v>
      </c>
    </row>
    <row r="72" spans="2:26" ht="14.5" customHeight="1" x14ac:dyDescent="0.35">
      <c r="B72" s="160">
        <v>68</v>
      </c>
      <c r="C72" s="169" t="s">
        <v>64</v>
      </c>
      <c r="D72" s="169" t="str">
        <f>'EZ Data'!D71</f>
        <v>Khulna</v>
      </c>
      <c r="E72" s="169" t="str">
        <f>'EZ Data'!E71</f>
        <v>Bagerhat</v>
      </c>
      <c r="F72" s="169" t="str">
        <f>'EZ Data'!F71</f>
        <v>Mongla</v>
      </c>
      <c r="G72" s="201">
        <v>110.15</v>
      </c>
      <c r="H72" s="198" t="str">
        <f>'EZ Data'!J71</f>
        <v>Priority 1</v>
      </c>
      <c r="I72" s="198" t="str">
        <f>'EZ Data'!AS71</f>
        <v>B Grade</v>
      </c>
      <c r="J72" s="162">
        <f t="shared" si="18"/>
        <v>1</v>
      </c>
      <c r="K72" s="161"/>
      <c r="L72" s="162">
        <f>IF('EZ Data'!O71="Yes",1,0)</f>
        <v>0</v>
      </c>
      <c r="M72" s="162">
        <f>IF('EZ Data'!Q71="Yes",1,0)</f>
        <v>0</v>
      </c>
      <c r="N72" s="162">
        <f>IF('EZ Data'!U71="Yes",1,0)</f>
        <v>0</v>
      </c>
      <c r="O72" s="189">
        <f>COUNTA('EZ Data'!BD71:BM71)</f>
        <v>0</v>
      </c>
      <c r="P72" s="190">
        <f t="shared" si="14"/>
        <v>3</v>
      </c>
      <c r="Q72" s="191">
        <f t="shared" si="19"/>
        <v>3</v>
      </c>
      <c r="R72" s="190">
        <f t="shared" si="15"/>
        <v>4</v>
      </c>
      <c r="S72" s="182">
        <f t="shared" si="16"/>
        <v>3</v>
      </c>
      <c r="T72" s="182">
        <f t="shared" si="17"/>
        <v>0</v>
      </c>
      <c r="U72" s="191">
        <f t="shared" si="20"/>
        <v>2.65</v>
      </c>
      <c r="V72" s="190">
        <v>0</v>
      </c>
      <c r="W72" s="182">
        <v>1</v>
      </c>
      <c r="X72" s="191">
        <f t="shared" si="21"/>
        <v>0.5</v>
      </c>
      <c r="Y72" s="187">
        <f t="shared" si="22"/>
        <v>1.0549999999999999</v>
      </c>
      <c r="Z72" s="188">
        <f t="shared" si="23"/>
        <v>81</v>
      </c>
    </row>
    <row r="73" spans="2:26" ht="14.5" customHeight="1" x14ac:dyDescent="0.35">
      <c r="B73" s="160">
        <v>69</v>
      </c>
      <c r="C73" s="169" t="s">
        <v>191</v>
      </c>
      <c r="D73" s="169" t="str">
        <f>'EZ Data'!D72</f>
        <v>Dhaka</v>
      </c>
      <c r="E73" s="169" t="str">
        <f>'EZ Data'!E72</f>
        <v>Munshiganj</v>
      </c>
      <c r="F73" s="169" t="str">
        <f>'EZ Data'!F72</f>
        <v>Gajaria</v>
      </c>
      <c r="G73" s="201">
        <v>492</v>
      </c>
      <c r="H73" s="198" t="str">
        <f>'EZ Data'!J72</f>
        <v>N/A</v>
      </c>
      <c r="I73" s="198" t="str">
        <f>'EZ Data'!AS72</f>
        <v>C Grade</v>
      </c>
      <c r="J73" s="162">
        <f t="shared" si="18"/>
        <v>1</v>
      </c>
      <c r="K73" s="161"/>
      <c r="L73" s="162">
        <f>IF('EZ Data'!O72="Yes",1,0)</f>
        <v>0</v>
      </c>
      <c r="M73" s="162">
        <f>IF('EZ Data'!Q72="Yes",1,0)</f>
        <v>0</v>
      </c>
      <c r="N73" s="162">
        <f>IF('EZ Data'!U72="Yes",1,0)</f>
        <v>0</v>
      </c>
      <c r="O73" s="189">
        <f>COUNTA('EZ Data'!BD72:BM72)</f>
        <v>1</v>
      </c>
      <c r="P73" s="190">
        <f t="shared" si="14"/>
        <v>3</v>
      </c>
      <c r="Q73" s="191">
        <f t="shared" si="19"/>
        <v>3</v>
      </c>
      <c r="R73" s="190">
        <f t="shared" si="15"/>
        <v>0</v>
      </c>
      <c r="S73" s="182">
        <f t="shared" si="16"/>
        <v>2</v>
      </c>
      <c r="T73" s="182">
        <f t="shared" si="17"/>
        <v>0</v>
      </c>
      <c r="U73" s="191">
        <f t="shared" si="20"/>
        <v>0.7</v>
      </c>
      <c r="V73" s="190">
        <v>5</v>
      </c>
      <c r="W73" s="182">
        <v>6</v>
      </c>
      <c r="X73" s="191">
        <f t="shared" si="21"/>
        <v>5.5</v>
      </c>
      <c r="Y73" s="187">
        <f t="shared" si="22"/>
        <v>1.415</v>
      </c>
      <c r="Z73" s="188">
        <f t="shared" si="23"/>
        <v>55</v>
      </c>
    </row>
    <row r="74" spans="2:26" ht="14.5" customHeight="1" x14ac:dyDescent="0.35">
      <c r="B74" s="160">
        <v>70</v>
      </c>
      <c r="C74" s="169" t="s">
        <v>169</v>
      </c>
      <c r="D74" s="169" t="str">
        <f>'EZ Data'!D73</f>
        <v>Dhaka</v>
      </c>
      <c r="E74" s="169" t="str">
        <f>'EZ Data'!E73</f>
        <v>Narshingdi</v>
      </c>
      <c r="F74" s="169" t="str">
        <f>'EZ Data'!F73</f>
        <v>Palash</v>
      </c>
      <c r="G74" s="201">
        <v>200</v>
      </c>
      <c r="H74" s="198" t="str">
        <f>'EZ Data'!J73</f>
        <v>N/A</v>
      </c>
      <c r="I74" s="198" t="str">
        <f>'EZ Data'!AS73</f>
        <v>B Grade</v>
      </c>
      <c r="J74" s="162">
        <f t="shared" si="18"/>
        <v>1</v>
      </c>
      <c r="K74" s="161"/>
      <c r="L74" s="162">
        <f>IF('EZ Data'!O73="Yes",1,0)</f>
        <v>0</v>
      </c>
      <c r="M74" s="162">
        <f>IF('EZ Data'!Q73="Yes",1,0)</f>
        <v>0</v>
      </c>
      <c r="N74" s="162">
        <f>IF('EZ Data'!U73="Yes",1,0)</f>
        <v>0</v>
      </c>
      <c r="O74" s="189">
        <f>COUNTA('EZ Data'!BD73:BM73)</f>
        <v>6</v>
      </c>
      <c r="P74" s="190">
        <f t="shared" si="14"/>
        <v>3</v>
      </c>
      <c r="Q74" s="191">
        <f t="shared" si="19"/>
        <v>3</v>
      </c>
      <c r="R74" s="190">
        <f t="shared" si="15"/>
        <v>0</v>
      </c>
      <c r="S74" s="182">
        <f t="shared" si="16"/>
        <v>3</v>
      </c>
      <c r="T74" s="182">
        <f t="shared" si="17"/>
        <v>0</v>
      </c>
      <c r="U74" s="191">
        <f t="shared" si="20"/>
        <v>1.0499999999999998</v>
      </c>
      <c r="V74" s="190">
        <f>VLOOKUP(O74,$AB$19:$AC$22,2,TRUE)</f>
        <v>3</v>
      </c>
      <c r="W74" s="182">
        <v>3</v>
      </c>
      <c r="X74" s="191">
        <f t="shared" si="21"/>
        <v>3</v>
      </c>
      <c r="Y74" s="187">
        <f t="shared" si="22"/>
        <v>1.1099999999999999</v>
      </c>
      <c r="Z74" s="188">
        <f t="shared" si="23"/>
        <v>77</v>
      </c>
    </row>
    <row r="75" spans="2:26" ht="14.5" customHeight="1" x14ac:dyDescent="0.35">
      <c r="B75" s="160">
        <v>71</v>
      </c>
      <c r="C75" s="169" t="s">
        <v>52</v>
      </c>
      <c r="D75" s="169" t="str">
        <f>'EZ Data'!D74</f>
        <v>Dhaka</v>
      </c>
      <c r="E75" s="169" t="str">
        <f>'EZ Data'!E74</f>
        <v>Munshiganj</v>
      </c>
      <c r="F75" s="169" t="str">
        <f>'EZ Data'!F74</f>
        <v>Gajaria</v>
      </c>
      <c r="G75" s="201">
        <v>197.01</v>
      </c>
      <c r="H75" s="198" t="str">
        <f>'EZ Data'!J74</f>
        <v>N/A</v>
      </c>
      <c r="I75" s="198" t="str">
        <f>'EZ Data'!AS74</f>
        <v>A Grade</v>
      </c>
      <c r="J75" s="162">
        <f t="shared" si="18"/>
        <v>1</v>
      </c>
      <c r="K75" s="161"/>
      <c r="L75" s="162">
        <f>IF('EZ Data'!O74="Yes",1,0)</f>
        <v>0</v>
      </c>
      <c r="M75" s="162">
        <f>IF('EZ Data'!Q74="Yes",1,0)</f>
        <v>0</v>
      </c>
      <c r="N75" s="162">
        <f>IF('EZ Data'!U74="Yes",1,0)</f>
        <v>0</v>
      </c>
      <c r="O75" s="189">
        <f>COUNTA('EZ Data'!BD74:BM74)</f>
        <v>3</v>
      </c>
      <c r="P75" s="190">
        <f t="shared" si="14"/>
        <v>3</v>
      </c>
      <c r="Q75" s="191">
        <f t="shared" si="19"/>
        <v>3</v>
      </c>
      <c r="R75" s="190">
        <f t="shared" si="15"/>
        <v>0</v>
      </c>
      <c r="S75" s="182">
        <f t="shared" si="16"/>
        <v>4</v>
      </c>
      <c r="T75" s="182">
        <f t="shared" si="17"/>
        <v>0</v>
      </c>
      <c r="U75" s="191">
        <f t="shared" si="20"/>
        <v>1.4</v>
      </c>
      <c r="V75" s="190">
        <v>5</v>
      </c>
      <c r="W75" s="182">
        <v>6</v>
      </c>
      <c r="X75" s="191">
        <f t="shared" si="21"/>
        <v>5.5</v>
      </c>
      <c r="Y75" s="187">
        <f t="shared" si="22"/>
        <v>1.5549999999999999</v>
      </c>
      <c r="Z75" s="188">
        <f t="shared" si="23"/>
        <v>46</v>
      </c>
    </row>
    <row r="76" spans="2:26" ht="14.5" customHeight="1" x14ac:dyDescent="0.35">
      <c r="B76" s="160">
        <v>72</v>
      </c>
      <c r="C76" s="169" t="s">
        <v>192</v>
      </c>
      <c r="D76" s="169" t="str">
        <f>'EZ Data'!D75</f>
        <v>Dhaka</v>
      </c>
      <c r="E76" s="169" t="str">
        <f>'EZ Data'!E75</f>
        <v>Munshiganj</v>
      </c>
      <c r="F76" s="169" t="str">
        <f>'EZ Data'!F75</f>
        <v>Gajaria</v>
      </c>
      <c r="G76" s="201">
        <v>170.49</v>
      </c>
      <c r="H76" s="198" t="str">
        <f>'EZ Data'!J75</f>
        <v>N/A</v>
      </c>
      <c r="I76" s="198" t="str">
        <f>'EZ Data'!AS75</f>
        <v>C Grade</v>
      </c>
      <c r="J76" s="162">
        <f t="shared" si="18"/>
        <v>1</v>
      </c>
      <c r="K76" s="161"/>
      <c r="L76" s="162">
        <f>IF('EZ Data'!O75="Yes",1,0)</f>
        <v>0</v>
      </c>
      <c r="M76" s="162">
        <f>IF('EZ Data'!Q75="Yes",1,0)</f>
        <v>0</v>
      </c>
      <c r="N76" s="162">
        <f>IF('EZ Data'!U75="Yes",1,0)</f>
        <v>0</v>
      </c>
      <c r="O76" s="189">
        <f>COUNTA('EZ Data'!BD75:BM75)</f>
        <v>0</v>
      </c>
      <c r="P76" s="190">
        <f t="shared" si="14"/>
        <v>3</v>
      </c>
      <c r="Q76" s="191">
        <f t="shared" si="19"/>
        <v>3</v>
      </c>
      <c r="R76" s="190">
        <f t="shared" si="15"/>
        <v>0</v>
      </c>
      <c r="S76" s="182">
        <f t="shared" si="16"/>
        <v>2</v>
      </c>
      <c r="T76" s="182">
        <f t="shared" si="17"/>
        <v>0</v>
      </c>
      <c r="U76" s="191">
        <f t="shared" si="20"/>
        <v>0.7</v>
      </c>
      <c r="V76" s="190">
        <v>5</v>
      </c>
      <c r="W76" s="182">
        <v>6</v>
      </c>
      <c r="X76" s="191">
        <f t="shared" si="21"/>
        <v>5.5</v>
      </c>
      <c r="Y76" s="187">
        <f t="shared" si="22"/>
        <v>1.415</v>
      </c>
      <c r="Z76" s="188">
        <f t="shared" si="23"/>
        <v>55</v>
      </c>
    </row>
    <row r="77" spans="2:26" ht="14.5" customHeight="1" x14ac:dyDescent="0.35">
      <c r="B77" s="160">
        <v>73</v>
      </c>
      <c r="C77" s="169" t="s">
        <v>161</v>
      </c>
      <c r="D77" s="169" t="str">
        <f>'EZ Data'!D76</f>
        <v>Mymensingh</v>
      </c>
      <c r="E77" s="169" t="str">
        <f>'EZ Data'!E76</f>
        <v>Mymensingh</v>
      </c>
      <c r="F77" s="169" t="str">
        <f>'EZ Data'!F76</f>
        <v>Trishal</v>
      </c>
      <c r="G77" s="201">
        <v>100</v>
      </c>
      <c r="H77" s="198" t="str">
        <f>'EZ Data'!J76</f>
        <v>N/A</v>
      </c>
      <c r="I77" s="198" t="str">
        <f>'EZ Data'!AS76</f>
        <v>C Grade</v>
      </c>
      <c r="J77" s="162">
        <f t="shared" si="18"/>
        <v>1</v>
      </c>
      <c r="K77" s="161"/>
      <c r="L77" s="162">
        <f>IF('EZ Data'!O76="Yes",1,0)</f>
        <v>0</v>
      </c>
      <c r="M77" s="162">
        <f>IF('EZ Data'!Q76="Yes",1,0)</f>
        <v>0</v>
      </c>
      <c r="N77" s="162">
        <f>IF('EZ Data'!U76="Yes",1,0)</f>
        <v>0</v>
      </c>
      <c r="O77" s="189">
        <f>COUNTA('EZ Data'!BD76:BM76)</f>
        <v>1</v>
      </c>
      <c r="P77" s="190">
        <f t="shared" si="14"/>
        <v>3</v>
      </c>
      <c r="Q77" s="191">
        <f t="shared" si="19"/>
        <v>3</v>
      </c>
      <c r="R77" s="190">
        <f t="shared" si="15"/>
        <v>0</v>
      </c>
      <c r="S77" s="182">
        <f t="shared" si="16"/>
        <v>2</v>
      </c>
      <c r="T77" s="182">
        <f t="shared" si="17"/>
        <v>0</v>
      </c>
      <c r="U77" s="191">
        <f t="shared" si="20"/>
        <v>0.7</v>
      </c>
      <c r="V77" s="190">
        <v>5</v>
      </c>
      <c r="W77" s="182">
        <v>8</v>
      </c>
      <c r="X77" s="191">
        <f t="shared" si="21"/>
        <v>6.5</v>
      </c>
      <c r="Y77" s="187">
        <f t="shared" si="22"/>
        <v>1.5649999999999999</v>
      </c>
      <c r="Z77" s="188">
        <f t="shared" si="23"/>
        <v>45</v>
      </c>
    </row>
    <row r="78" spans="2:26" ht="14.5" customHeight="1" x14ac:dyDescent="0.35">
      <c r="B78" s="160">
        <v>74</v>
      </c>
      <c r="C78" s="169" t="s">
        <v>193</v>
      </c>
      <c r="D78" s="169" t="str">
        <f>'EZ Data'!D77</f>
        <v>Chattogram</v>
      </c>
      <c r="E78" s="169" t="str">
        <f>'EZ Data'!E77</f>
        <v>Cumilla</v>
      </c>
      <c r="F78" s="169" t="str">
        <f>'EZ Data'!F77</f>
        <v>Daudkandi</v>
      </c>
      <c r="G78" s="201">
        <v>100</v>
      </c>
      <c r="H78" s="198" t="str">
        <f>'EZ Data'!J77</f>
        <v>N/A</v>
      </c>
      <c r="I78" s="198" t="str">
        <f>'EZ Data'!AS77</f>
        <v>C Grade</v>
      </c>
      <c r="J78" s="162">
        <f t="shared" si="18"/>
        <v>1</v>
      </c>
      <c r="K78" s="161"/>
      <c r="L78" s="162">
        <f>IF('EZ Data'!O77="Yes",1,0)</f>
        <v>0</v>
      </c>
      <c r="M78" s="162">
        <f>IF('EZ Data'!Q77="Yes",1,0)</f>
        <v>0</v>
      </c>
      <c r="N78" s="162">
        <f>IF('EZ Data'!U77="Yes",1,0)</f>
        <v>0</v>
      </c>
      <c r="O78" s="189">
        <f>COUNTA('EZ Data'!BD77:BM77)</f>
        <v>0</v>
      </c>
      <c r="P78" s="190">
        <f t="shared" si="14"/>
        <v>3</v>
      </c>
      <c r="Q78" s="191">
        <f t="shared" si="19"/>
        <v>3</v>
      </c>
      <c r="R78" s="190">
        <f t="shared" si="15"/>
        <v>0</v>
      </c>
      <c r="S78" s="182">
        <f t="shared" si="16"/>
        <v>2</v>
      </c>
      <c r="T78" s="182">
        <f t="shared" si="17"/>
        <v>0</v>
      </c>
      <c r="U78" s="191">
        <f t="shared" si="20"/>
        <v>0.7</v>
      </c>
      <c r="V78" s="190">
        <v>3</v>
      </c>
      <c r="W78" s="182">
        <v>5</v>
      </c>
      <c r="X78" s="191">
        <f t="shared" si="21"/>
        <v>4</v>
      </c>
      <c r="Y78" s="187">
        <f t="shared" si="22"/>
        <v>1.19</v>
      </c>
      <c r="Z78" s="188">
        <f t="shared" si="23"/>
        <v>71</v>
      </c>
    </row>
    <row r="79" spans="2:26" ht="14.5" customHeight="1" x14ac:dyDescent="0.35">
      <c r="B79" s="160">
        <v>75</v>
      </c>
      <c r="C79" s="169" t="s">
        <v>33</v>
      </c>
      <c r="D79" s="169" t="str">
        <f>'EZ Data'!D78</f>
        <v>Dhaka</v>
      </c>
      <c r="E79" s="169" t="str">
        <f>'EZ Data'!E78</f>
        <v>Narayanganj</v>
      </c>
      <c r="F79" s="169" t="str">
        <f>'EZ Data'!F78</f>
        <v>Sonargaon</v>
      </c>
      <c r="G79" s="201">
        <v>150</v>
      </c>
      <c r="H79" s="198" t="str">
        <f>'EZ Data'!J78</f>
        <v>N/A</v>
      </c>
      <c r="I79" s="198" t="str">
        <f>'EZ Data'!AS78</f>
        <v>A Grade</v>
      </c>
      <c r="J79" s="162">
        <f t="shared" si="18"/>
        <v>1</v>
      </c>
      <c r="K79" s="161"/>
      <c r="L79" s="162">
        <f>IF('EZ Data'!O78="Yes",1,0)</f>
        <v>0</v>
      </c>
      <c r="M79" s="162">
        <f>IF('EZ Data'!Q78="Yes",1,0)</f>
        <v>0</v>
      </c>
      <c r="N79" s="162">
        <f>IF('EZ Data'!U78="Yes",1,0)</f>
        <v>0</v>
      </c>
      <c r="O79" s="189">
        <f>COUNTA('EZ Data'!BD78:BM78)</f>
        <v>9</v>
      </c>
      <c r="P79" s="190">
        <f t="shared" si="14"/>
        <v>3</v>
      </c>
      <c r="Q79" s="191">
        <f t="shared" si="19"/>
        <v>3</v>
      </c>
      <c r="R79" s="190">
        <f t="shared" si="15"/>
        <v>0</v>
      </c>
      <c r="S79" s="182">
        <f t="shared" si="16"/>
        <v>4</v>
      </c>
      <c r="T79" s="182">
        <f t="shared" si="17"/>
        <v>0</v>
      </c>
      <c r="U79" s="191">
        <f t="shared" si="20"/>
        <v>1.4</v>
      </c>
      <c r="V79" s="190">
        <v>18</v>
      </c>
      <c r="W79" s="182">
        <v>18</v>
      </c>
      <c r="X79" s="191">
        <f t="shared" si="21"/>
        <v>18</v>
      </c>
      <c r="Y79" s="187">
        <f t="shared" si="22"/>
        <v>3.4299999999999997</v>
      </c>
      <c r="Z79" s="188">
        <f t="shared" si="23"/>
        <v>14</v>
      </c>
    </row>
    <row r="80" spans="2:26" ht="14.5" customHeight="1" x14ac:dyDescent="0.35">
      <c r="B80" s="160">
        <v>76</v>
      </c>
      <c r="C80" s="169" t="s">
        <v>159</v>
      </c>
      <c r="D80" s="169" t="str">
        <f>'EZ Data'!D79</f>
        <v>Dhaka</v>
      </c>
      <c r="E80" s="169" t="str">
        <f>'EZ Data'!E79</f>
        <v>Munshiganj</v>
      </c>
      <c r="F80" s="169" t="str">
        <f>'EZ Data'!F79</f>
        <v>Gajaria</v>
      </c>
      <c r="G80" s="201">
        <v>110</v>
      </c>
      <c r="H80" s="198" t="str">
        <f>'EZ Data'!J79</f>
        <v>N/A</v>
      </c>
      <c r="I80" s="198" t="str">
        <f>'EZ Data'!AS79</f>
        <v>B Grade</v>
      </c>
      <c r="J80" s="162">
        <f t="shared" si="18"/>
        <v>1</v>
      </c>
      <c r="K80" s="161"/>
      <c r="L80" s="162">
        <f>IF('EZ Data'!O79="Yes",1,0)</f>
        <v>0</v>
      </c>
      <c r="M80" s="162">
        <f>IF('EZ Data'!Q79="Yes",1,0)</f>
        <v>0</v>
      </c>
      <c r="N80" s="162">
        <f>IF('EZ Data'!U79="Yes",1,0)</f>
        <v>0</v>
      </c>
      <c r="O80" s="189">
        <f>COUNTA('EZ Data'!BD79:BM79)</f>
        <v>0</v>
      </c>
      <c r="P80" s="190">
        <f t="shared" si="14"/>
        <v>3</v>
      </c>
      <c r="Q80" s="191">
        <f t="shared" si="19"/>
        <v>3</v>
      </c>
      <c r="R80" s="190">
        <f t="shared" si="15"/>
        <v>0</v>
      </c>
      <c r="S80" s="182">
        <f t="shared" si="16"/>
        <v>3</v>
      </c>
      <c r="T80" s="182">
        <f t="shared" si="17"/>
        <v>0</v>
      </c>
      <c r="U80" s="191">
        <f t="shared" si="20"/>
        <v>1.0499999999999998</v>
      </c>
      <c r="V80" s="190">
        <v>5</v>
      </c>
      <c r="W80" s="182">
        <v>6</v>
      </c>
      <c r="X80" s="191">
        <f t="shared" si="21"/>
        <v>5.5</v>
      </c>
      <c r="Y80" s="187">
        <f t="shared" si="22"/>
        <v>1.4849999999999999</v>
      </c>
      <c r="Z80" s="188">
        <f t="shared" si="23"/>
        <v>50</v>
      </c>
    </row>
    <row r="81" spans="2:26" ht="14.5" customHeight="1" x14ac:dyDescent="0.35">
      <c r="B81" s="160">
        <v>77</v>
      </c>
      <c r="C81" s="169" t="s">
        <v>143</v>
      </c>
      <c r="D81" s="169" t="str">
        <f>'EZ Data'!D80</f>
        <v>Dhaka</v>
      </c>
      <c r="E81" s="169" t="str">
        <f>'EZ Data'!E80</f>
        <v>Dhaka</v>
      </c>
      <c r="F81" s="169" t="str">
        <f>'EZ Data'!F80</f>
        <v>Savar, Keraniganj</v>
      </c>
      <c r="G81" s="201">
        <v>84.95</v>
      </c>
      <c r="H81" s="198" t="str">
        <f>'EZ Data'!J80</f>
        <v>N/A</v>
      </c>
      <c r="I81" s="198" t="str">
        <f>'EZ Data'!AS80</f>
        <v>B Grade</v>
      </c>
      <c r="J81" s="162">
        <f t="shared" si="18"/>
        <v>1</v>
      </c>
      <c r="K81" s="161"/>
      <c r="L81" s="162">
        <f>IF('EZ Data'!O80="Yes",1,0)</f>
        <v>0</v>
      </c>
      <c r="M81" s="162">
        <f>IF('EZ Data'!Q80="Yes",1,0)</f>
        <v>0</v>
      </c>
      <c r="N81" s="162">
        <f>IF('EZ Data'!U80="Yes",1,0)</f>
        <v>0</v>
      </c>
      <c r="O81" s="189">
        <f>COUNTA('EZ Data'!BD80:BM80)</f>
        <v>8</v>
      </c>
      <c r="P81" s="190">
        <f t="shared" si="14"/>
        <v>2</v>
      </c>
      <c r="Q81" s="191">
        <f t="shared" si="19"/>
        <v>2</v>
      </c>
      <c r="R81" s="190">
        <f t="shared" si="15"/>
        <v>0</v>
      </c>
      <c r="S81" s="182">
        <f t="shared" si="16"/>
        <v>3</v>
      </c>
      <c r="T81" s="182">
        <f t="shared" si="17"/>
        <v>0</v>
      </c>
      <c r="U81" s="191">
        <f t="shared" si="20"/>
        <v>1.0499999999999998</v>
      </c>
      <c r="V81" s="190">
        <v>15</v>
      </c>
      <c r="W81" s="182">
        <v>15</v>
      </c>
      <c r="X81" s="191">
        <f t="shared" si="21"/>
        <v>15</v>
      </c>
      <c r="Y81" s="187">
        <f t="shared" si="22"/>
        <v>2.76</v>
      </c>
      <c r="Z81" s="188">
        <f t="shared" si="23"/>
        <v>25</v>
      </c>
    </row>
    <row r="82" spans="2:26" ht="14.5" customHeight="1" x14ac:dyDescent="0.35">
      <c r="B82" s="160">
        <v>78</v>
      </c>
      <c r="C82" s="169" t="s">
        <v>142</v>
      </c>
      <c r="D82" s="169" t="str">
        <f>'EZ Data'!D81</f>
        <v>Dhaka</v>
      </c>
      <c r="E82" s="169" t="str">
        <f>'EZ Data'!E81</f>
        <v>Dhaka</v>
      </c>
      <c r="F82" s="169" t="str">
        <f>'EZ Data'!F81</f>
        <v>Keraniganj</v>
      </c>
      <c r="G82" s="201">
        <v>56.082000000000001</v>
      </c>
      <c r="H82" s="198" t="str">
        <f>'EZ Data'!J81</f>
        <v>N/A</v>
      </c>
      <c r="I82" s="198" t="str">
        <f>'EZ Data'!AS81</f>
        <v>C Grade</v>
      </c>
      <c r="J82" s="162">
        <f t="shared" si="18"/>
        <v>1</v>
      </c>
      <c r="K82" s="161"/>
      <c r="L82" s="162">
        <f>IF('EZ Data'!O81="Yes",1,0)</f>
        <v>0</v>
      </c>
      <c r="M82" s="162">
        <f>IF('EZ Data'!Q81="Yes",1,0)</f>
        <v>0</v>
      </c>
      <c r="N82" s="162">
        <f>IF('EZ Data'!U81="Yes",1,0)</f>
        <v>0</v>
      </c>
      <c r="O82" s="189">
        <f>COUNTA('EZ Data'!BD81:BM81)</f>
        <v>0</v>
      </c>
      <c r="P82" s="190">
        <f t="shared" si="14"/>
        <v>2</v>
      </c>
      <c r="Q82" s="191">
        <f t="shared" si="19"/>
        <v>2</v>
      </c>
      <c r="R82" s="190">
        <f t="shared" si="15"/>
        <v>0</v>
      </c>
      <c r="S82" s="182">
        <f t="shared" si="16"/>
        <v>2</v>
      </c>
      <c r="T82" s="182">
        <f t="shared" si="17"/>
        <v>0</v>
      </c>
      <c r="U82" s="191">
        <f t="shared" si="20"/>
        <v>0.7</v>
      </c>
      <c r="V82" s="190">
        <v>15</v>
      </c>
      <c r="W82" s="182">
        <v>15</v>
      </c>
      <c r="X82" s="191">
        <f t="shared" si="21"/>
        <v>15</v>
      </c>
      <c r="Y82" s="187">
        <f t="shared" si="22"/>
        <v>2.69</v>
      </c>
      <c r="Z82" s="188">
        <f t="shared" si="23"/>
        <v>27</v>
      </c>
    </row>
    <row r="83" spans="2:26" ht="14.5" customHeight="1" x14ac:dyDescent="0.35">
      <c r="B83" s="160">
        <v>79</v>
      </c>
      <c r="C83" s="169" t="s">
        <v>44</v>
      </c>
      <c r="D83" s="169" t="str">
        <f>'EZ Data'!D82</f>
        <v>Dhaka</v>
      </c>
      <c r="E83" s="169" t="str">
        <f>'EZ Data'!E82</f>
        <v>Gazipur</v>
      </c>
      <c r="F83" s="169" t="str">
        <f>'EZ Data'!F82</f>
        <v>Konabari</v>
      </c>
      <c r="G83" s="201">
        <v>65</v>
      </c>
      <c r="H83" s="198" t="str">
        <f>'EZ Data'!J82</f>
        <v>N/A</v>
      </c>
      <c r="I83" s="198" t="str">
        <f>'EZ Data'!AS82</f>
        <v>A Grade</v>
      </c>
      <c r="J83" s="162">
        <f t="shared" si="18"/>
        <v>1</v>
      </c>
      <c r="K83" s="161"/>
      <c r="L83" s="162">
        <f>IF('EZ Data'!O82="Yes",1,0)</f>
        <v>0</v>
      </c>
      <c r="M83" s="162">
        <f>IF('EZ Data'!Q82="Yes",1,0)</f>
        <v>0</v>
      </c>
      <c r="N83" s="162">
        <f>IF('EZ Data'!U82="Yes",1,0)</f>
        <v>0</v>
      </c>
      <c r="O83" s="189">
        <f>COUNTA('EZ Data'!BD82:BM82)</f>
        <v>7</v>
      </c>
      <c r="P83" s="190">
        <f t="shared" si="14"/>
        <v>2</v>
      </c>
      <c r="Q83" s="191">
        <f t="shared" si="19"/>
        <v>2</v>
      </c>
      <c r="R83" s="190">
        <f t="shared" si="15"/>
        <v>0</v>
      </c>
      <c r="S83" s="182">
        <f t="shared" si="16"/>
        <v>4</v>
      </c>
      <c r="T83" s="182">
        <f t="shared" si="17"/>
        <v>0</v>
      </c>
      <c r="U83" s="191">
        <f t="shared" si="20"/>
        <v>1.4</v>
      </c>
      <c r="V83" s="190">
        <v>13</v>
      </c>
      <c r="W83" s="182">
        <v>12</v>
      </c>
      <c r="X83" s="191">
        <f t="shared" si="21"/>
        <v>12.5</v>
      </c>
      <c r="Y83" s="187">
        <f t="shared" si="22"/>
        <v>2.4550000000000001</v>
      </c>
      <c r="Z83" s="188">
        <f t="shared" si="23"/>
        <v>29</v>
      </c>
    </row>
    <row r="84" spans="2:26" ht="14.5" customHeight="1" x14ac:dyDescent="0.35">
      <c r="B84" s="160">
        <v>80</v>
      </c>
      <c r="C84" s="169" t="s">
        <v>201</v>
      </c>
      <c r="D84" s="169" t="str">
        <f>'EZ Data'!D83</f>
        <v>Sylhet</v>
      </c>
      <c r="E84" s="169" t="str">
        <f>'EZ Data'!E83</f>
        <v>Sunamganj</v>
      </c>
      <c r="F84" s="169" t="str">
        <f>'EZ Data'!F83</f>
        <v>Chatak</v>
      </c>
      <c r="G84" s="201">
        <v>138.63999999999999</v>
      </c>
      <c r="H84" s="198" t="str">
        <f>'EZ Data'!J83</f>
        <v>N/A</v>
      </c>
      <c r="I84" s="198" t="str">
        <f>'EZ Data'!AS83</f>
        <v>C Grade</v>
      </c>
      <c r="J84" s="162">
        <f t="shared" si="18"/>
        <v>1</v>
      </c>
      <c r="K84" s="161"/>
      <c r="L84" s="162">
        <f>IF('EZ Data'!O83="Yes",1,0)</f>
        <v>0</v>
      </c>
      <c r="M84" s="162">
        <f>IF('EZ Data'!Q83="Yes",1,0)</f>
        <v>0</v>
      </c>
      <c r="N84" s="162">
        <f>IF('EZ Data'!U83="Yes",1,0)</f>
        <v>0</v>
      </c>
      <c r="O84" s="189">
        <f>COUNTA('EZ Data'!BD83:BM83)</f>
        <v>0</v>
      </c>
      <c r="P84" s="190">
        <f t="shared" si="14"/>
        <v>3</v>
      </c>
      <c r="Q84" s="191">
        <f t="shared" si="19"/>
        <v>3</v>
      </c>
      <c r="R84" s="190">
        <f t="shared" si="15"/>
        <v>0</v>
      </c>
      <c r="S84" s="182">
        <f t="shared" si="16"/>
        <v>2</v>
      </c>
      <c r="T84" s="182">
        <f t="shared" si="17"/>
        <v>0</v>
      </c>
      <c r="U84" s="191">
        <f t="shared" si="20"/>
        <v>0.7</v>
      </c>
      <c r="V84" s="190">
        <v>4</v>
      </c>
      <c r="W84" s="182">
        <v>5</v>
      </c>
      <c r="X84" s="191">
        <f t="shared" si="21"/>
        <v>4.5</v>
      </c>
      <c r="Y84" s="187">
        <f t="shared" si="22"/>
        <v>1.2649999999999999</v>
      </c>
      <c r="Z84" s="188">
        <f t="shared" si="23"/>
        <v>68</v>
      </c>
    </row>
    <row r="85" spans="2:26" ht="14.5" customHeight="1" x14ac:dyDescent="0.35">
      <c r="B85" s="160">
        <v>81</v>
      </c>
      <c r="C85" s="169" t="s">
        <v>38</v>
      </c>
      <c r="D85" s="169" t="str">
        <f>'EZ Data'!D84</f>
        <v>Dhaka</v>
      </c>
      <c r="E85" s="169" t="str">
        <f>'EZ Data'!E84</f>
        <v>Narayanganj</v>
      </c>
      <c r="F85" s="169" t="str">
        <f>'EZ Data'!F84</f>
        <v>Rupganj</v>
      </c>
      <c r="G85" s="201">
        <v>91.214100000000002</v>
      </c>
      <c r="H85" s="198" t="str">
        <f>'EZ Data'!J84</f>
        <v>N/A</v>
      </c>
      <c r="I85" s="198" t="str">
        <f>'EZ Data'!AS84</f>
        <v>A Grade</v>
      </c>
      <c r="J85" s="162">
        <f t="shared" si="18"/>
        <v>1</v>
      </c>
      <c r="K85" s="161"/>
      <c r="L85" s="162">
        <f>IF('EZ Data'!O84="Yes",1,0)</f>
        <v>0</v>
      </c>
      <c r="M85" s="162">
        <f>IF('EZ Data'!Q84="Yes",1,0)</f>
        <v>0</v>
      </c>
      <c r="N85" s="162">
        <f>IF('EZ Data'!U84="Yes",1,0)</f>
        <v>0</v>
      </c>
      <c r="O85" s="189">
        <f>COUNTA('EZ Data'!BD84:BM84)</f>
        <v>2</v>
      </c>
      <c r="P85" s="190">
        <f t="shared" si="14"/>
        <v>2</v>
      </c>
      <c r="Q85" s="191">
        <f t="shared" si="19"/>
        <v>2</v>
      </c>
      <c r="R85" s="190">
        <f t="shared" si="15"/>
        <v>0</v>
      </c>
      <c r="S85" s="182">
        <f t="shared" si="16"/>
        <v>4</v>
      </c>
      <c r="T85" s="182">
        <f t="shared" si="17"/>
        <v>0</v>
      </c>
      <c r="U85" s="191">
        <f t="shared" si="20"/>
        <v>1.4</v>
      </c>
      <c r="V85" s="190">
        <v>18</v>
      </c>
      <c r="W85" s="182">
        <v>18</v>
      </c>
      <c r="X85" s="191">
        <f t="shared" si="21"/>
        <v>18</v>
      </c>
      <c r="Y85" s="187">
        <f t="shared" si="22"/>
        <v>3.28</v>
      </c>
      <c r="Z85" s="188">
        <f t="shared" si="23"/>
        <v>16</v>
      </c>
    </row>
    <row r="86" spans="2:26" ht="14.5" customHeight="1" x14ac:dyDescent="0.35">
      <c r="B86" s="160">
        <v>82</v>
      </c>
      <c r="C86" s="169" t="s">
        <v>48</v>
      </c>
      <c r="D86" s="169" t="str">
        <f>'EZ Data'!D85</f>
        <v>Dhaka</v>
      </c>
      <c r="E86" s="169" t="str">
        <f>'EZ Data'!E85</f>
        <v>Dhaka</v>
      </c>
      <c r="F86" s="169" t="str">
        <f>'EZ Data'!F85</f>
        <v>Demra</v>
      </c>
      <c r="G86" s="201">
        <v>115.8685</v>
      </c>
      <c r="H86" s="198" t="str">
        <f>'EZ Data'!J85</f>
        <v>N/A</v>
      </c>
      <c r="I86" s="198" t="str">
        <f>'EZ Data'!AS85</f>
        <v>B Grade</v>
      </c>
      <c r="J86" s="162">
        <f t="shared" si="18"/>
        <v>1</v>
      </c>
      <c r="K86" s="161"/>
      <c r="L86" s="162">
        <f>IF('EZ Data'!O85="Yes",1,0)</f>
        <v>0</v>
      </c>
      <c r="M86" s="162">
        <f>IF('EZ Data'!Q85="Yes",1,0)</f>
        <v>0</v>
      </c>
      <c r="N86" s="162">
        <f>IF('EZ Data'!U85="Yes",1,0)</f>
        <v>0</v>
      </c>
      <c r="O86" s="189">
        <f>COUNTA('EZ Data'!BD85:BM85)</f>
        <v>0</v>
      </c>
      <c r="P86" s="190">
        <f t="shared" si="14"/>
        <v>3</v>
      </c>
      <c r="Q86" s="191">
        <f t="shared" si="19"/>
        <v>3</v>
      </c>
      <c r="R86" s="190">
        <f t="shared" si="15"/>
        <v>0</v>
      </c>
      <c r="S86" s="182">
        <f t="shared" si="16"/>
        <v>3</v>
      </c>
      <c r="T86" s="182">
        <f t="shared" si="17"/>
        <v>0</v>
      </c>
      <c r="U86" s="191">
        <f t="shared" si="20"/>
        <v>1.0499999999999998</v>
      </c>
      <c r="V86" s="190">
        <v>15</v>
      </c>
      <c r="W86" s="182">
        <v>15</v>
      </c>
      <c r="X86" s="191">
        <f t="shared" si="21"/>
        <v>15</v>
      </c>
      <c r="Y86" s="187">
        <f t="shared" si="22"/>
        <v>2.91</v>
      </c>
      <c r="Z86" s="188">
        <f t="shared" si="23"/>
        <v>21</v>
      </c>
    </row>
    <row r="87" spans="2:26" ht="14.5" customHeight="1" x14ac:dyDescent="0.35">
      <c r="B87" s="160">
        <v>83</v>
      </c>
      <c r="C87" s="169" t="s">
        <v>40</v>
      </c>
      <c r="D87" s="169" t="str">
        <f>'EZ Data'!D86</f>
        <v>Chattogram</v>
      </c>
      <c r="E87" s="169" t="str">
        <f>'EZ Data'!E86</f>
        <v>Cumilla</v>
      </c>
      <c r="F87" s="169" t="str">
        <f>'EZ Data'!F86</f>
        <v>Meghna</v>
      </c>
      <c r="G87" s="201">
        <v>272</v>
      </c>
      <c r="H87" s="198" t="str">
        <f>'EZ Data'!J86</f>
        <v>N/A</v>
      </c>
      <c r="I87" s="198" t="str">
        <f>'EZ Data'!AS86</f>
        <v>A Grade</v>
      </c>
      <c r="J87" s="162">
        <f t="shared" si="18"/>
        <v>1</v>
      </c>
      <c r="K87" s="161"/>
      <c r="L87" s="162">
        <f>IF('EZ Data'!O86="Yes",1,0)</f>
        <v>0</v>
      </c>
      <c r="M87" s="162">
        <f>IF('EZ Data'!Q86="Yes",1,0)</f>
        <v>0</v>
      </c>
      <c r="N87" s="162">
        <f>IF('EZ Data'!U86="Yes",1,0)</f>
        <v>0</v>
      </c>
      <c r="O87" s="189">
        <f>COUNTA('EZ Data'!BD86:BM86)</f>
        <v>9</v>
      </c>
      <c r="P87" s="190">
        <f t="shared" si="14"/>
        <v>3</v>
      </c>
      <c r="Q87" s="191">
        <f t="shared" si="19"/>
        <v>3</v>
      </c>
      <c r="R87" s="190">
        <f t="shared" si="15"/>
        <v>0</v>
      </c>
      <c r="S87" s="182">
        <f t="shared" si="16"/>
        <v>4</v>
      </c>
      <c r="T87" s="182">
        <f t="shared" si="17"/>
        <v>0</v>
      </c>
      <c r="U87" s="191">
        <f t="shared" si="20"/>
        <v>1.4</v>
      </c>
      <c r="V87" s="190">
        <v>3</v>
      </c>
      <c r="W87" s="182">
        <v>5</v>
      </c>
      <c r="X87" s="191">
        <f t="shared" si="21"/>
        <v>4</v>
      </c>
      <c r="Y87" s="187">
        <f t="shared" si="22"/>
        <v>1.33</v>
      </c>
      <c r="Z87" s="188">
        <f t="shared" si="23"/>
        <v>61</v>
      </c>
    </row>
    <row r="88" spans="2:26" ht="14.5" customHeight="1" x14ac:dyDescent="0.35">
      <c r="B88" s="160">
        <v>84</v>
      </c>
      <c r="C88" s="169" t="s">
        <v>184</v>
      </c>
      <c r="D88" s="169" t="str">
        <f>'EZ Data'!D87</f>
        <v>Sylhet</v>
      </c>
      <c r="E88" s="169" t="str">
        <f>'EZ Data'!E87</f>
        <v>Habiganj</v>
      </c>
      <c r="F88" s="169" t="str">
        <f>'EZ Data'!F87</f>
        <v>Bahubal</v>
      </c>
      <c r="G88" s="201">
        <v>150</v>
      </c>
      <c r="H88" s="198" t="str">
        <f>'EZ Data'!J87</f>
        <v>N/A</v>
      </c>
      <c r="I88" s="198" t="str">
        <f>'EZ Data'!AS87</f>
        <v>C Grade</v>
      </c>
      <c r="J88" s="162">
        <f t="shared" si="18"/>
        <v>1</v>
      </c>
      <c r="K88" s="161"/>
      <c r="L88" s="162">
        <f>IF('EZ Data'!O87="Yes",1,0)</f>
        <v>0</v>
      </c>
      <c r="M88" s="162">
        <f>IF('EZ Data'!Q87="Yes",1,0)</f>
        <v>0</v>
      </c>
      <c r="N88" s="162">
        <f>IF('EZ Data'!U87="Yes",1,0)</f>
        <v>0</v>
      </c>
      <c r="O88" s="189">
        <f>COUNTA('EZ Data'!BD87:BM87)</f>
        <v>0</v>
      </c>
      <c r="P88" s="190">
        <f t="shared" si="14"/>
        <v>3</v>
      </c>
      <c r="Q88" s="191">
        <f t="shared" si="19"/>
        <v>3</v>
      </c>
      <c r="R88" s="190">
        <f t="shared" si="15"/>
        <v>0</v>
      </c>
      <c r="S88" s="182">
        <f t="shared" si="16"/>
        <v>2</v>
      </c>
      <c r="T88" s="182">
        <f t="shared" si="17"/>
        <v>0</v>
      </c>
      <c r="U88" s="191">
        <f t="shared" si="20"/>
        <v>0.7</v>
      </c>
      <c r="V88" s="190">
        <v>5</v>
      </c>
      <c r="W88" s="182">
        <v>5</v>
      </c>
      <c r="X88" s="191">
        <f t="shared" si="21"/>
        <v>5</v>
      </c>
      <c r="Y88" s="187">
        <f t="shared" si="22"/>
        <v>1.3399999999999999</v>
      </c>
      <c r="Z88" s="188">
        <f t="shared" si="23"/>
        <v>60</v>
      </c>
    </row>
    <row r="89" spans="2:26" ht="14.5" customHeight="1" x14ac:dyDescent="0.35">
      <c r="B89" s="160">
        <v>85</v>
      </c>
      <c r="C89" s="169" t="s">
        <v>34</v>
      </c>
      <c r="D89" s="169" t="str">
        <f>'EZ Data'!D88</f>
        <v>Dhaka</v>
      </c>
      <c r="E89" s="169" t="str">
        <f>'EZ Data'!E88</f>
        <v>Dhaka</v>
      </c>
      <c r="F89" s="169" t="str">
        <f>'EZ Data'!F88</f>
        <v>Keraniganj</v>
      </c>
      <c r="G89" s="201">
        <v>53.872700000000002</v>
      </c>
      <c r="H89" s="198" t="str">
        <f>'EZ Data'!J88</f>
        <v>N/A</v>
      </c>
      <c r="I89" s="198" t="str">
        <f>'EZ Data'!AS88</f>
        <v>A Grade</v>
      </c>
      <c r="J89" s="162">
        <f t="shared" si="18"/>
        <v>1</v>
      </c>
      <c r="K89" s="161"/>
      <c r="L89" s="162">
        <f>IF('EZ Data'!O88="Yes",1,0)</f>
        <v>0</v>
      </c>
      <c r="M89" s="162">
        <f>IF('EZ Data'!Q88="Yes",1,0)</f>
        <v>0</v>
      </c>
      <c r="N89" s="162">
        <f>IF('EZ Data'!U88="Yes",1,0)</f>
        <v>0</v>
      </c>
      <c r="O89" s="189">
        <f>COUNTA('EZ Data'!BD88:BM88)</f>
        <v>6</v>
      </c>
      <c r="P89" s="190">
        <f t="shared" si="14"/>
        <v>2</v>
      </c>
      <c r="Q89" s="191">
        <f t="shared" si="19"/>
        <v>2</v>
      </c>
      <c r="R89" s="190">
        <f t="shared" si="15"/>
        <v>0</v>
      </c>
      <c r="S89" s="182">
        <f t="shared" si="16"/>
        <v>4</v>
      </c>
      <c r="T89" s="182">
        <f t="shared" si="17"/>
        <v>0</v>
      </c>
      <c r="U89" s="191">
        <f t="shared" si="20"/>
        <v>1.4</v>
      </c>
      <c r="V89" s="190">
        <v>15</v>
      </c>
      <c r="W89" s="182">
        <v>15</v>
      </c>
      <c r="X89" s="191">
        <f t="shared" si="21"/>
        <v>15</v>
      </c>
      <c r="Y89" s="187">
        <f t="shared" si="22"/>
        <v>2.83</v>
      </c>
      <c r="Z89" s="188">
        <f t="shared" si="23"/>
        <v>22</v>
      </c>
    </row>
    <row r="90" spans="2:26" ht="14.5" customHeight="1" x14ac:dyDescent="0.35">
      <c r="B90" s="160">
        <v>86</v>
      </c>
      <c r="C90" s="169" t="s">
        <v>213</v>
      </c>
      <c r="D90" s="169" t="str">
        <f>'EZ Data'!D89</f>
        <v>Khulna</v>
      </c>
      <c r="E90" s="169" t="str">
        <f>'EZ Data'!E89</f>
        <v>Bagerhat</v>
      </c>
      <c r="F90" s="169" t="str">
        <f>'EZ Data'!F89</f>
        <v>Rampal</v>
      </c>
      <c r="G90" s="201">
        <v>80.650000000000006</v>
      </c>
      <c r="H90" s="198" t="str">
        <f>'EZ Data'!J89</f>
        <v>N/A</v>
      </c>
      <c r="I90" s="198" t="str">
        <f>'EZ Data'!AS89</f>
        <v>C Grade</v>
      </c>
      <c r="J90" s="162">
        <f t="shared" si="18"/>
        <v>1</v>
      </c>
      <c r="K90" s="161"/>
      <c r="L90" s="162">
        <f>IF('EZ Data'!O89="Yes",1,0)</f>
        <v>0</v>
      </c>
      <c r="M90" s="162">
        <f>IF('EZ Data'!Q89="Yes",1,0)</f>
        <v>0</v>
      </c>
      <c r="N90" s="162">
        <f>IF('EZ Data'!U89="Yes",1,0)</f>
        <v>0</v>
      </c>
      <c r="O90" s="189">
        <f>COUNTA('EZ Data'!BD89:BM89)</f>
        <v>0</v>
      </c>
      <c r="P90" s="190">
        <f t="shared" si="14"/>
        <v>2</v>
      </c>
      <c r="Q90" s="191">
        <f t="shared" si="19"/>
        <v>2</v>
      </c>
      <c r="R90" s="190">
        <f t="shared" si="15"/>
        <v>0</v>
      </c>
      <c r="S90" s="182">
        <f t="shared" si="16"/>
        <v>2</v>
      </c>
      <c r="T90" s="182">
        <f t="shared" si="17"/>
        <v>0</v>
      </c>
      <c r="U90" s="191">
        <f t="shared" si="20"/>
        <v>0.7</v>
      </c>
      <c r="V90" s="190">
        <v>0</v>
      </c>
      <c r="W90" s="182">
        <v>1</v>
      </c>
      <c r="X90" s="191">
        <f t="shared" si="21"/>
        <v>0.5</v>
      </c>
      <c r="Y90" s="187">
        <f t="shared" si="22"/>
        <v>0.5149999999999999</v>
      </c>
      <c r="Z90" s="188">
        <f t="shared" si="23"/>
        <v>101</v>
      </c>
    </row>
    <row r="91" spans="2:26" ht="14.5" customHeight="1" x14ac:dyDescent="0.35">
      <c r="B91" s="160">
        <v>87</v>
      </c>
      <c r="C91" s="169" t="s">
        <v>46</v>
      </c>
      <c r="D91" s="169" t="str">
        <f>'EZ Data'!D90</f>
        <v>Mymensingh</v>
      </c>
      <c r="E91" s="169" t="str">
        <f>'EZ Data'!E90</f>
        <v>Mymensingh</v>
      </c>
      <c r="F91" s="169" t="str">
        <f>'EZ Data'!F90</f>
        <v>Trishal</v>
      </c>
      <c r="G91" s="201">
        <v>153</v>
      </c>
      <c r="H91" s="198" t="str">
        <f>'EZ Data'!J90</f>
        <v>N/A</v>
      </c>
      <c r="I91" s="198" t="str">
        <f>'EZ Data'!AS90</f>
        <v>B Grade</v>
      </c>
      <c r="J91" s="162">
        <f t="shared" si="18"/>
        <v>1</v>
      </c>
      <c r="K91" s="161"/>
      <c r="L91" s="162">
        <f>IF('EZ Data'!O90="Yes",1,0)</f>
        <v>0</v>
      </c>
      <c r="M91" s="162">
        <f>IF('EZ Data'!Q90="Yes",1,0)</f>
        <v>0</v>
      </c>
      <c r="N91" s="162">
        <f>IF('EZ Data'!U90="Yes",1,0)</f>
        <v>0</v>
      </c>
      <c r="O91" s="189">
        <f>COUNTA('EZ Data'!BD90:BM90)</f>
        <v>5</v>
      </c>
      <c r="P91" s="190">
        <f t="shared" si="14"/>
        <v>3</v>
      </c>
      <c r="Q91" s="191">
        <f t="shared" si="19"/>
        <v>3</v>
      </c>
      <c r="R91" s="190">
        <f t="shared" si="15"/>
        <v>0</v>
      </c>
      <c r="S91" s="182">
        <f t="shared" si="16"/>
        <v>3</v>
      </c>
      <c r="T91" s="182">
        <f t="shared" si="17"/>
        <v>0</v>
      </c>
      <c r="U91" s="191">
        <f t="shared" si="20"/>
        <v>1.0499999999999998</v>
      </c>
      <c r="V91" s="190">
        <v>5</v>
      </c>
      <c r="W91" s="182">
        <v>8</v>
      </c>
      <c r="X91" s="191">
        <f t="shared" si="21"/>
        <v>6.5</v>
      </c>
      <c r="Y91" s="187">
        <f t="shared" si="22"/>
        <v>1.6349999999999998</v>
      </c>
      <c r="Z91" s="188">
        <f t="shared" si="23"/>
        <v>41</v>
      </c>
    </row>
    <row r="92" spans="2:26" ht="14.5" customHeight="1" x14ac:dyDescent="0.35">
      <c r="B92" s="160">
        <v>88</v>
      </c>
      <c r="C92" s="169" t="s">
        <v>54</v>
      </c>
      <c r="D92" s="169" t="str">
        <f>'EZ Data'!D91</f>
        <v>Dhaka</v>
      </c>
      <c r="E92" s="169" t="str">
        <f>'EZ Data'!E91</f>
        <v>Munshiganj</v>
      </c>
      <c r="F92" s="169" t="str">
        <f>'EZ Data'!F91</f>
        <v>Gajaria</v>
      </c>
      <c r="G92" s="201">
        <v>75.47</v>
      </c>
      <c r="H92" s="198" t="str">
        <f>'EZ Data'!J91</f>
        <v>N/A</v>
      </c>
      <c r="I92" s="198" t="str">
        <f>'EZ Data'!AS91</f>
        <v>A Grade</v>
      </c>
      <c r="J92" s="162">
        <f t="shared" si="18"/>
        <v>1</v>
      </c>
      <c r="K92" s="161"/>
      <c r="L92" s="162">
        <f>IF('EZ Data'!O91="Yes",1,0)</f>
        <v>0</v>
      </c>
      <c r="M92" s="162">
        <f>IF('EZ Data'!Q91="Yes",1,0)</f>
        <v>0</v>
      </c>
      <c r="N92" s="162">
        <f>IF('EZ Data'!U91="Yes",1,0)</f>
        <v>0</v>
      </c>
      <c r="O92" s="189">
        <f>COUNTA('EZ Data'!BD91:BM91)</f>
        <v>8</v>
      </c>
      <c r="P92" s="190">
        <f t="shared" si="14"/>
        <v>2</v>
      </c>
      <c r="Q92" s="191">
        <f t="shared" si="19"/>
        <v>2</v>
      </c>
      <c r="R92" s="190">
        <f t="shared" si="15"/>
        <v>0</v>
      </c>
      <c r="S92" s="182">
        <f t="shared" si="16"/>
        <v>4</v>
      </c>
      <c r="T92" s="182">
        <f t="shared" si="17"/>
        <v>0</v>
      </c>
      <c r="U92" s="191">
        <f t="shared" si="20"/>
        <v>1.4</v>
      </c>
      <c r="V92" s="190">
        <v>5</v>
      </c>
      <c r="W92" s="182">
        <v>6</v>
      </c>
      <c r="X92" s="191">
        <f t="shared" si="21"/>
        <v>5.5</v>
      </c>
      <c r="Y92" s="187">
        <f t="shared" si="22"/>
        <v>1.4049999999999998</v>
      </c>
      <c r="Z92" s="188">
        <f t="shared" si="23"/>
        <v>57</v>
      </c>
    </row>
    <row r="93" spans="2:26" ht="14.5" customHeight="1" x14ac:dyDescent="0.35">
      <c r="B93" s="160">
        <v>89</v>
      </c>
      <c r="C93" s="169" t="s">
        <v>32</v>
      </c>
      <c r="D93" s="169" t="str">
        <f>'EZ Data'!D92</f>
        <v>Chattogram</v>
      </c>
      <c r="E93" s="169" t="str">
        <f>'EZ Data'!E92</f>
        <v>Chattogram</v>
      </c>
      <c r="F93" s="169" t="str">
        <f>'EZ Data'!F92</f>
        <v>Anowara</v>
      </c>
      <c r="G93" s="201">
        <v>65.247799999999998</v>
      </c>
      <c r="H93" s="198" t="str">
        <f>'EZ Data'!J92</f>
        <v>N/A</v>
      </c>
      <c r="I93" s="198" t="str">
        <f>'EZ Data'!AS92</f>
        <v>A Grade</v>
      </c>
      <c r="J93" s="162">
        <f t="shared" si="18"/>
        <v>1</v>
      </c>
      <c r="K93" s="161"/>
      <c r="L93" s="162">
        <f>IF('EZ Data'!O92="Yes",1,0)</f>
        <v>0</v>
      </c>
      <c r="M93" s="162">
        <f>IF('EZ Data'!Q92="Yes",1,0)</f>
        <v>0</v>
      </c>
      <c r="N93" s="162">
        <f>IF('EZ Data'!U92="Yes",1,0)</f>
        <v>0</v>
      </c>
      <c r="O93" s="189">
        <f>COUNTA('EZ Data'!BD92:BM92)</f>
        <v>1</v>
      </c>
      <c r="P93" s="190">
        <f t="shared" si="14"/>
        <v>2</v>
      </c>
      <c r="Q93" s="191">
        <f t="shared" si="19"/>
        <v>2</v>
      </c>
      <c r="R93" s="190">
        <f t="shared" si="15"/>
        <v>0</v>
      </c>
      <c r="S93" s="182">
        <f t="shared" si="16"/>
        <v>4</v>
      </c>
      <c r="T93" s="182">
        <f t="shared" si="17"/>
        <v>0</v>
      </c>
      <c r="U93" s="191">
        <f t="shared" si="20"/>
        <v>1.4</v>
      </c>
      <c r="V93" s="190">
        <v>19</v>
      </c>
      <c r="W93" s="182">
        <v>19</v>
      </c>
      <c r="X93" s="191">
        <f t="shared" si="21"/>
        <v>19</v>
      </c>
      <c r="Y93" s="187">
        <f t="shared" si="22"/>
        <v>3.43</v>
      </c>
      <c r="Z93" s="188">
        <f t="shared" si="23"/>
        <v>13</v>
      </c>
    </row>
    <row r="94" spans="2:26" ht="14.5" customHeight="1" x14ac:dyDescent="0.35">
      <c r="B94" s="160">
        <v>90</v>
      </c>
      <c r="C94" s="169" t="s">
        <v>47</v>
      </c>
      <c r="D94" s="169" t="str">
        <f>'EZ Data'!D93</f>
        <v>Chattogram</v>
      </c>
      <c r="E94" s="169" t="str">
        <f>'EZ Data'!E93</f>
        <v>Chattogram</v>
      </c>
      <c r="F94" s="169" t="str">
        <f>'EZ Data'!F93</f>
        <v>Chandanaish</v>
      </c>
      <c r="G94" s="201">
        <v>130.62530000000001</v>
      </c>
      <c r="H94" s="198" t="str">
        <f>'EZ Data'!J93</f>
        <v>N/A</v>
      </c>
      <c r="I94" s="198" t="str">
        <f>'EZ Data'!AS93</f>
        <v>B Grade</v>
      </c>
      <c r="J94" s="162">
        <f t="shared" si="18"/>
        <v>1</v>
      </c>
      <c r="K94" s="161"/>
      <c r="L94" s="162">
        <f>IF('EZ Data'!O93="Yes",1,0)</f>
        <v>0</v>
      </c>
      <c r="M94" s="162">
        <f>IF('EZ Data'!Q93="Yes",1,0)</f>
        <v>0</v>
      </c>
      <c r="N94" s="162">
        <f>IF('EZ Data'!U93="Yes",1,0)</f>
        <v>0</v>
      </c>
      <c r="O94" s="189">
        <f>COUNTA('EZ Data'!BD93:BM93)</f>
        <v>0</v>
      </c>
      <c r="P94" s="190">
        <f t="shared" si="14"/>
        <v>3</v>
      </c>
      <c r="Q94" s="191">
        <f t="shared" si="19"/>
        <v>3</v>
      </c>
      <c r="R94" s="190">
        <f t="shared" si="15"/>
        <v>0</v>
      </c>
      <c r="S94" s="182">
        <f t="shared" si="16"/>
        <v>3</v>
      </c>
      <c r="T94" s="182">
        <f t="shared" si="17"/>
        <v>0</v>
      </c>
      <c r="U94" s="191">
        <f t="shared" si="20"/>
        <v>1.0499999999999998</v>
      </c>
      <c r="V94" s="190">
        <v>19</v>
      </c>
      <c r="W94" s="182">
        <v>19</v>
      </c>
      <c r="X94" s="191">
        <f t="shared" si="21"/>
        <v>19</v>
      </c>
      <c r="Y94" s="187">
        <f t="shared" si="22"/>
        <v>3.51</v>
      </c>
      <c r="Z94" s="188">
        <f t="shared" si="23"/>
        <v>12</v>
      </c>
    </row>
    <row r="95" spans="2:26" ht="14.5" customHeight="1" x14ac:dyDescent="0.35">
      <c r="B95" s="160">
        <v>91</v>
      </c>
      <c r="C95" s="169" t="s">
        <v>188</v>
      </c>
      <c r="D95" s="169" t="str">
        <f>'EZ Data'!D94</f>
        <v>Dhaka</v>
      </c>
      <c r="E95" s="169" t="str">
        <f>'EZ Data'!E94</f>
        <v>Kishoreganj</v>
      </c>
      <c r="F95" s="169" t="str">
        <f>'EZ Data'!F94</f>
        <v>Pakundia</v>
      </c>
      <c r="G95" s="201">
        <v>92</v>
      </c>
      <c r="H95" s="198" t="str">
        <f>'EZ Data'!J94</f>
        <v>N/A</v>
      </c>
      <c r="I95" s="198" t="str">
        <f>'EZ Data'!AS94</f>
        <v>A Grade</v>
      </c>
      <c r="J95" s="162">
        <f t="shared" si="18"/>
        <v>1</v>
      </c>
      <c r="K95" s="161"/>
      <c r="L95" s="162">
        <f>IF('EZ Data'!O94="Yes",1,0)</f>
        <v>0</v>
      </c>
      <c r="M95" s="162">
        <f>IF('EZ Data'!Q94="Yes",1,0)</f>
        <v>0</v>
      </c>
      <c r="N95" s="162">
        <f>IF('EZ Data'!U94="Yes",1,0)</f>
        <v>0</v>
      </c>
      <c r="O95" s="189">
        <f>COUNTA('EZ Data'!BD94:BM94)</f>
        <v>1</v>
      </c>
      <c r="P95" s="190">
        <f t="shared" si="14"/>
        <v>2</v>
      </c>
      <c r="Q95" s="191">
        <f t="shared" si="19"/>
        <v>2</v>
      </c>
      <c r="R95" s="190">
        <f t="shared" si="15"/>
        <v>0</v>
      </c>
      <c r="S95" s="182">
        <f t="shared" si="16"/>
        <v>4</v>
      </c>
      <c r="T95" s="182">
        <f t="shared" si="17"/>
        <v>0</v>
      </c>
      <c r="U95" s="191">
        <f t="shared" si="20"/>
        <v>1.4</v>
      </c>
      <c r="V95" s="190">
        <v>0</v>
      </c>
      <c r="W95" s="182">
        <v>1</v>
      </c>
      <c r="X95" s="191">
        <f t="shared" si="21"/>
        <v>0.5</v>
      </c>
      <c r="Y95" s="187">
        <f t="shared" si="22"/>
        <v>0.65499999999999992</v>
      </c>
      <c r="Z95" s="188">
        <f t="shared" si="23"/>
        <v>99</v>
      </c>
    </row>
    <row r="96" spans="2:26" ht="14.5" customHeight="1" x14ac:dyDescent="0.35">
      <c r="B96" s="160">
        <v>92</v>
      </c>
      <c r="C96" s="169" t="s">
        <v>39</v>
      </c>
      <c r="D96" s="169" t="str">
        <f>'EZ Data'!D95</f>
        <v>Dhaka</v>
      </c>
      <c r="E96" s="169" t="str">
        <f>'EZ Data'!E95</f>
        <v>Narayanganj</v>
      </c>
      <c r="F96" s="169" t="str">
        <f>'EZ Data'!F95</f>
        <v>Sonargaon</v>
      </c>
      <c r="G96" s="201">
        <v>67.916300000000007</v>
      </c>
      <c r="H96" s="198" t="str">
        <f>'EZ Data'!J95</f>
        <v>N/A</v>
      </c>
      <c r="I96" s="198" t="str">
        <f>'EZ Data'!AS95</f>
        <v>A Grade</v>
      </c>
      <c r="J96" s="162">
        <f t="shared" si="18"/>
        <v>1</v>
      </c>
      <c r="K96" s="161"/>
      <c r="L96" s="162">
        <f>IF('EZ Data'!O95="Yes",1,0)</f>
        <v>0</v>
      </c>
      <c r="M96" s="162">
        <f>IF('EZ Data'!Q95="Yes",1,0)</f>
        <v>0</v>
      </c>
      <c r="N96" s="162">
        <f>IF('EZ Data'!U95="Yes",1,0)</f>
        <v>0</v>
      </c>
      <c r="O96" s="189">
        <f>COUNTA('EZ Data'!BD95:BM95)</f>
        <v>7</v>
      </c>
      <c r="P96" s="190">
        <f t="shared" si="14"/>
        <v>2</v>
      </c>
      <c r="Q96" s="191">
        <f t="shared" si="19"/>
        <v>2</v>
      </c>
      <c r="R96" s="190">
        <f t="shared" si="15"/>
        <v>0</v>
      </c>
      <c r="S96" s="182">
        <f t="shared" si="16"/>
        <v>4</v>
      </c>
      <c r="T96" s="182">
        <f t="shared" si="17"/>
        <v>0</v>
      </c>
      <c r="U96" s="191">
        <f t="shared" si="20"/>
        <v>1.4</v>
      </c>
      <c r="V96" s="190">
        <v>18</v>
      </c>
      <c r="W96" s="182">
        <v>18</v>
      </c>
      <c r="X96" s="191">
        <f t="shared" si="21"/>
        <v>18</v>
      </c>
      <c r="Y96" s="187">
        <f t="shared" si="22"/>
        <v>3.28</v>
      </c>
      <c r="Z96" s="188">
        <f t="shared" si="23"/>
        <v>16</v>
      </c>
    </row>
    <row r="97" spans="2:26" ht="14.5" customHeight="1" x14ac:dyDescent="0.35">
      <c r="B97" s="160">
        <v>93</v>
      </c>
      <c r="C97" s="169" t="s">
        <v>35</v>
      </c>
      <c r="D97" s="169" t="str">
        <f>'EZ Data'!D96</f>
        <v>Dhaka</v>
      </c>
      <c r="E97" s="169" t="str">
        <f>'EZ Data'!E96</f>
        <v>Narayanganj</v>
      </c>
      <c r="F97" s="169" t="str">
        <f>'EZ Data'!F96</f>
        <v>Sonargaon</v>
      </c>
      <c r="G97" s="201">
        <v>80</v>
      </c>
      <c r="H97" s="198" t="str">
        <f>'EZ Data'!J96</f>
        <v>N/A</v>
      </c>
      <c r="I97" s="198" t="str">
        <f>'EZ Data'!AS96</f>
        <v>A Grade</v>
      </c>
      <c r="J97" s="162">
        <f t="shared" si="18"/>
        <v>1</v>
      </c>
      <c r="K97" s="161"/>
      <c r="L97" s="162">
        <f>IF('EZ Data'!O96="Yes",1,0)</f>
        <v>0</v>
      </c>
      <c r="M97" s="162">
        <f>IF('EZ Data'!Q96="Yes",1,0)</f>
        <v>0</v>
      </c>
      <c r="N97" s="162">
        <f>IF('EZ Data'!U96="Yes",1,0)</f>
        <v>0</v>
      </c>
      <c r="O97" s="189">
        <f>COUNTA('EZ Data'!BD96:BM96)</f>
        <v>6</v>
      </c>
      <c r="P97" s="190">
        <f t="shared" si="14"/>
        <v>2</v>
      </c>
      <c r="Q97" s="191">
        <f t="shared" si="19"/>
        <v>2</v>
      </c>
      <c r="R97" s="190">
        <f t="shared" si="15"/>
        <v>0</v>
      </c>
      <c r="S97" s="182">
        <f t="shared" si="16"/>
        <v>4</v>
      </c>
      <c r="T97" s="182">
        <f t="shared" si="17"/>
        <v>0</v>
      </c>
      <c r="U97" s="191">
        <f t="shared" si="20"/>
        <v>1.4</v>
      </c>
      <c r="V97" s="190">
        <v>18</v>
      </c>
      <c r="W97" s="182">
        <v>18</v>
      </c>
      <c r="X97" s="191">
        <f t="shared" si="21"/>
        <v>18</v>
      </c>
      <c r="Y97" s="187">
        <f t="shared" si="22"/>
        <v>3.28</v>
      </c>
      <c r="Z97" s="188">
        <f t="shared" si="23"/>
        <v>16</v>
      </c>
    </row>
    <row r="98" spans="2:26" ht="14.5" customHeight="1" x14ac:dyDescent="0.35">
      <c r="B98" s="160">
        <v>94</v>
      </c>
      <c r="C98" s="169" t="s">
        <v>145</v>
      </c>
      <c r="D98" s="169" t="str">
        <f>'EZ Data'!D97</f>
        <v>Rajshahi</v>
      </c>
      <c r="E98" s="169" t="str">
        <f>'EZ Data'!E97</f>
        <v>Sirajganj</v>
      </c>
      <c r="F98" s="169" t="str">
        <f>'EZ Data'!F97</f>
        <v>Sirajganj Sadar, Belkuchi</v>
      </c>
      <c r="G98" s="201">
        <v>1035.93</v>
      </c>
      <c r="H98" s="198" t="str">
        <f>'EZ Data'!J97</f>
        <v>N/A</v>
      </c>
      <c r="I98" s="198" t="str">
        <f>'EZ Data'!AS97</f>
        <v>A Grade</v>
      </c>
      <c r="J98" s="162">
        <f t="shared" si="18"/>
        <v>1</v>
      </c>
      <c r="K98" s="161"/>
      <c r="L98" s="162">
        <f>IF('EZ Data'!O97="Yes",1,0)</f>
        <v>0</v>
      </c>
      <c r="M98" s="162">
        <f>IF('EZ Data'!Q97="Yes",1,0)</f>
        <v>0</v>
      </c>
      <c r="N98" s="162">
        <f>IF('EZ Data'!U97="Yes",1,0)</f>
        <v>0</v>
      </c>
      <c r="O98" s="189">
        <f>COUNTA('EZ Data'!BD97:BM97)</f>
        <v>8</v>
      </c>
      <c r="P98" s="190">
        <f t="shared" si="14"/>
        <v>4</v>
      </c>
      <c r="Q98" s="191">
        <f t="shared" si="19"/>
        <v>4</v>
      </c>
      <c r="R98" s="190">
        <f t="shared" si="15"/>
        <v>0</v>
      </c>
      <c r="S98" s="182">
        <f t="shared" si="16"/>
        <v>4</v>
      </c>
      <c r="T98" s="182">
        <f t="shared" si="17"/>
        <v>0</v>
      </c>
      <c r="U98" s="191">
        <f t="shared" si="20"/>
        <v>1.4</v>
      </c>
      <c r="V98" s="190">
        <v>2</v>
      </c>
      <c r="W98" s="182">
        <v>2</v>
      </c>
      <c r="X98" s="191">
        <f t="shared" si="21"/>
        <v>2</v>
      </c>
      <c r="Y98" s="187">
        <f t="shared" si="22"/>
        <v>1.18</v>
      </c>
      <c r="Z98" s="188">
        <f t="shared" si="23"/>
        <v>72</v>
      </c>
    </row>
    <row r="99" spans="2:26" ht="14.5" customHeight="1" x14ac:dyDescent="0.35">
      <c r="B99" s="160">
        <v>95</v>
      </c>
      <c r="C99" s="169" t="s">
        <v>51</v>
      </c>
      <c r="D99" s="169" t="str">
        <f>'EZ Data'!D98</f>
        <v>Dhaka</v>
      </c>
      <c r="E99" s="169" t="str">
        <f>'EZ Data'!E98</f>
        <v>Narayanganj</v>
      </c>
      <c r="F99" s="169" t="str">
        <f>'EZ Data'!F98</f>
        <v>Sonargaon</v>
      </c>
      <c r="G99" s="201">
        <v>300</v>
      </c>
      <c r="H99" s="198" t="str">
        <f>'EZ Data'!J98</f>
        <v>N/A</v>
      </c>
      <c r="I99" s="198" t="str">
        <f>'EZ Data'!AS98</f>
        <v>B Grade</v>
      </c>
      <c r="J99" s="162">
        <f t="shared" si="18"/>
        <v>1</v>
      </c>
      <c r="K99" s="161"/>
      <c r="L99" s="162">
        <f>IF('EZ Data'!O98="Yes",1,0)</f>
        <v>0</v>
      </c>
      <c r="M99" s="162">
        <f>IF('EZ Data'!Q98="Yes",1,0)</f>
        <v>0</v>
      </c>
      <c r="N99" s="162">
        <f>IF('EZ Data'!U98="Yes",1,0)</f>
        <v>0</v>
      </c>
      <c r="O99" s="189">
        <f>COUNTA('EZ Data'!BD98:BM98)</f>
        <v>0</v>
      </c>
      <c r="P99" s="190">
        <f t="shared" si="14"/>
        <v>3</v>
      </c>
      <c r="Q99" s="191">
        <f t="shared" si="19"/>
        <v>3</v>
      </c>
      <c r="R99" s="190">
        <f t="shared" si="15"/>
        <v>0</v>
      </c>
      <c r="S99" s="182">
        <f t="shared" si="16"/>
        <v>3</v>
      </c>
      <c r="T99" s="182">
        <f t="shared" si="17"/>
        <v>0</v>
      </c>
      <c r="U99" s="191">
        <f t="shared" si="20"/>
        <v>1.0499999999999998</v>
      </c>
      <c r="V99" s="190">
        <v>18</v>
      </c>
      <c r="W99" s="182">
        <v>18</v>
      </c>
      <c r="X99" s="191">
        <f t="shared" si="21"/>
        <v>18</v>
      </c>
      <c r="Y99" s="187">
        <f t="shared" si="22"/>
        <v>3.3599999999999994</v>
      </c>
      <c r="Z99" s="188">
        <f t="shared" si="23"/>
        <v>15</v>
      </c>
    </row>
    <row r="100" spans="2:26" ht="14.5" customHeight="1" x14ac:dyDescent="0.35">
      <c r="B100" s="160">
        <v>96</v>
      </c>
      <c r="C100" s="169" t="s">
        <v>160</v>
      </c>
      <c r="D100" s="169" t="str">
        <f>'EZ Data'!D99</f>
        <v>Dhaka</v>
      </c>
      <c r="E100" s="169" t="str">
        <f>'EZ Data'!E99</f>
        <v>Munshiganj</v>
      </c>
      <c r="F100" s="169" t="str">
        <f>'EZ Data'!F99</f>
        <v>Gajaria</v>
      </c>
      <c r="G100" s="201">
        <v>140</v>
      </c>
      <c r="H100" s="198" t="str">
        <f>'EZ Data'!J99</f>
        <v>N/A</v>
      </c>
      <c r="I100" s="198" t="str">
        <f>'EZ Data'!AS99</f>
        <v>B Grade</v>
      </c>
      <c r="J100" s="162">
        <f t="shared" si="18"/>
        <v>1</v>
      </c>
      <c r="K100" s="161"/>
      <c r="L100" s="162">
        <f>IF('EZ Data'!O99="Yes",1,0)</f>
        <v>0</v>
      </c>
      <c r="M100" s="162">
        <f>IF('EZ Data'!Q99="Yes",1,0)</f>
        <v>0</v>
      </c>
      <c r="N100" s="162">
        <f>IF('EZ Data'!U99="Yes",1,0)</f>
        <v>0</v>
      </c>
      <c r="O100" s="189">
        <f>COUNTA('EZ Data'!BD99:BM99)</f>
        <v>0</v>
      </c>
      <c r="P100" s="190">
        <f t="shared" si="14"/>
        <v>3</v>
      </c>
      <c r="Q100" s="191">
        <f t="shared" si="19"/>
        <v>3</v>
      </c>
      <c r="R100" s="190">
        <f t="shared" si="15"/>
        <v>0</v>
      </c>
      <c r="S100" s="182">
        <f t="shared" si="16"/>
        <v>3</v>
      </c>
      <c r="T100" s="182">
        <f t="shared" si="17"/>
        <v>0</v>
      </c>
      <c r="U100" s="191">
        <f t="shared" si="20"/>
        <v>1.0499999999999998</v>
      </c>
      <c r="V100" s="190">
        <v>5</v>
      </c>
      <c r="W100" s="182">
        <v>6</v>
      </c>
      <c r="X100" s="191">
        <f t="shared" si="21"/>
        <v>5.5</v>
      </c>
      <c r="Y100" s="187">
        <f t="shared" si="22"/>
        <v>1.4849999999999999</v>
      </c>
      <c r="Z100" s="188">
        <f t="shared" si="23"/>
        <v>50</v>
      </c>
    </row>
    <row r="101" spans="2:26" ht="14.5" customHeight="1" x14ac:dyDescent="0.35">
      <c r="B101" s="160">
        <v>97</v>
      </c>
      <c r="C101" s="169" t="s">
        <v>165</v>
      </c>
      <c r="D101" s="169" t="str">
        <f>'EZ Data'!D100</f>
        <v>Dhaka</v>
      </c>
      <c r="E101" s="169" t="str">
        <f>'EZ Data'!E100</f>
        <v>Dhaka</v>
      </c>
      <c r="F101" s="169" t="str">
        <f>'EZ Data'!F100</f>
        <v>Vatara &amp; Badda</v>
      </c>
      <c r="G101" s="201">
        <v>2.4300000000000002</v>
      </c>
      <c r="H101" s="198" t="str">
        <f>'EZ Data'!J100</f>
        <v>N/A</v>
      </c>
      <c r="I101" s="198" t="str">
        <f>'EZ Data'!AS100</f>
        <v>C Grade</v>
      </c>
      <c r="J101" s="162">
        <f t="shared" si="18"/>
        <v>1</v>
      </c>
      <c r="K101" s="161"/>
      <c r="L101" s="162">
        <f>IF('EZ Data'!O100="Yes",1,0)</f>
        <v>0</v>
      </c>
      <c r="M101" s="162">
        <f>IF('EZ Data'!Q100="Yes",1,0)</f>
        <v>0</v>
      </c>
      <c r="N101" s="162">
        <f>IF('EZ Data'!U100="Yes",1,0)</f>
        <v>0</v>
      </c>
      <c r="O101" s="189">
        <f>COUNTA('EZ Data'!BD100:BM100)</f>
        <v>1</v>
      </c>
      <c r="P101" s="190">
        <f t="shared" si="14"/>
        <v>2</v>
      </c>
      <c r="Q101" s="191">
        <f t="shared" si="19"/>
        <v>2</v>
      </c>
      <c r="R101" s="190">
        <f t="shared" si="15"/>
        <v>0</v>
      </c>
      <c r="S101" s="182">
        <f t="shared" si="16"/>
        <v>2</v>
      </c>
      <c r="T101" s="182">
        <f t="shared" si="17"/>
        <v>0</v>
      </c>
      <c r="U101" s="191">
        <f t="shared" si="20"/>
        <v>0.7</v>
      </c>
      <c r="V101" s="190">
        <v>15</v>
      </c>
      <c r="W101" s="182">
        <v>15</v>
      </c>
      <c r="X101" s="191">
        <f t="shared" si="21"/>
        <v>15</v>
      </c>
      <c r="Y101" s="187">
        <f t="shared" si="22"/>
        <v>2.69</v>
      </c>
      <c r="Z101" s="188">
        <f t="shared" si="23"/>
        <v>27</v>
      </c>
    </row>
    <row r="102" spans="2:26" ht="14.5" customHeight="1" x14ac:dyDescent="0.35">
      <c r="B102" s="160" t="s">
        <v>245</v>
      </c>
      <c r="C102" s="169" t="s">
        <v>246</v>
      </c>
      <c r="D102" s="169" t="str">
        <f>'EZ Data'!D101</f>
        <v>Chattogram</v>
      </c>
      <c r="E102" s="169" t="str">
        <f>'EZ Data'!E101</f>
        <v>Lakshmipur</v>
      </c>
      <c r="F102" s="169" t="str">
        <f>'EZ Data'!F101</f>
        <v>-</v>
      </c>
      <c r="G102" s="201"/>
      <c r="H102" s="198" t="str">
        <f>'EZ Data'!J101</f>
        <v>Priority 2</v>
      </c>
      <c r="I102" s="198" t="str">
        <f>'EZ Data'!AS101</f>
        <v>-</v>
      </c>
      <c r="J102" s="162">
        <f t="shared" si="18"/>
        <v>1</v>
      </c>
      <c r="K102" s="161"/>
      <c r="L102" s="162">
        <f>IF('EZ Data'!O101="Yes",1,0)</f>
        <v>0</v>
      </c>
      <c r="M102" s="162">
        <f>IF('EZ Data'!Q101="Yes",1,0)</f>
        <v>0</v>
      </c>
      <c r="N102" s="162">
        <f>IF('EZ Data'!U101="Yes",1,0)</f>
        <v>0</v>
      </c>
      <c r="O102" s="189">
        <f>COUNTA('EZ Data'!BD101:BM101)</f>
        <v>0</v>
      </c>
      <c r="P102" s="190">
        <f t="shared" si="14"/>
        <v>2</v>
      </c>
      <c r="Q102" s="191">
        <f t="shared" si="19"/>
        <v>2</v>
      </c>
      <c r="R102" s="190">
        <f t="shared" si="15"/>
        <v>3</v>
      </c>
      <c r="S102" s="182">
        <f t="shared" si="16"/>
        <v>0</v>
      </c>
      <c r="T102" s="182">
        <f t="shared" si="17"/>
        <v>0</v>
      </c>
      <c r="U102" s="191">
        <f t="shared" si="20"/>
        <v>1.2000000000000002</v>
      </c>
      <c r="V102" s="190">
        <v>0</v>
      </c>
      <c r="W102" s="182">
        <v>0</v>
      </c>
      <c r="X102" s="191">
        <f t="shared" si="21"/>
        <v>0</v>
      </c>
      <c r="Y102" s="187">
        <f t="shared" si="22"/>
        <v>0.54</v>
      </c>
      <c r="Z102" s="188">
        <f t="shared" si="23"/>
        <v>100</v>
      </c>
    </row>
    <row r="103" spans="2:26" ht="14.5" customHeight="1" x14ac:dyDescent="0.35">
      <c r="B103" s="160" t="s">
        <v>229</v>
      </c>
      <c r="C103" s="169" t="s">
        <v>230</v>
      </c>
      <c r="D103" s="169" t="str">
        <f>'EZ Data'!D102</f>
        <v>Khulna</v>
      </c>
      <c r="E103" s="169" t="str">
        <f>'EZ Data'!E102</f>
        <v>Magura</v>
      </c>
      <c r="F103" s="169" t="str">
        <f>'EZ Data'!F102</f>
        <v>-</v>
      </c>
      <c r="G103" s="201"/>
      <c r="H103" s="198" t="str">
        <f>'EZ Data'!J102</f>
        <v>Priority 2</v>
      </c>
      <c r="I103" s="198" t="str">
        <f>'EZ Data'!AS102</f>
        <v>C Grade</v>
      </c>
      <c r="J103" s="162">
        <f t="shared" si="18"/>
        <v>1</v>
      </c>
      <c r="K103" s="161"/>
      <c r="L103" s="162">
        <f>IF('EZ Data'!O102="Yes",1,0)</f>
        <v>0</v>
      </c>
      <c r="M103" s="162">
        <f>IF('EZ Data'!Q102="Yes",1,0)</f>
        <v>0</v>
      </c>
      <c r="N103" s="162">
        <f>IF('EZ Data'!U102="Yes",1,0)</f>
        <v>0</v>
      </c>
      <c r="O103" s="189">
        <f>COUNTA('EZ Data'!BD102:BM102)</f>
        <v>0</v>
      </c>
      <c r="P103" s="190">
        <f t="shared" si="14"/>
        <v>2</v>
      </c>
      <c r="Q103" s="191">
        <f t="shared" si="19"/>
        <v>2</v>
      </c>
      <c r="R103" s="190">
        <f t="shared" si="15"/>
        <v>3</v>
      </c>
      <c r="S103" s="182">
        <f t="shared" si="16"/>
        <v>2</v>
      </c>
      <c r="T103" s="182">
        <f t="shared" si="17"/>
        <v>0</v>
      </c>
      <c r="U103" s="191">
        <f t="shared" si="20"/>
        <v>1.9000000000000001</v>
      </c>
      <c r="V103" s="190">
        <v>0</v>
      </c>
      <c r="W103" s="182">
        <v>1</v>
      </c>
      <c r="X103" s="191">
        <f t="shared" si="21"/>
        <v>0.5</v>
      </c>
      <c r="Y103" s="187">
        <f t="shared" si="22"/>
        <v>0.755</v>
      </c>
      <c r="Z103" s="188">
        <f t="shared" si="23"/>
        <v>95</v>
      </c>
    </row>
    <row r="104" spans="2:26" ht="14.5" customHeight="1" x14ac:dyDescent="0.35">
      <c r="B104" s="160" t="s">
        <v>177</v>
      </c>
      <c r="C104" s="169" t="s">
        <v>178</v>
      </c>
      <c r="D104" s="169" t="str">
        <f>'EZ Data'!D103</f>
        <v>Khulna</v>
      </c>
      <c r="E104" s="169" t="str">
        <f>'EZ Data'!E103</f>
        <v>Sathkira</v>
      </c>
      <c r="F104" s="169" t="str">
        <f>'EZ Data'!F103</f>
        <v>-</v>
      </c>
      <c r="G104" s="201"/>
      <c r="H104" s="198" t="str">
        <f>'EZ Data'!J103</f>
        <v>Priority 2</v>
      </c>
      <c r="I104" s="198" t="str">
        <f>'EZ Data'!AS103</f>
        <v>B Grade</v>
      </c>
      <c r="J104" s="162">
        <f t="shared" si="18"/>
        <v>1</v>
      </c>
      <c r="K104" s="161"/>
      <c r="L104" s="162">
        <f>IF('EZ Data'!O103="Yes",1,0)</f>
        <v>0</v>
      </c>
      <c r="M104" s="162">
        <f>IF('EZ Data'!Q103="Yes",1,0)</f>
        <v>0</v>
      </c>
      <c r="N104" s="162">
        <f>IF('EZ Data'!U103="Yes",1,0)</f>
        <v>0</v>
      </c>
      <c r="O104" s="189">
        <f>COUNTA('EZ Data'!BD103:BM103)</f>
        <v>0</v>
      </c>
      <c r="P104" s="190">
        <f t="shared" si="14"/>
        <v>2</v>
      </c>
      <c r="Q104" s="191">
        <f t="shared" si="19"/>
        <v>2</v>
      </c>
      <c r="R104" s="190">
        <f t="shared" si="15"/>
        <v>3</v>
      </c>
      <c r="S104" s="182">
        <f t="shared" si="16"/>
        <v>3</v>
      </c>
      <c r="T104" s="182">
        <f t="shared" si="17"/>
        <v>0</v>
      </c>
      <c r="U104" s="191">
        <f t="shared" si="20"/>
        <v>2.25</v>
      </c>
      <c r="V104" s="190">
        <v>0</v>
      </c>
      <c r="W104" s="182">
        <v>1</v>
      </c>
      <c r="X104" s="191">
        <f t="shared" si="21"/>
        <v>0.5</v>
      </c>
      <c r="Y104" s="187">
        <f t="shared" si="22"/>
        <v>0.82499999999999996</v>
      </c>
      <c r="Z104" s="188">
        <f t="shared" si="23"/>
        <v>93</v>
      </c>
    </row>
    <row r="105" spans="2:26" ht="14.5" customHeight="1" thickBot="1" x14ac:dyDescent="0.4">
      <c r="B105" s="160" t="s">
        <v>225</v>
      </c>
      <c r="C105" s="169" t="s">
        <v>226</v>
      </c>
      <c r="D105" s="169" t="str">
        <f>'EZ Data'!D104</f>
        <v>-</v>
      </c>
      <c r="E105" s="169" t="str">
        <f>'EZ Data'!E104</f>
        <v>-</v>
      </c>
      <c r="F105" s="169" t="str">
        <f>'EZ Data'!F104</f>
        <v>-</v>
      </c>
      <c r="G105" s="201">
        <v>20315.810000000001</v>
      </c>
      <c r="H105" s="198" t="str">
        <f>'EZ Data'!J104</f>
        <v>-</v>
      </c>
      <c r="I105" s="198" t="str">
        <f>'EZ Data'!AS104</f>
        <v>-</v>
      </c>
      <c r="J105" s="162">
        <f t="shared" si="18"/>
        <v>1</v>
      </c>
      <c r="K105" s="161"/>
      <c r="L105" s="162">
        <f>IF('EZ Data'!O104="Yes",1,0)</f>
        <v>0</v>
      </c>
      <c r="M105" s="162">
        <f>IF('EZ Data'!Q104="Yes",1,0)</f>
        <v>0</v>
      </c>
      <c r="N105" s="162">
        <f>IF('EZ Data'!U104="Yes",1,0)</f>
        <v>0</v>
      </c>
      <c r="O105" s="189">
        <f>COUNTA('EZ Data'!BD104:BM104)</f>
        <v>0</v>
      </c>
      <c r="P105" s="192">
        <f t="shared" si="14"/>
        <v>4</v>
      </c>
      <c r="Q105" s="193">
        <f t="shared" si="19"/>
        <v>4</v>
      </c>
      <c r="R105" s="192">
        <f t="shared" si="15"/>
        <v>0</v>
      </c>
      <c r="S105" s="194">
        <f t="shared" si="16"/>
        <v>0</v>
      </c>
      <c r="T105" s="194">
        <f t="shared" si="17"/>
        <v>0</v>
      </c>
      <c r="U105" s="193">
        <f t="shared" si="20"/>
        <v>0</v>
      </c>
      <c r="V105" s="192">
        <f>VLOOKUP(O105,$AB$19:$AC$22,2,TRUE)</f>
        <v>1</v>
      </c>
      <c r="W105" s="194"/>
      <c r="X105" s="193">
        <f t="shared" si="21"/>
        <v>0.5</v>
      </c>
      <c r="Y105" s="195">
        <f t="shared" si="22"/>
        <v>0.67499999999999993</v>
      </c>
      <c r="Z105" s="196">
        <f t="shared" si="23"/>
        <v>98</v>
      </c>
    </row>
  </sheetData>
  <mergeCells count="14">
    <mergeCell ref="P1:Q1"/>
    <mergeCell ref="R1:U1"/>
    <mergeCell ref="V1:X1"/>
    <mergeCell ref="V2:X2"/>
    <mergeCell ref="AH11:AI11"/>
    <mergeCell ref="Y1:Z1"/>
    <mergeCell ref="AB18:AC18"/>
    <mergeCell ref="AE18:AF18"/>
    <mergeCell ref="P2:Q2"/>
    <mergeCell ref="R2:U2"/>
    <mergeCell ref="Y2:Z2"/>
    <mergeCell ref="AB5:AC5"/>
    <mergeCell ref="AB11:AC11"/>
    <mergeCell ref="AE11:AF11"/>
  </mergeCells>
  <conditionalFormatting sqref="Z5:Z105">
    <cfRule type="cellIs" dxfId="589" priority="1" operator="between">
      <formula>1</formula>
      <formula>20</formula>
    </cfRule>
  </conditionalFormatting>
  <pageMargins left="0.7" right="0.7" top="0.75" bottom="0.75" header="0.3" footer="0.3"/>
  <pageSetup orientation="portrait"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0D305-E968-404A-A3D5-8FC9399F39A5}">
  <dimension ref="B2:F101"/>
  <sheetViews>
    <sheetView workbookViewId="0"/>
  </sheetViews>
  <sheetFormatPr defaultColWidth="8.81640625" defaultRowHeight="13.5" x14ac:dyDescent="0.3"/>
  <cols>
    <col min="1" max="1" width="3.1796875" style="97" customWidth="1"/>
    <col min="2" max="2" width="8.81640625" style="96"/>
    <col min="3" max="3" width="37.54296875" style="97" customWidth="1"/>
    <col min="4" max="4" width="15.54296875" style="97" customWidth="1"/>
    <col min="5" max="5" width="21.81640625" style="97" customWidth="1"/>
    <col min="6" max="16384" width="8.81640625" style="97"/>
  </cols>
  <sheetData>
    <row r="2" spans="2:6" ht="18.75" customHeight="1" x14ac:dyDescent="0.3">
      <c r="B2" s="838" t="s">
        <v>1139</v>
      </c>
      <c r="C2" s="839"/>
    </row>
    <row r="4" spans="2:6" ht="28.5" customHeight="1" x14ac:dyDescent="0.3">
      <c r="B4" s="69" t="s">
        <v>1140</v>
      </c>
      <c r="C4" s="108" t="s">
        <v>1141</v>
      </c>
      <c r="D4" s="108" t="s">
        <v>7</v>
      </c>
      <c r="E4" s="108" t="s">
        <v>8</v>
      </c>
      <c r="F4" s="98"/>
    </row>
    <row r="5" spans="2:6" x14ac:dyDescent="0.3">
      <c r="B5" s="99">
        <v>1</v>
      </c>
      <c r="C5" s="100" t="s">
        <v>42</v>
      </c>
      <c r="D5" s="101" t="s">
        <v>68</v>
      </c>
      <c r="E5" s="101" t="s">
        <v>81</v>
      </c>
      <c r="F5" s="98"/>
    </row>
    <row r="6" spans="2:6" x14ac:dyDescent="0.3">
      <c r="B6" s="99">
        <v>2</v>
      </c>
      <c r="C6" s="100" t="s">
        <v>1107</v>
      </c>
      <c r="D6" s="101" t="s">
        <v>68</v>
      </c>
      <c r="E6" s="101" t="s">
        <v>81</v>
      </c>
      <c r="F6" s="98"/>
    </row>
    <row r="7" spans="2:6" ht="27" x14ac:dyDescent="0.3">
      <c r="B7" s="99">
        <v>3</v>
      </c>
      <c r="C7" s="100" t="s">
        <v>1142</v>
      </c>
      <c r="D7" s="101" t="s">
        <v>68</v>
      </c>
      <c r="E7" s="101" t="s">
        <v>71</v>
      </c>
      <c r="F7" s="98"/>
    </row>
    <row r="8" spans="2:6" x14ac:dyDescent="0.3">
      <c r="B8" s="99">
        <v>4</v>
      </c>
      <c r="C8" s="100" t="s">
        <v>36</v>
      </c>
      <c r="D8" s="101" t="s">
        <v>95</v>
      </c>
      <c r="E8" s="101" t="s">
        <v>96</v>
      </c>
      <c r="F8" s="98"/>
    </row>
    <row r="9" spans="2:6" x14ac:dyDescent="0.3">
      <c r="B9" s="99">
        <v>5</v>
      </c>
      <c r="C9" s="100" t="s">
        <v>37</v>
      </c>
      <c r="D9" s="101" t="s">
        <v>97</v>
      </c>
      <c r="E9" s="101" t="s">
        <v>98</v>
      </c>
      <c r="F9" s="98"/>
    </row>
    <row r="10" spans="2:6" x14ac:dyDescent="0.3">
      <c r="B10" s="99">
        <v>6</v>
      </c>
      <c r="C10" s="100" t="s">
        <v>175</v>
      </c>
      <c r="D10" s="101" t="s">
        <v>107</v>
      </c>
      <c r="E10" s="101" t="s">
        <v>176</v>
      </c>
      <c r="F10" s="98"/>
    </row>
    <row r="11" spans="2:6" x14ac:dyDescent="0.3">
      <c r="B11" s="99">
        <v>7</v>
      </c>
      <c r="C11" s="100" t="s">
        <v>20</v>
      </c>
      <c r="D11" s="101" t="s">
        <v>74</v>
      </c>
      <c r="E11" s="101" t="s">
        <v>75</v>
      </c>
      <c r="F11" s="98"/>
    </row>
    <row r="12" spans="2:6" x14ac:dyDescent="0.3">
      <c r="B12" s="99">
        <v>8</v>
      </c>
      <c r="C12" s="100" t="s">
        <v>26</v>
      </c>
      <c r="D12" s="101" t="s">
        <v>76</v>
      </c>
      <c r="E12" s="101" t="s">
        <v>87</v>
      </c>
      <c r="F12" s="98"/>
    </row>
    <row r="13" spans="2:6" x14ac:dyDescent="0.3">
      <c r="B13" s="99">
        <v>9</v>
      </c>
      <c r="C13" s="100" t="s">
        <v>43</v>
      </c>
      <c r="D13" s="101" t="s">
        <v>105</v>
      </c>
      <c r="E13" s="101" t="s">
        <v>106</v>
      </c>
      <c r="F13" s="98"/>
    </row>
    <row r="14" spans="2:6" ht="27" x14ac:dyDescent="0.3">
      <c r="B14" s="99">
        <v>10</v>
      </c>
      <c r="C14" s="100" t="s">
        <v>29</v>
      </c>
      <c r="D14" s="101" t="s">
        <v>77</v>
      </c>
      <c r="E14" s="101" t="s">
        <v>89</v>
      </c>
      <c r="F14" s="98"/>
    </row>
    <row r="15" spans="2:6" x14ac:dyDescent="0.3">
      <c r="B15" s="99">
        <v>11</v>
      </c>
      <c r="C15" s="100" t="s">
        <v>62</v>
      </c>
      <c r="D15" s="101" t="s">
        <v>134</v>
      </c>
      <c r="E15" s="101" t="s">
        <v>135</v>
      </c>
      <c r="F15" s="98"/>
    </row>
    <row r="16" spans="2:6" x14ac:dyDescent="0.3">
      <c r="B16" s="99">
        <v>12</v>
      </c>
      <c r="C16" s="100" t="s">
        <v>242</v>
      </c>
      <c r="D16" s="101" t="s">
        <v>243</v>
      </c>
      <c r="E16" s="101" t="s">
        <v>244</v>
      </c>
      <c r="F16" s="98"/>
    </row>
    <row r="17" spans="2:6" x14ac:dyDescent="0.3">
      <c r="B17" s="99">
        <v>13</v>
      </c>
      <c r="C17" s="100" t="s">
        <v>55</v>
      </c>
      <c r="D17" s="101" t="s">
        <v>122</v>
      </c>
      <c r="E17" s="101" t="s">
        <v>123</v>
      </c>
      <c r="F17" s="98"/>
    </row>
    <row r="18" spans="2:6" x14ac:dyDescent="0.3">
      <c r="B18" s="99">
        <v>14</v>
      </c>
      <c r="C18" s="100" t="s">
        <v>1111</v>
      </c>
      <c r="D18" s="101" t="s">
        <v>1112</v>
      </c>
      <c r="E18" s="101" t="s">
        <v>1113</v>
      </c>
      <c r="F18" s="98"/>
    </row>
    <row r="19" spans="2:6" x14ac:dyDescent="0.3">
      <c r="B19" s="99">
        <v>15</v>
      </c>
      <c r="C19" s="100" t="s">
        <v>59</v>
      </c>
      <c r="D19" s="101" t="s">
        <v>128</v>
      </c>
      <c r="E19" s="101" t="s">
        <v>129</v>
      </c>
      <c r="F19" s="98"/>
    </row>
    <row r="20" spans="2:6" x14ac:dyDescent="0.3">
      <c r="B20" s="99">
        <v>16</v>
      </c>
      <c r="C20" s="100" t="s">
        <v>25</v>
      </c>
      <c r="D20" s="101" t="s">
        <v>85</v>
      </c>
      <c r="E20" s="101" t="s">
        <v>86</v>
      </c>
      <c r="F20" s="98"/>
    </row>
    <row r="21" spans="2:6" x14ac:dyDescent="0.3">
      <c r="B21" s="99">
        <v>17</v>
      </c>
      <c r="C21" s="100" t="s">
        <v>53</v>
      </c>
      <c r="D21" s="101" t="s">
        <v>119</v>
      </c>
      <c r="E21" s="101" t="s">
        <v>120</v>
      </c>
      <c r="F21" s="98"/>
    </row>
    <row r="22" spans="2:6" ht="27" x14ac:dyDescent="0.3">
      <c r="B22" s="99">
        <v>18</v>
      </c>
      <c r="C22" s="100" t="s">
        <v>892</v>
      </c>
      <c r="D22" s="101" t="s">
        <v>124</v>
      </c>
      <c r="E22" s="101" t="s">
        <v>125</v>
      </c>
      <c r="F22" s="98"/>
    </row>
    <row r="23" spans="2:6" x14ac:dyDescent="0.3">
      <c r="B23" s="99">
        <v>19</v>
      </c>
      <c r="C23" s="100" t="s">
        <v>45</v>
      </c>
      <c r="D23" s="101" t="s">
        <v>76</v>
      </c>
      <c r="E23" s="101" t="s">
        <v>109</v>
      </c>
      <c r="F23" s="98"/>
    </row>
    <row r="24" spans="2:6" x14ac:dyDescent="0.3">
      <c r="B24" s="99">
        <v>20</v>
      </c>
      <c r="C24" s="100" t="s">
        <v>151</v>
      </c>
      <c r="D24" s="101" t="s">
        <v>152</v>
      </c>
      <c r="E24" s="101" t="s">
        <v>153</v>
      </c>
      <c r="F24" s="98"/>
    </row>
    <row r="25" spans="2:6" x14ac:dyDescent="0.3">
      <c r="B25" s="99">
        <v>21</v>
      </c>
      <c r="C25" s="100" t="s">
        <v>61</v>
      </c>
      <c r="D25" s="101" t="s">
        <v>132</v>
      </c>
      <c r="E25" s="101" t="s">
        <v>133</v>
      </c>
      <c r="F25" s="98"/>
    </row>
    <row r="26" spans="2:6" x14ac:dyDescent="0.3">
      <c r="B26" s="99">
        <v>22</v>
      </c>
      <c r="C26" s="100" t="s">
        <v>138</v>
      </c>
      <c r="D26" s="101" t="s">
        <v>132</v>
      </c>
      <c r="E26" s="101" t="s">
        <v>139</v>
      </c>
      <c r="F26" s="98"/>
    </row>
    <row r="27" spans="2:6" x14ac:dyDescent="0.3">
      <c r="B27" s="99">
        <v>23</v>
      </c>
      <c r="C27" s="100" t="s">
        <v>28</v>
      </c>
      <c r="D27" s="101" t="s">
        <v>74</v>
      </c>
      <c r="E27" s="101" t="s">
        <v>75</v>
      </c>
      <c r="F27" s="98"/>
    </row>
    <row r="28" spans="2:6" ht="27" x14ac:dyDescent="0.3">
      <c r="B28" s="99">
        <v>24</v>
      </c>
      <c r="C28" s="100" t="s">
        <v>157</v>
      </c>
      <c r="D28" s="101" t="s">
        <v>74</v>
      </c>
      <c r="E28" s="101" t="s">
        <v>88</v>
      </c>
      <c r="F28" s="98"/>
    </row>
    <row r="29" spans="2:6" ht="27" x14ac:dyDescent="0.3">
      <c r="B29" s="99">
        <v>25</v>
      </c>
      <c r="C29" s="100" t="s">
        <v>56</v>
      </c>
      <c r="D29" s="101" t="s">
        <v>74</v>
      </c>
      <c r="E29" s="101" t="s">
        <v>88</v>
      </c>
      <c r="F29" s="98"/>
    </row>
    <row r="30" spans="2:6" ht="27" x14ac:dyDescent="0.3">
      <c r="B30" s="99">
        <v>26</v>
      </c>
      <c r="C30" s="100" t="s">
        <v>215</v>
      </c>
      <c r="D30" s="101" t="s">
        <v>74</v>
      </c>
      <c r="E30" s="101" t="s">
        <v>88</v>
      </c>
      <c r="F30" s="98"/>
    </row>
    <row r="31" spans="2:6" ht="27" x14ac:dyDescent="0.3">
      <c r="B31" s="99">
        <v>27</v>
      </c>
      <c r="C31" s="100" t="s">
        <v>27</v>
      </c>
      <c r="D31" s="101" t="s">
        <v>74</v>
      </c>
      <c r="E31" s="101" t="s">
        <v>88</v>
      </c>
      <c r="F31" s="98"/>
    </row>
    <row r="32" spans="2:6" ht="27" x14ac:dyDescent="0.3">
      <c r="B32" s="99">
        <v>28</v>
      </c>
      <c r="C32" s="100" t="s">
        <v>164</v>
      </c>
      <c r="D32" s="101" t="s">
        <v>77</v>
      </c>
      <c r="E32" s="101" t="s">
        <v>93</v>
      </c>
      <c r="F32" s="98"/>
    </row>
    <row r="33" spans="2:6" x14ac:dyDescent="0.3">
      <c r="B33" s="99">
        <v>29</v>
      </c>
      <c r="C33" s="100" t="s">
        <v>60</v>
      </c>
      <c r="D33" s="101" t="s">
        <v>130</v>
      </c>
      <c r="E33" s="101" t="s">
        <v>131</v>
      </c>
      <c r="F33" s="98"/>
    </row>
    <row r="34" spans="2:6" x14ac:dyDescent="0.3">
      <c r="B34" s="99">
        <v>30</v>
      </c>
      <c r="C34" s="100" t="s">
        <v>24</v>
      </c>
      <c r="D34" s="101" t="s">
        <v>82</v>
      </c>
      <c r="E34" s="101" t="s">
        <v>83</v>
      </c>
      <c r="F34" s="98"/>
    </row>
    <row r="35" spans="2:6" x14ac:dyDescent="0.3">
      <c r="B35" s="99">
        <v>31</v>
      </c>
      <c r="C35" s="102" t="s">
        <v>1143</v>
      </c>
      <c r="D35" s="101" t="s">
        <v>77</v>
      </c>
      <c r="E35" s="101" t="s">
        <v>1144</v>
      </c>
      <c r="F35" s="98"/>
    </row>
    <row r="36" spans="2:6" ht="27" x14ac:dyDescent="0.3">
      <c r="B36" s="99">
        <v>32</v>
      </c>
      <c r="C36" s="102" t="s">
        <v>158</v>
      </c>
      <c r="D36" s="101" t="s">
        <v>74</v>
      </c>
      <c r="E36" s="101" t="s">
        <v>88</v>
      </c>
      <c r="F36" s="98"/>
    </row>
    <row r="37" spans="2:6" x14ac:dyDescent="0.3">
      <c r="B37" s="99">
        <v>33</v>
      </c>
      <c r="C37" s="100" t="s">
        <v>248</v>
      </c>
      <c r="D37" s="101" t="s">
        <v>113</v>
      </c>
      <c r="E37" s="101" t="s">
        <v>1145</v>
      </c>
      <c r="F37" s="98"/>
    </row>
    <row r="38" spans="2:6" ht="27" x14ac:dyDescent="0.3">
      <c r="B38" s="99">
        <v>34</v>
      </c>
      <c r="C38" s="100" t="s">
        <v>1146</v>
      </c>
      <c r="D38" s="101" t="s">
        <v>1147</v>
      </c>
      <c r="E38" s="101" t="s">
        <v>1148</v>
      </c>
      <c r="F38" s="98"/>
    </row>
    <row r="39" spans="2:6" x14ac:dyDescent="0.3">
      <c r="B39" s="99">
        <v>35</v>
      </c>
      <c r="C39" s="100" t="s">
        <v>18</v>
      </c>
      <c r="D39" s="101" t="s">
        <v>72</v>
      </c>
      <c r="E39" s="101" t="s">
        <v>73</v>
      </c>
      <c r="F39" s="98"/>
    </row>
    <row r="40" spans="2:6" ht="27" x14ac:dyDescent="0.3">
      <c r="B40" s="99">
        <v>36</v>
      </c>
      <c r="C40" s="100" t="s">
        <v>64</v>
      </c>
      <c r="D40" s="101" t="s">
        <v>97</v>
      </c>
      <c r="E40" s="101" t="s">
        <v>98</v>
      </c>
      <c r="F40" s="98"/>
    </row>
    <row r="41" spans="2:6" x14ac:dyDescent="0.3">
      <c r="B41" s="99">
        <v>37</v>
      </c>
      <c r="C41" s="100" t="s">
        <v>218</v>
      </c>
      <c r="D41" s="101" t="s">
        <v>82</v>
      </c>
      <c r="E41" s="101" t="s">
        <v>219</v>
      </c>
      <c r="F41" s="98"/>
    </row>
    <row r="42" spans="2:6" x14ac:dyDescent="0.3">
      <c r="B42" s="99">
        <v>38</v>
      </c>
      <c r="C42" s="102" t="s">
        <v>199</v>
      </c>
      <c r="D42" s="101" t="s">
        <v>68</v>
      </c>
      <c r="E42" s="101" t="s">
        <v>200</v>
      </c>
      <c r="F42" s="98"/>
    </row>
    <row r="43" spans="2:6" ht="27" x14ac:dyDescent="0.3">
      <c r="B43" s="99">
        <v>39</v>
      </c>
      <c r="C43" s="100" t="s">
        <v>1103</v>
      </c>
      <c r="D43" s="101" t="s">
        <v>74</v>
      </c>
      <c r="E43" s="101" t="s">
        <v>88</v>
      </c>
      <c r="F43" s="98"/>
    </row>
    <row r="44" spans="2:6" x14ac:dyDescent="0.3">
      <c r="B44" s="99">
        <v>40</v>
      </c>
      <c r="C44" s="100" t="s">
        <v>227</v>
      </c>
      <c r="D44" s="101" t="s">
        <v>97</v>
      </c>
      <c r="E44" s="101" t="s">
        <v>228</v>
      </c>
      <c r="F44" s="98"/>
    </row>
    <row r="45" spans="2:6" x14ac:dyDescent="0.3">
      <c r="B45" s="99">
        <v>41</v>
      </c>
      <c r="C45" s="100" t="s">
        <v>49</v>
      </c>
      <c r="D45" s="101" t="s">
        <v>114</v>
      </c>
      <c r="E45" s="101" t="s">
        <v>115</v>
      </c>
      <c r="F45" s="98"/>
    </row>
    <row r="46" spans="2:6" x14ac:dyDescent="0.3">
      <c r="B46" s="99">
        <v>42</v>
      </c>
      <c r="C46" s="100" t="s">
        <v>149</v>
      </c>
      <c r="D46" s="101" t="s">
        <v>84</v>
      </c>
      <c r="E46" s="101" t="s">
        <v>150</v>
      </c>
      <c r="F46" s="98"/>
    </row>
    <row r="47" spans="2:6" x14ac:dyDescent="0.3">
      <c r="B47" s="99">
        <v>43</v>
      </c>
      <c r="C47" s="100" t="s">
        <v>186</v>
      </c>
      <c r="D47" s="101" t="s">
        <v>84</v>
      </c>
      <c r="E47" s="101" t="s">
        <v>187</v>
      </c>
      <c r="F47" s="98"/>
    </row>
    <row r="48" spans="2:6" x14ac:dyDescent="0.3">
      <c r="B48" s="99">
        <v>44</v>
      </c>
      <c r="C48" s="100" t="s">
        <v>50</v>
      </c>
      <c r="D48" s="101" t="s">
        <v>94</v>
      </c>
      <c r="E48" s="101" t="s">
        <v>1149</v>
      </c>
      <c r="F48" s="98"/>
    </row>
    <row r="49" spans="2:6" x14ac:dyDescent="0.3">
      <c r="B49" s="99">
        <v>45</v>
      </c>
      <c r="C49" s="100" t="s">
        <v>172</v>
      </c>
      <c r="D49" s="101" t="s">
        <v>173</v>
      </c>
      <c r="E49" s="101" t="s">
        <v>174</v>
      </c>
      <c r="F49" s="98"/>
    </row>
    <row r="50" spans="2:6" x14ac:dyDescent="0.3">
      <c r="B50" s="99">
        <v>46</v>
      </c>
      <c r="C50" s="100" t="s">
        <v>58</v>
      </c>
      <c r="D50" s="101" t="s">
        <v>126</v>
      </c>
      <c r="E50" s="101" t="s">
        <v>127</v>
      </c>
      <c r="F50" s="98"/>
    </row>
    <row r="51" spans="2:6" ht="27" x14ac:dyDescent="0.3">
      <c r="B51" s="99">
        <v>47</v>
      </c>
      <c r="C51" s="100" t="s">
        <v>216</v>
      </c>
      <c r="D51" s="101" t="s">
        <v>74</v>
      </c>
      <c r="E51" s="101" t="s">
        <v>217</v>
      </c>
      <c r="F51" s="98"/>
    </row>
    <row r="52" spans="2:6" ht="27" x14ac:dyDescent="0.3">
      <c r="B52" s="99">
        <v>48</v>
      </c>
      <c r="C52" s="100" t="s">
        <v>195</v>
      </c>
      <c r="D52" s="101" t="s">
        <v>104</v>
      </c>
      <c r="E52" s="101" t="s">
        <v>196</v>
      </c>
      <c r="F52" s="98"/>
    </row>
    <row r="53" spans="2:6" x14ac:dyDescent="0.3">
      <c r="B53" s="99">
        <v>49</v>
      </c>
      <c r="C53" s="100" t="s">
        <v>167</v>
      </c>
      <c r="D53" s="101" t="s">
        <v>104</v>
      </c>
      <c r="E53" s="101" t="s">
        <v>168</v>
      </c>
      <c r="F53" s="98"/>
    </row>
    <row r="54" spans="2:6" ht="27" x14ac:dyDescent="0.3">
      <c r="B54" s="99">
        <v>50</v>
      </c>
      <c r="C54" s="100" t="s">
        <v>220</v>
      </c>
      <c r="D54" s="101" t="s">
        <v>221</v>
      </c>
      <c r="E54" s="101" t="s">
        <v>222</v>
      </c>
      <c r="F54" s="98"/>
    </row>
    <row r="55" spans="2:6" x14ac:dyDescent="0.3">
      <c r="B55" s="99">
        <v>51</v>
      </c>
      <c r="C55" s="100" t="s">
        <v>845</v>
      </c>
      <c r="D55" s="101" t="s">
        <v>77</v>
      </c>
      <c r="E55" s="101" t="s">
        <v>78</v>
      </c>
      <c r="F55" s="98"/>
    </row>
    <row r="56" spans="2:6" x14ac:dyDescent="0.3">
      <c r="B56" s="99">
        <v>52</v>
      </c>
      <c r="C56" s="100" t="s">
        <v>1150</v>
      </c>
      <c r="D56" s="101" t="s">
        <v>1151</v>
      </c>
      <c r="E56" s="101" t="s">
        <v>183</v>
      </c>
      <c r="F56" s="98"/>
    </row>
    <row r="57" spans="2:6" x14ac:dyDescent="0.3">
      <c r="B57" s="99">
        <v>53</v>
      </c>
      <c r="C57" s="100" t="s">
        <v>238</v>
      </c>
      <c r="D57" s="101" t="s">
        <v>97</v>
      </c>
      <c r="E57" s="101" t="s">
        <v>214</v>
      </c>
      <c r="F57" s="98"/>
    </row>
    <row r="58" spans="2:6" x14ac:dyDescent="0.3">
      <c r="B58" s="99">
        <v>54</v>
      </c>
      <c r="C58" s="100" t="s">
        <v>234</v>
      </c>
      <c r="D58" s="101" t="s">
        <v>117</v>
      </c>
      <c r="E58" s="101" t="s">
        <v>118</v>
      </c>
      <c r="F58" s="98"/>
    </row>
    <row r="59" spans="2:6" x14ac:dyDescent="0.3">
      <c r="B59" s="99">
        <v>55</v>
      </c>
      <c r="C59" s="100" t="s">
        <v>204</v>
      </c>
      <c r="D59" s="101" t="s">
        <v>205</v>
      </c>
      <c r="E59" s="101" t="s">
        <v>206</v>
      </c>
      <c r="F59" s="98"/>
    </row>
    <row r="60" spans="2:6" x14ac:dyDescent="0.3">
      <c r="B60" s="99">
        <v>56</v>
      </c>
      <c r="C60" s="100" t="s">
        <v>210</v>
      </c>
      <c r="D60" s="101" t="s">
        <v>211</v>
      </c>
      <c r="E60" s="101" t="s">
        <v>212</v>
      </c>
      <c r="F60" s="98"/>
    </row>
    <row r="61" spans="2:6" x14ac:dyDescent="0.3">
      <c r="B61" s="99">
        <v>57</v>
      </c>
      <c r="C61" s="100" t="s">
        <v>19</v>
      </c>
      <c r="D61" s="101" t="s">
        <v>68</v>
      </c>
      <c r="E61" s="101" t="s">
        <v>69</v>
      </c>
      <c r="F61" s="98"/>
    </row>
    <row r="62" spans="2:6" x14ac:dyDescent="0.3">
      <c r="B62" s="99">
        <v>58</v>
      </c>
      <c r="C62" s="100" t="s">
        <v>31</v>
      </c>
      <c r="D62" s="101" t="s">
        <v>90</v>
      </c>
      <c r="E62" s="101" t="s">
        <v>91</v>
      </c>
      <c r="F62" s="98"/>
    </row>
    <row r="63" spans="2:6" x14ac:dyDescent="0.3">
      <c r="B63" s="99">
        <v>59</v>
      </c>
      <c r="C63" s="100" t="s">
        <v>140</v>
      </c>
      <c r="D63" s="101" t="s">
        <v>90</v>
      </c>
      <c r="E63" s="101" t="s">
        <v>141</v>
      </c>
      <c r="F63" s="98"/>
    </row>
    <row r="64" spans="2:6" x14ac:dyDescent="0.3">
      <c r="B64" s="99">
        <v>60</v>
      </c>
      <c r="C64" s="100" t="s">
        <v>1152</v>
      </c>
      <c r="D64" s="101" t="s">
        <v>76</v>
      </c>
      <c r="E64" s="101" t="s">
        <v>80</v>
      </c>
      <c r="F64" s="98"/>
    </row>
    <row r="65" spans="2:6" x14ac:dyDescent="0.3">
      <c r="B65" s="99">
        <v>61</v>
      </c>
      <c r="C65" s="100" t="s">
        <v>41</v>
      </c>
      <c r="D65" s="101" t="s">
        <v>102</v>
      </c>
      <c r="E65" s="101" t="s">
        <v>103</v>
      </c>
      <c r="F65" s="98"/>
    </row>
    <row r="66" spans="2:6" x14ac:dyDescent="0.3">
      <c r="B66" s="99">
        <v>62</v>
      </c>
      <c r="C66" s="100" t="s">
        <v>239</v>
      </c>
      <c r="D66" s="101" t="s">
        <v>240</v>
      </c>
      <c r="E66" s="101" t="s">
        <v>241</v>
      </c>
      <c r="F66" s="98"/>
    </row>
    <row r="67" spans="2:6" x14ac:dyDescent="0.3">
      <c r="B67" s="99">
        <v>63</v>
      </c>
      <c r="C67" s="100" t="s">
        <v>154</v>
      </c>
      <c r="D67" s="101" t="s">
        <v>155</v>
      </c>
      <c r="E67" s="101" t="s">
        <v>156</v>
      </c>
      <c r="F67" s="98"/>
    </row>
    <row r="68" spans="2:6" x14ac:dyDescent="0.3">
      <c r="B68" s="99">
        <v>64</v>
      </c>
      <c r="C68" s="100" t="s">
        <v>223</v>
      </c>
      <c r="D68" s="101" t="s">
        <v>202</v>
      </c>
      <c r="E68" s="101" t="s">
        <v>224</v>
      </c>
      <c r="F68" s="98"/>
    </row>
    <row r="69" spans="2:6" x14ac:dyDescent="0.3">
      <c r="B69" s="99">
        <v>65</v>
      </c>
      <c r="C69" s="102" t="s">
        <v>207</v>
      </c>
      <c r="D69" s="101" t="s">
        <v>208</v>
      </c>
      <c r="E69" s="101" t="s">
        <v>208</v>
      </c>
      <c r="F69" s="98"/>
    </row>
    <row r="70" spans="2:6" x14ac:dyDescent="0.3">
      <c r="B70" s="99">
        <v>66</v>
      </c>
      <c r="C70" s="100" t="s">
        <v>235</v>
      </c>
      <c r="D70" s="101" t="s">
        <v>236</v>
      </c>
      <c r="E70" s="101" t="s">
        <v>237</v>
      </c>
      <c r="F70" s="98"/>
    </row>
    <row r="71" spans="2:6" x14ac:dyDescent="0.3">
      <c r="B71" s="99">
        <v>67</v>
      </c>
      <c r="C71" s="100" t="s">
        <v>162</v>
      </c>
      <c r="D71" s="101" t="s">
        <v>1153</v>
      </c>
      <c r="E71" s="101" t="s">
        <v>163</v>
      </c>
      <c r="F71" s="98"/>
    </row>
    <row r="72" spans="2:6" x14ac:dyDescent="0.3">
      <c r="B72" s="103">
        <v>68</v>
      </c>
      <c r="C72" s="104" t="s">
        <v>197</v>
      </c>
      <c r="D72" s="105" t="s">
        <v>1114</v>
      </c>
      <c r="E72" s="105" t="s">
        <v>198</v>
      </c>
      <c r="F72" s="106"/>
    </row>
    <row r="73" spans="2:6" ht="27" x14ac:dyDescent="0.3">
      <c r="B73" s="99">
        <v>69</v>
      </c>
      <c r="C73" s="100" t="s">
        <v>169</v>
      </c>
      <c r="D73" s="101" t="s">
        <v>1001</v>
      </c>
      <c r="E73" s="107" t="s">
        <v>171</v>
      </c>
    </row>
    <row r="74" spans="2:6" x14ac:dyDescent="0.3">
      <c r="B74" s="99">
        <v>70</v>
      </c>
      <c r="C74" s="100" t="s">
        <v>52</v>
      </c>
      <c r="D74" s="101" t="s">
        <v>117</v>
      </c>
      <c r="E74" s="107" t="s">
        <v>118</v>
      </c>
    </row>
    <row r="75" spans="2:6" ht="27" x14ac:dyDescent="0.3">
      <c r="B75" s="99">
        <v>71</v>
      </c>
      <c r="C75" s="100" t="s">
        <v>191</v>
      </c>
      <c r="D75" s="101" t="s">
        <v>117</v>
      </c>
      <c r="E75" s="107" t="s">
        <v>118</v>
      </c>
    </row>
    <row r="76" spans="2:6" x14ac:dyDescent="0.3">
      <c r="B76" s="99">
        <v>72</v>
      </c>
      <c r="C76" s="100" t="s">
        <v>35</v>
      </c>
      <c r="D76" s="101" t="s">
        <v>77</v>
      </c>
      <c r="E76" s="107" t="s">
        <v>93</v>
      </c>
    </row>
    <row r="77" spans="2:6" x14ac:dyDescent="0.3">
      <c r="B77" s="99">
        <v>73</v>
      </c>
      <c r="C77" s="100" t="s">
        <v>39</v>
      </c>
      <c r="D77" s="101" t="s">
        <v>77</v>
      </c>
      <c r="E77" s="107" t="s">
        <v>93</v>
      </c>
    </row>
    <row r="78" spans="2:6" x14ac:dyDescent="0.3">
      <c r="B78" s="99">
        <v>74</v>
      </c>
      <c r="C78" s="100" t="s">
        <v>213</v>
      </c>
      <c r="D78" s="101" t="s">
        <v>97</v>
      </c>
      <c r="E78" s="107" t="s">
        <v>214</v>
      </c>
    </row>
    <row r="79" spans="2:6" x14ac:dyDescent="0.3">
      <c r="B79" s="99">
        <v>75</v>
      </c>
      <c r="C79" s="100" t="s">
        <v>40</v>
      </c>
      <c r="D79" s="101" t="s">
        <v>100</v>
      </c>
      <c r="E79" s="107" t="s">
        <v>101</v>
      </c>
    </row>
    <row r="80" spans="2:6" x14ac:dyDescent="0.3">
      <c r="B80" s="99">
        <v>76</v>
      </c>
      <c r="C80" s="100" t="s">
        <v>33</v>
      </c>
      <c r="D80" s="101" t="s">
        <v>77</v>
      </c>
      <c r="E80" s="107" t="s">
        <v>93</v>
      </c>
    </row>
    <row r="81" spans="2:5" x14ac:dyDescent="0.3">
      <c r="B81" s="99">
        <v>77</v>
      </c>
      <c r="C81" s="100" t="s">
        <v>44</v>
      </c>
      <c r="D81" s="101" t="s">
        <v>107</v>
      </c>
      <c r="E81" s="107" t="s">
        <v>108</v>
      </c>
    </row>
    <row r="82" spans="2:5" ht="27" x14ac:dyDescent="0.3">
      <c r="B82" s="99">
        <v>78</v>
      </c>
      <c r="C82" s="100" t="s">
        <v>145</v>
      </c>
      <c r="D82" s="101" t="s">
        <v>146</v>
      </c>
      <c r="E82" s="107" t="s">
        <v>147</v>
      </c>
    </row>
    <row r="83" spans="2:5" x14ac:dyDescent="0.3">
      <c r="B83" s="99">
        <v>79</v>
      </c>
      <c r="C83" s="100" t="s">
        <v>193</v>
      </c>
      <c r="D83" s="101" t="s">
        <v>100</v>
      </c>
      <c r="E83" s="107" t="s">
        <v>194</v>
      </c>
    </row>
    <row r="84" spans="2:5" x14ac:dyDescent="0.3">
      <c r="B84" s="99">
        <v>80</v>
      </c>
      <c r="C84" s="100" t="s">
        <v>143</v>
      </c>
      <c r="D84" s="101" t="s">
        <v>76</v>
      </c>
      <c r="E84" s="107" t="s">
        <v>144</v>
      </c>
    </row>
    <row r="85" spans="2:5" x14ac:dyDescent="0.3">
      <c r="B85" s="99">
        <v>81</v>
      </c>
      <c r="C85" s="100" t="s">
        <v>165</v>
      </c>
      <c r="D85" s="101" t="s">
        <v>76</v>
      </c>
      <c r="E85" s="107" t="s">
        <v>166</v>
      </c>
    </row>
    <row r="86" spans="2:5" x14ac:dyDescent="0.3">
      <c r="B86" s="99">
        <v>82</v>
      </c>
      <c r="C86" s="100" t="s">
        <v>184</v>
      </c>
      <c r="D86" s="101" t="s">
        <v>152</v>
      </c>
      <c r="E86" s="107" t="s">
        <v>185</v>
      </c>
    </row>
    <row r="87" spans="2:5" x14ac:dyDescent="0.3">
      <c r="B87" s="99">
        <v>83</v>
      </c>
      <c r="C87" s="100" t="s">
        <v>51</v>
      </c>
      <c r="D87" s="101" t="s">
        <v>77</v>
      </c>
      <c r="E87" s="107" t="s">
        <v>93</v>
      </c>
    </row>
    <row r="88" spans="2:5" x14ac:dyDescent="0.3">
      <c r="B88" s="99">
        <v>84</v>
      </c>
      <c r="C88" s="100" t="s">
        <v>142</v>
      </c>
      <c r="D88" s="101" t="s">
        <v>76</v>
      </c>
      <c r="E88" s="107" t="s">
        <v>87</v>
      </c>
    </row>
    <row r="89" spans="2:5" x14ac:dyDescent="0.3">
      <c r="B89" s="99">
        <v>85</v>
      </c>
      <c r="C89" s="100" t="s">
        <v>34</v>
      </c>
      <c r="D89" s="101" t="s">
        <v>76</v>
      </c>
      <c r="E89" s="107" t="s">
        <v>87</v>
      </c>
    </row>
    <row r="90" spans="2:5" x14ac:dyDescent="0.3">
      <c r="B90" s="99">
        <v>86</v>
      </c>
      <c r="C90" s="100" t="s">
        <v>38</v>
      </c>
      <c r="D90" s="101" t="s">
        <v>77</v>
      </c>
      <c r="E90" s="107" t="s">
        <v>99</v>
      </c>
    </row>
    <row r="91" spans="2:5" x14ac:dyDescent="0.3">
      <c r="B91" s="99">
        <v>87</v>
      </c>
      <c r="C91" s="100" t="s">
        <v>48</v>
      </c>
      <c r="D91" s="101" t="s">
        <v>76</v>
      </c>
      <c r="E91" s="107" t="s">
        <v>112</v>
      </c>
    </row>
    <row r="92" spans="2:5" x14ac:dyDescent="0.3">
      <c r="B92" s="99">
        <v>88</v>
      </c>
      <c r="C92" s="100" t="s">
        <v>161</v>
      </c>
      <c r="D92" s="101" t="s">
        <v>104</v>
      </c>
      <c r="E92" s="107" t="s">
        <v>110</v>
      </c>
    </row>
    <row r="93" spans="2:5" ht="27" x14ac:dyDescent="0.3">
      <c r="B93" s="99">
        <v>89</v>
      </c>
      <c r="C93" s="100" t="s">
        <v>32</v>
      </c>
      <c r="D93" s="101" t="s">
        <v>68</v>
      </c>
      <c r="E93" s="107" t="s">
        <v>81</v>
      </c>
    </row>
    <row r="94" spans="2:5" x14ac:dyDescent="0.3">
      <c r="B94" s="99">
        <v>90</v>
      </c>
      <c r="C94" s="100" t="s">
        <v>1154</v>
      </c>
      <c r="D94" s="101" t="s">
        <v>117</v>
      </c>
      <c r="E94" s="107" t="s">
        <v>118</v>
      </c>
    </row>
    <row r="95" spans="2:5" ht="27" x14ac:dyDescent="0.3">
      <c r="B95" s="99">
        <v>91</v>
      </c>
      <c r="C95" s="100" t="s">
        <v>188</v>
      </c>
      <c r="D95" s="101" t="s">
        <v>189</v>
      </c>
      <c r="E95" s="107" t="s">
        <v>190</v>
      </c>
    </row>
    <row r="96" spans="2:5" x14ac:dyDescent="0.3">
      <c r="B96" s="99">
        <v>92</v>
      </c>
      <c r="C96" s="100" t="s">
        <v>46</v>
      </c>
      <c r="D96" s="101" t="s">
        <v>104</v>
      </c>
      <c r="E96" s="107" t="s">
        <v>110</v>
      </c>
    </row>
    <row r="97" spans="2:5" x14ac:dyDescent="0.3">
      <c r="B97" s="99">
        <v>93</v>
      </c>
      <c r="C97" s="100" t="s">
        <v>1155</v>
      </c>
      <c r="D97" s="101" t="s">
        <v>202</v>
      </c>
      <c r="E97" s="107" t="s">
        <v>203</v>
      </c>
    </row>
    <row r="98" spans="2:5" x14ac:dyDescent="0.3">
      <c r="B98" s="99">
        <v>94</v>
      </c>
      <c r="C98" s="100" t="s">
        <v>160</v>
      </c>
      <c r="D98" s="101" t="s">
        <v>117</v>
      </c>
      <c r="E98" s="107" t="s">
        <v>118</v>
      </c>
    </row>
    <row r="99" spans="2:5" x14ac:dyDescent="0.3">
      <c r="B99" s="99">
        <v>95</v>
      </c>
      <c r="C99" s="100" t="s">
        <v>54</v>
      </c>
      <c r="D99" s="101" t="s">
        <v>117</v>
      </c>
      <c r="E99" s="107" t="s">
        <v>118</v>
      </c>
    </row>
    <row r="100" spans="2:5" x14ac:dyDescent="0.3">
      <c r="B100" s="99">
        <v>96</v>
      </c>
      <c r="C100" s="100" t="s">
        <v>47</v>
      </c>
      <c r="D100" s="101" t="s">
        <v>68</v>
      </c>
      <c r="E100" s="107" t="s">
        <v>111</v>
      </c>
    </row>
    <row r="101" spans="2:5" x14ac:dyDescent="0.3">
      <c r="B101" s="99">
        <v>97</v>
      </c>
      <c r="C101" s="100" t="s">
        <v>159</v>
      </c>
      <c r="D101" s="101" t="s">
        <v>117</v>
      </c>
      <c r="E101" s="107" t="s">
        <v>118</v>
      </c>
    </row>
  </sheetData>
  <mergeCells count="1">
    <mergeCell ref="B2:C2"/>
  </mergeCells>
  <hyperlinks>
    <hyperlink ref="B2" r:id="rId1" display="Link:" xr:uid="{E41501F8-D802-4274-A861-A492D082AD82}"/>
  </hyperlinks>
  <pageMargins left="0.7" right="0.7" top="0.75" bottom="0.75" header="0.3" footer="0.3"/>
  <pageSetup orientation="portrait"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7CA77-3DCF-4078-A1F0-4A1AF552D079}">
  <sheetPr>
    <tabColor rgb="FF44546A"/>
  </sheetPr>
  <dimension ref="B1:EB103"/>
  <sheetViews>
    <sheetView zoomScale="70" zoomScaleNormal="70" workbookViewId="0">
      <pane xSplit="7" ySplit="1" topLeftCell="H2" activePane="bottomRight" state="frozen"/>
      <selection pane="topRight" activeCell="H1" sqref="H1"/>
      <selection pane="bottomLeft" activeCell="A2" sqref="A2"/>
      <selection pane="bottomRight" activeCell="C3" sqref="C3"/>
    </sheetView>
  </sheetViews>
  <sheetFormatPr defaultColWidth="9.1796875" defaultRowHeight="13.5" outlineLevelCol="1" x14ac:dyDescent="0.25"/>
  <cols>
    <col min="1" max="1" width="3.81640625" style="236" customWidth="1"/>
    <col min="2" max="2" width="6" style="236" customWidth="1"/>
    <col min="3" max="3" width="25.6328125" style="236" customWidth="1"/>
    <col min="4" max="4" width="14.81640625" style="236" customWidth="1"/>
    <col min="5" max="5" width="15.54296875" style="236" customWidth="1"/>
    <col min="6" max="6" width="16.81640625" style="236" customWidth="1"/>
    <col min="7" max="7" width="14.81640625" style="236" customWidth="1"/>
    <col min="8" max="8" width="29.1796875" style="236" customWidth="1" outlineLevel="1"/>
    <col min="9" max="9" width="38.54296875" style="236" customWidth="1" outlineLevel="1"/>
    <col min="10" max="10" width="16.453125" style="236" customWidth="1" outlineLevel="1"/>
    <col min="11" max="11" width="15.453125" style="236" customWidth="1" outlineLevel="1"/>
    <col min="12" max="12" width="17.81640625" style="236" customWidth="1" outlineLevel="1"/>
    <col min="13" max="13" width="21.81640625" style="236" customWidth="1" outlineLevel="1"/>
    <col min="14" max="14" width="19.1796875" style="236" customWidth="1" outlineLevel="1"/>
    <col min="15" max="16" width="19" style="236" customWidth="1" outlineLevel="1"/>
    <col min="17" max="17" width="26.54296875" style="236" customWidth="1" outlineLevel="1"/>
    <col min="18" max="19" width="19" style="236" customWidth="1" outlineLevel="1"/>
    <col min="20" max="20" width="23.81640625" style="236" customWidth="1" outlineLevel="1"/>
    <col min="21" max="21" width="29.1796875" style="236" customWidth="1" outlineLevel="1"/>
    <col min="22" max="22" width="24.81640625" style="236" customWidth="1" outlineLevel="1"/>
    <col min="23" max="23" width="28.1796875" style="236" customWidth="1" outlineLevel="1"/>
    <col min="24" max="24" width="19" style="244" customWidth="1" outlineLevel="1"/>
    <col min="25" max="27" width="17.453125" style="236" customWidth="1" outlineLevel="1"/>
    <col min="28" max="28" width="34.54296875" style="238" customWidth="1" outlineLevel="1"/>
    <col min="29" max="29" width="18.81640625" style="238" customWidth="1" outlineLevel="1"/>
    <col min="30" max="31" width="20.1796875" style="238" customWidth="1" outlineLevel="1"/>
    <col min="32" max="34" width="16.1796875" style="237" customWidth="1" outlineLevel="1"/>
    <col min="35" max="35" width="13.1796875" style="237" customWidth="1" outlineLevel="1"/>
    <col min="36" max="36" width="16.1796875" style="237" customWidth="1" outlineLevel="1"/>
    <col min="37" max="37" width="13.81640625" style="237" customWidth="1" outlineLevel="1"/>
    <col min="38" max="39" width="21.54296875" style="237" customWidth="1" outlineLevel="1"/>
    <col min="40" max="40" width="12.453125" style="237" customWidth="1"/>
    <col min="41" max="41" width="14.1796875" style="237" customWidth="1"/>
    <col min="42" max="42" width="18.1796875" style="236" customWidth="1" outlineLevel="1"/>
    <col min="43" max="43" width="16.453125" style="236" customWidth="1" outlineLevel="1"/>
    <col min="44" max="44" width="24" style="236" customWidth="1" outlineLevel="1"/>
    <col min="45" max="47" width="18.54296875" style="236" customWidth="1" outlineLevel="1"/>
    <col min="48" max="50" width="18.1796875" style="236" customWidth="1" outlineLevel="1"/>
    <col min="51" max="53" width="18.54296875" style="236" customWidth="1" outlineLevel="1"/>
    <col min="54" max="56" width="17" style="236" customWidth="1" outlineLevel="1"/>
    <col min="57" max="60" width="21.453125" style="236" customWidth="1" outlineLevel="1"/>
    <col min="61" max="61" width="16.1796875" style="236" customWidth="1" outlineLevel="1"/>
    <col min="62" max="62" width="21.1796875" style="236" customWidth="1" outlineLevel="1"/>
    <col min="63" max="63" width="16.81640625" style="236" customWidth="1" outlineLevel="1"/>
    <col min="64" max="65" width="21.1796875" style="236" customWidth="1" outlineLevel="1"/>
    <col min="66" max="66" width="12.453125" style="236" customWidth="1" outlineLevel="1"/>
    <col min="67" max="67" width="25.1796875" style="236" customWidth="1" outlineLevel="1"/>
    <col min="68" max="68" width="15.81640625" style="236" customWidth="1" outlineLevel="1"/>
    <col min="69" max="69" width="21.1796875" style="236" customWidth="1" outlineLevel="1"/>
    <col min="70" max="70" width="15.81640625" style="236" customWidth="1" outlineLevel="1"/>
    <col min="71" max="73" width="18.81640625" style="238" customWidth="1" outlineLevel="1"/>
    <col min="74" max="79" width="21.1796875" style="236" customWidth="1" outlineLevel="1"/>
    <col min="80" max="90" width="21.1796875" style="238" customWidth="1" outlineLevel="1"/>
    <col min="91" max="93" width="21.1796875" style="236" customWidth="1" outlineLevel="1"/>
    <col min="94" max="94" width="14.1796875" style="236" customWidth="1" outlineLevel="1"/>
    <col min="95" max="102" width="21.1796875" style="236" customWidth="1" outlineLevel="1"/>
    <col min="103" max="105" width="25.81640625" style="236" customWidth="1" outlineLevel="1"/>
    <col min="106" max="106" width="21.1796875" style="236" customWidth="1" outlineLevel="1"/>
    <col min="107" max="113" width="21.1796875" style="238" customWidth="1" outlineLevel="1"/>
    <col min="114" max="114" width="15" style="236" customWidth="1" outlineLevel="1"/>
    <col min="115" max="124" width="19.1796875" style="236" customWidth="1" outlineLevel="1"/>
    <col min="125" max="125" width="21" style="236" customWidth="1" outlineLevel="1"/>
    <col min="126" max="126" width="14.1796875" style="236" customWidth="1"/>
    <col min="127" max="127" width="15.81640625" style="236" customWidth="1"/>
    <col min="128" max="128" width="11.81640625" style="236" customWidth="1"/>
    <col min="129" max="129" width="13.54296875" style="236" customWidth="1"/>
    <col min="130" max="130" width="10.90625" style="236" customWidth="1"/>
    <col min="131" max="131" width="13.1796875" style="237" customWidth="1"/>
    <col min="132" max="132" width="15.1796875" style="236" customWidth="1"/>
    <col min="133" max="16384" width="9.1796875" style="236"/>
  </cols>
  <sheetData>
    <row r="1" spans="2:132" ht="14" thickBot="1" x14ac:dyDescent="0.3">
      <c r="J1" s="766" t="s">
        <v>300</v>
      </c>
      <c r="K1" s="766"/>
      <c r="L1" s="766"/>
      <c r="M1" s="766"/>
      <c r="N1" s="766"/>
      <c r="O1" s="766"/>
      <c r="P1" s="766"/>
      <c r="Q1" s="766"/>
      <c r="R1" s="766"/>
      <c r="S1" s="766"/>
      <c r="T1" s="766"/>
      <c r="U1" s="766"/>
      <c r="V1" s="766"/>
      <c r="W1" s="766"/>
      <c r="X1" s="766"/>
      <c r="Y1" s="237"/>
      <c r="Z1" s="237"/>
      <c r="AA1" s="237"/>
      <c r="AB1" s="237"/>
      <c r="AC1" s="237"/>
      <c r="AD1" s="237"/>
      <c r="AE1" s="237"/>
    </row>
    <row r="2" spans="2:132" ht="74" customHeight="1" thickBot="1" x14ac:dyDescent="0.3">
      <c r="B2" s="136" t="s">
        <v>4</v>
      </c>
      <c r="C2" s="136" t="s">
        <v>5</v>
      </c>
      <c r="D2" s="136" t="s">
        <v>6</v>
      </c>
      <c r="E2" s="136" t="s">
        <v>7</v>
      </c>
      <c r="F2" s="136" t="s">
        <v>8</v>
      </c>
      <c r="G2" s="136" t="s">
        <v>9</v>
      </c>
      <c r="H2" s="228" t="s">
        <v>301</v>
      </c>
      <c r="I2" s="228" t="s">
        <v>302</v>
      </c>
      <c r="J2" s="239" t="s">
        <v>303</v>
      </c>
      <c r="K2" s="301" t="s">
        <v>304</v>
      </c>
      <c r="L2" s="239" t="s">
        <v>305</v>
      </c>
      <c r="M2" s="239" t="s">
        <v>306</v>
      </c>
      <c r="N2" s="301" t="s">
        <v>307</v>
      </c>
      <c r="O2" s="239" t="s">
        <v>308</v>
      </c>
      <c r="P2" s="581" t="s">
        <v>1432</v>
      </c>
      <c r="Q2" s="581" t="s">
        <v>309</v>
      </c>
      <c r="R2" s="301" t="s">
        <v>310</v>
      </c>
      <c r="S2" s="239" t="s">
        <v>311</v>
      </c>
      <c r="T2" s="581" t="s">
        <v>1433</v>
      </c>
      <c r="U2" s="581" t="s">
        <v>312</v>
      </c>
      <c r="V2" s="301" t="s">
        <v>313</v>
      </c>
      <c r="W2" s="239" t="s">
        <v>314</v>
      </c>
      <c r="X2" s="229" t="s">
        <v>253</v>
      </c>
      <c r="Y2" s="239" t="s">
        <v>315</v>
      </c>
      <c r="Z2" s="301" t="s">
        <v>316</v>
      </c>
      <c r="AA2" s="239" t="s">
        <v>317</v>
      </c>
      <c r="AB2" s="239" t="s">
        <v>318</v>
      </c>
      <c r="AC2" s="301" t="s">
        <v>319</v>
      </c>
      <c r="AD2" s="239" t="s">
        <v>320</v>
      </c>
      <c r="AE2" s="240" t="s">
        <v>254</v>
      </c>
      <c r="AF2" s="241" t="s">
        <v>321</v>
      </c>
      <c r="AG2" s="301" t="s">
        <v>322</v>
      </c>
      <c r="AH2" s="239" t="s">
        <v>323</v>
      </c>
      <c r="AI2" s="301" t="s">
        <v>324</v>
      </c>
      <c r="AJ2" s="239" t="s">
        <v>325</v>
      </c>
      <c r="AK2" s="301" t="s">
        <v>326</v>
      </c>
      <c r="AL2" s="239" t="s">
        <v>327</v>
      </c>
      <c r="AM2" s="240" t="s">
        <v>255</v>
      </c>
      <c r="AN2" s="242" t="s">
        <v>296</v>
      </c>
      <c r="AO2" s="243" t="s">
        <v>14</v>
      </c>
      <c r="AP2" s="230" t="s">
        <v>328</v>
      </c>
      <c r="AQ2" s="401" t="s">
        <v>329</v>
      </c>
      <c r="AR2" s="230" t="s">
        <v>330</v>
      </c>
      <c r="AS2" s="216" t="s">
        <v>331</v>
      </c>
      <c r="AT2" s="402" t="s">
        <v>332</v>
      </c>
      <c r="AU2" s="216" t="s">
        <v>333</v>
      </c>
      <c r="AV2" s="216" t="s">
        <v>334</v>
      </c>
      <c r="AW2" s="402" t="s">
        <v>335</v>
      </c>
      <c r="AX2" s="216" t="s">
        <v>336</v>
      </c>
      <c r="AY2" s="216" t="s">
        <v>337</v>
      </c>
      <c r="AZ2" s="402" t="s">
        <v>338</v>
      </c>
      <c r="BA2" s="216" t="s">
        <v>339</v>
      </c>
      <c r="BB2" s="216" t="s">
        <v>340</v>
      </c>
      <c r="BC2" s="402" t="s">
        <v>341</v>
      </c>
      <c r="BD2" s="216" t="s">
        <v>342</v>
      </c>
      <c r="BE2" s="216" t="s">
        <v>343</v>
      </c>
      <c r="BF2" s="402" t="s">
        <v>344</v>
      </c>
      <c r="BG2" s="216" t="s">
        <v>345</v>
      </c>
      <c r="BH2" s="282" t="s">
        <v>256</v>
      </c>
      <c r="BI2" s="216" t="s">
        <v>346</v>
      </c>
      <c r="BJ2" s="402" t="s">
        <v>347</v>
      </c>
      <c r="BK2" s="216" t="s">
        <v>348</v>
      </c>
      <c r="BL2" s="216" t="s">
        <v>349</v>
      </c>
      <c r="BM2" s="402" t="s">
        <v>350</v>
      </c>
      <c r="BN2" s="216" t="s">
        <v>351</v>
      </c>
      <c r="BO2" s="216" t="s">
        <v>352</v>
      </c>
      <c r="BP2" s="402" t="s">
        <v>353</v>
      </c>
      <c r="BQ2" s="216" t="s">
        <v>354</v>
      </c>
      <c r="BR2" s="282" t="s">
        <v>355</v>
      </c>
      <c r="BS2" s="216" t="s">
        <v>356</v>
      </c>
      <c r="BT2" s="402" t="s">
        <v>357</v>
      </c>
      <c r="BU2" s="216" t="s">
        <v>358</v>
      </c>
      <c r="BV2" s="216" t="s">
        <v>359</v>
      </c>
      <c r="BW2" s="402" t="s">
        <v>360</v>
      </c>
      <c r="BX2" s="216" t="s">
        <v>361</v>
      </c>
      <c r="BY2" s="216" t="s">
        <v>362</v>
      </c>
      <c r="BZ2" s="402" t="s">
        <v>363</v>
      </c>
      <c r="CA2" s="216" t="s">
        <v>364</v>
      </c>
      <c r="CB2" s="216" t="s">
        <v>365</v>
      </c>
      <c r="CC2" s="402" t="s">
        <v>366</v>
      </c>
      <c r="CD2" s="216" t="s">
        <v>367</v>
      </c>
      <c r="CE2" s="282" t="s">
        <v>278</v>
      </c>
      <c r="CF2" s="216" t="s">
        <v>368</v>
      </c>
      <c r="CG2" s="402" t="s">
        <v>369</v>
      </c>
      <c r="CH2" s="216" t="s">
        <v>370</v>
      </c>
      <c r="CI2" s="216" t="s">
        <v>371</v>
      </c>
      <c r="CJ2" s="402" t="s">
        <v>372</v>
      </c>
      <c r="CK2" s="216" t="s">
        <v>373</v>
      </c>
      <c r="CL2" s="282" t="s">
        <v>374</v>
      </c>
      <c r="CM2" s="216" t="s">
        <v>375</v>
      </c>
      <c r="CN2" s="402" t="s">
        <v>376</v>
      </c>
      <c r="CO2" s="216" t="s">
        <v>377</v>
      </c>
      <c r="CP2" s="216" t="s">
        <v>378</v>
      </c>
      <c r="CQ2" s="402" t="s">
        <v>379</v>
      </c>
      <c r="CR2" s="216" t="s">
        <v>380</v>
      </c>
      <c r="CS2" s="216" t="s">
        <v>381</v>
      </c>
      <c r="CT2" s="402" t="s">
        <v>382</v>
      </c>
      <c r="CU2" s="216" t="s">
        <v>383</v>
      </c>
      <c r="CV2" s="216" t="s">
        <v>384</v>
      </c>
      <c r="CW2" s="402" t="s">
        <v>385</v>
      </c>
      <c r="CX2" s="216" t="s">
        <v>386</v>
      </c>
      <c r="CY2" s="216" t="s">
        <v>387</v>
      </c>
      <c r="CZ2" s="402" t="s">
        <v>388</v>
      </c>
      <c r="DA2" s="216" t="s">
        <v>389</v>
      </c>
      <c r="DB2" s="282" t="s">
        <v>262</v>
      </c>
      <c r="DC2" s="216" t="s">
        <v>390</v>
      </c>
      <c r="DD2" s="402" t="s">
        <v>391</v>
      </c>
      <c r="DE2" s="216" t="s">
        <v>392</v>
      </c>
      <c r="DF2" s="216" t="s">
        <v>393</v>
      </c>
      <c r="DG2" s="402" t="s">
        <v>394</v>
      </c>
      <c r="DH2" s="216" t="s">
        <v>395</v>
      </c>
      <c r="DI2" s="216" t="s">
        <v>396</v>
      </c>
      <c r="DJ2" s="403" t="s">
        <v>397</v>
      </c>
      <c r="DK2" s="245" t="s">
        <v>398</v>
      </c>
      <c r="DL2" s="216" t="s">
        <v>399</v>
      </c>
      <c r="DM2" s="403" t="s">
        <v>400</v>
      </c>
      <c r="DN2" s="245" t="s">
        <v>401</v>
      </c>
      <c r="DO2" s="216" t="s">
        <v>402</v>
      </c>
      <c r="DP2" s="403" t="s">
        <v>403</v>
      </c>
      <c r="DQ2" s="245" t="s">
        <v>404</v>
      </c>
      <c r="DR2" s="216" t="s">
        <v>405</v>
      </c>
      <c r="DS2" s="403" t="s">
        <v>406</v>
      </c>
      <c r="DT2" s="245" t="s">
        <v>407</v>
      </c>
      <c r="DU2" s="283" t="s">
        <v>264</v>
      </c>
      <c r="DV2" s="283" t="s">
        <v>297</v>
      </c>
      <c r="DW2" s="283" t="s">
        <v>298</v>
      </c>
      <c r="DX2" s="283" t="s">
        <v>299</v>
      </c>
      <c r="DY2" s="283" t="s">
        <v>16</v>
      </c>
      <c r="DZ2" s="245" t="s">
        <v>408</v>
      </c>
      <c r="EA2" s="245" t="s">
        <v>409</v>
      </c>
      <c r="EB2" s="245" t="s">
        <v>1435</v>
      </c>
    </row>
    <row r="3" spans="2:132" x14ac:dyDescent="0.25">
      <c r="B3" s="220">
        <v>16</v>
      </c>
      <c r="C3" s="221" t="s">
        <v>18</v>
      </c>
      <c r="D3" s="220" t="s">
        <v>68</v>
      </c>
      <c r="E3" s="220" t="s">
        <v>72</v>
      </c>
      <c r="F3" s="220" t="s">
        <v>73</v>
      </c>
      <c r="G3" s="220" t="s">
        <v>70</v>
      </c>
      <c r="H3" s="525" t="s">
        <v>422</v>
      </c>
      <c r="I3" s="70" t="s">
        <v>423</v>
      </c>
      <c r="J3" s="227" t="s">
        <v>412</v>
      </c>
      <c r="K3" s="220">
        <f>IFERROR(VLOOKUP(Table9[[#This Row],[Land Availability (Grade)​
(50%)]],'Detailed Rubric V3'!$B$8:$C$11,2), 0)</f>
        <v>4</v>
      </c>
      <c r="L3" s="220">
        <f>IFERROR(Table9[[#This Row],[Land Availability (Grade)​ Score]]*'Detailed Rubric V3'!$C$6, "")</f>
        <v>2</v>
      </c>
      <c r="M3" s="222">
        <v>9549.5499999999993</v>
      </c>
      <c r="N3" s="222" cm="1">
        <f t="array" ref="N3">_xlfn.IFS(Table9[[#This Row],[Land Size (Acres)
(15%)]]&lt;100,0,Table9[[#This Row],[Land Size (Acres)
(15%)]]&gt;500,4,TRUE,2)</f>
        <v>4</v>
      </c>
      <c r="O3" s="222">
        <f>Table9[[#This Row],[Land Size (Acres) Score]]*'Detailed Rubric V3'!$G$6</f>
        <v>0.6</v>
      </c>
      <c r="P3" s="526">
        <v>13402</v>
      </c>
      <c r="Q3" s="591">
        <f>(14598+13402)/(11004.665+9549.55)</f>
        <v>1.3622510030181156</v>
      </c>
      <c r="R3" s="526" cm="1">
        <f t="array" ref="R3">IF(Table9[[#This Row],[Name]]="Sitakundo Economic Zone", 4, _xlfn.IFS(Table9[[#This Row],[Site Filling Cost (Mn BDT)]]="",0,Table9[[#This Row],[Land Suitability
(Cost of Land Filling in Million BDT per acre)
(25%)]]&gt;5,0,Table9[[#This Row],[Land Suitability
(Cost of Land Filling in Million BDT per acre)
(25%)]]&lt;2,4,TRUE,2))</f>
        <v>4</v>
      </c>
      <c r="S3" s="526">
        <f>Table9[[#This Row],[Land Suitability for Construction Score]]*'Detailed Rubric V3'!$J$6</f>
        <v>1</v>
      </c>
      <c r="T3" s="526">
        <v>49464.7</v>
      </c>
      <c r="U3" s="591">
        <f>(3045+49464.7)/(11004.665+9549.55)</f>
        <v>2.5546925533278695</v>
      </c>
      <c r="V3" s="526" cm="1">
        <f t="array" ref="V3">IF(Table9[[#This Row],[Name]]="Sitakundo Economic Zone", 2, _xlfn.IFS(Table9[[#This Row],[Embankment/Dyke Cost (Mn BDT)]]="",0,Table9[[#This Row],[Cost of DRRI Infrastructure in million BDT per acre
(10%)]]&gt;5,0,Table9[[#This Row],[Cost of DRRI Infrastructure in million BDT per acre
(10%)]]&lt;2,4,TRUE,2))</f>
        <v>2</v>
      </c>
      <c r="W3" s="526">
        <f>Table9[[#This Row],[Requirement for Distaster Risk Reduction &amp; Resilience Infrastructure Score]]*'Detailed Rubric V3'!$M$6</f>
        <v>0.2</v>
      </c>
      <c r="X3"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0.76000000000000012</v>
      </c>
      <c r="Y3" s="452" t="s">
        <v>415</v>
      </c>
      <c r="Z3" s="210">
        <f>IFERROR(VLOOKUP(Table9[[#This Row],[Zone Priority
(40%)]],'Detailed Rubric V3'!$B$18:$C$21, 2,FALSE), 0)</f>
        <v>4</v>
      </c>
      <c r="AA3" s="210">
        <f>IFERROR(Table9[[#This Row],[Zone Priority Score]]*'Detailed Rubric V3'!$C$16, 0)</f>
        <v>0</v>
      </c>
      <c r="AB3" s="237" t="s">
        <v>416</v>
      </c>
      <c r="AC3" s="237">
        <f>VLOOKUP(Table9[[#This Row],[Existing BEZA Report
(60%)]],'Detailed Rubric V3'!$E$18:$F$20,2,FALSE)</f>
        <v>4</v>
      </c>
      <c r="AD3" s="237">
        <f>Table9[[#This Row],[Existing BEZA Report Score]]*'Detailed Rubric V3'!F$16</f>
        <v>4</v>
      </c>
      <c r="AE3" s="237">
        <f>(Table9[[#This Row],[Zone Priority Weighted Score]]+Table9[[#This Row],[Existing BEZA Report Weighted Score]])*'Detailed Rubric V3'!$C$14</f>
        <v>0.6</v>
      </c>
      <c r="AF3" s="528">
        <v>19</v>
      </c>
      <c r="AG3" s="529" cm="1">
        <f t="array" ref="AG3">_xlfn.IFS(Table9[[#This Row],[Existing Sectors
(50%)]]&gt;10, 4,Table9[[#This Row],[Existing Sectors
(50%)]]&lt;5, 0, TRUE, 2)</f>
        <v>4</v>
      </c>
      <c r="AH3" s="529">
        <f>Table9[[#This Row],[Existing Sectors Score]]*'Detailed Rubric V3'!$C$25</f>
        <v>2</v>
      </c>
      <c r="AI3" s="529">
        <v>19</v>
      </c>
      <c r="AJ3" s="529">
        <v>0</v>
      </c>
      <c r="AK3" s="529" cm="1">
        <f t="array" ref="AK3">_xlfn.IFS(Table9[[#This Row],[Potential New Sectors
(50%)]]&gt;5, 4, Table9[[#This Row],[Potential New Sectors
(50%)]]&lt;2,0, TRUE, 2)</f>
        <v>0</v>
      </c>
      <c r="AL3" s="529">
        <f>Table9[[#This Row],[Potential New Sectors Score]]*'Detailed Rubric V3'!$F$25</f>
        <v>0</v>
      </c>
      <c r="AM3" s="232">
        <f>(Table9[[#This Row],[Existing Sectors Weighted Score]]+Table9[[#This Row],[Potential New Sectors Weighted Score]])*'Detailed Rubric V3'!$C$23</f>
        <v>0.3</v>
      </c>
      <c r="AN3" s="530">
        <f>SUM(Table9[[#This Row],[1.1. Land Details (20% weightage)]],Table9[[#This Row],[1.2. BEZA Existing plans (15% weightage)]],Table9[[#This Row],[1.3. Sector Demand (15% weightage):]])</f>
        <v>1.6600000000000001</v>
      </c>
      <c r="AO3" s="531">
        <f>_xlfn.RANK.EQ(Table9[[#This Row],[Level 1 Score]],$AN$3:$AN$103)</f>
        <v>2</v>
      </c>
      <c r="AP3" s="529">
        <v>10</v>
      </c>
      <c r="AQ3" s="529" cm="1">
        <f t="array" ref="AQ3">_xlfn.IFS(Table9[[#This Row],[National Highway Connectivity (km)
(15%)]]="", 0, Table9[[#This Row],[National Highway Connectivity (km)
(15%)]]&gt;50, 0, Table9[[#This Row],[National Highway Connectivity (km)
(15%)]]&lt;=25, 4, TRUE, 2)</f>
        <v>4</v>
      </c>
      <c r="AR3" s="529">
        <f>Table9[[#This Row],[National Highway Connectivity Score]]*'Detailed Rubric V3'!$C$35</f>
        <v>0.6</v>
      </c>
      <c r="AS3" s="529" t="s">
        <v>417</v>
      </c>
      <c r="AT3" s="529" cm="1">
        <f t="array" ref="AT3">_xlfn.IFS(Table9[[#This Row],[Connecting Road to Highway (km)
(15%)]]="", 0, Table9[[#This Row],[Connecting Road to Highway (km)
(15%)]]="Yes", 4, TRUE, 0)</f>
        <v>4</v>
      </c>
      <c r="AU3" s="529">
        <f>Table9[[#This Row],[Connecting Road to Highway Score]]*'Detailed Rubric V3'!$F$35</f>
        <v>0.6</v>
      </c>
      <c r="AV3" s="529">
        <v>67</v>
      </c>
      <c r="AW3" s="529" cm="1">
        <f t="array" ref="AW3">_xlfn.IFS(Table9[[#This Row],[Seaport Connectivity (km)
(30%)]]="",0, Table9[[#This Row],[Seaport Connectivity (km)
(30%)]]&gt;400, 0,Table9[[#This Row],[Seaport Connectivity (km)
(30%)]]&lt;=200,4, TRUE, 2)</f>
        <v>4</v>
      </c>
      <c r="AX3" s="529">
        <f>Table9[[#This Row],[Seaport Connectivity Score]]*'Detailed Rubric V3'!$I$35</f>
        <v>1.2</v>
      </c>
      <c r="AY3" s="529">
        <v>79</v>
      </c>
      <c r="AZ3" s="529" cm="1">
        <f t="array" ref="AZ3">_xlfn.IFS(Table9[[#This Row],[Airport Connectivity (km)
(10%)]]="", 0, Table9[[#This Row],[Airport Connectivity (km)
(10%)]]&gt;200, 0, Table9[[#This Row],[Airport Connectivity (km)
(10%)]]&lt;=100,4,TRUE, 2)</f>
        <v>4</v>
      </c>
      <c r="BA3" s="529">
        <f>Table9[[#This Row],[Airport Connectivity Score]]*'Detailed Rubric V3'!$C$41</f>
        <v>0.4</v>
      </c>
      <c r="BB3" s="529">
        <v>11.5</v>
      </c>
      <c r="BC3" s="529" cm="1">
        <f t="array" ref="BC3">_xlfn.IFS(Table9[[#This Row],[Railway Station (km)
(10%)]]="", 0, Table9[[#This Row],[Railway Station (km)
(10%)]]&gt;150, 0,Table9[[#This Row],[Railway Station (km)
(10%)]]&lt;=50,4, TRUE, 2)</f>
        <v>4</v>
      </c>
      <c r="BD3" s="529">
        <f>Table9[[#This Row],[Railway Station Score]]*'Detailed Rubric V3'!$F$41</f>
        <v>0.4</v>
      </c>
      <c r="BE3" s="529">
        <v>0</v>
      </c>
      <c r="BF3" s="529" cm="1">
        <f t="array" ref="BF3">_xlfn.IFS(Table9[[#This Row],[Inland waterway/ Land port (km)
(20%)]]="", 0, Table9[[#This Row],[Inland waterway/ Land port (km)
(20%)]]&gt;200, 0,Table9[[#This Row],[Inland waterway/ Land port (km)
(20%)]]&lt;=50,4, TRUE, 2)</f>
        <v>4</v>
      </c>
      <c r="BG3" s="529">
        <f>Table9[[#This Row],[Inland waterway/ Land port Score]]*'Detailed Rubric V3'!$I$41</f>
        <v>0.8</v>
      </c>
      <c r="BH3"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0.4</v>
      </c>
      <c r="BI3" s="529">
        <v>7.2</v>
      </c>
      <c r="BJ3" s="529" cm="1">
        <f t="array" ref="BJ3">_xlfn.IFS(Table9[[#This Row],[Power Station (40%)]]="",0, Table9[[#This Row],[Power Station (40%)]]&gt;100, 0,Table9[[#This Row],[Power Station (40%)]]&lt;=50,4, TRUE, 2)</f>
        <v>4</v>
      </c>
      <c r="BK3" s="529">
        <f>Table9[[#This Row],[Power Station Score]]*'Detailed Rubric V3'!$C$53</f>
        <v>1.6</v>
      </c>
      <c r="BL3" s="529">
        <v>11</v>
      </c>
      <c r="BM3" s="529" cm="1">
        <f t="array" ref="BM3">IF(ISNUMBER(Table9[[#This Row],[Gas Station (20%)]]), _xlfn.IFS(Table9[[#This Row],[Gas Station (20%)]]="", 0, Table9[[#This Row],[Gas Station (20%)]]&gt;100, 0,Table9[[#This Row],[Gas Station (20%)]]&lt;=50,4, TRUE, 2), 0)</f>
        <v>4</v>
      </c>
      <c r="BN3" s="529">
        <f>Table9[[#This Row],[Gas Station Score]]*'Detailed Rubric V3'!$F$53</f>
        <v>0.8</v>
      </c>
      <c r="BO3" s="529">
        <v>16</v>
      </c>
      <c r="BP3" s="529" cm="1">
        <f t="array" ref="BP3">IF(ISNUMBER(Table9[[#This Row],[Source of Surface Water (40%)]]), _xlfn.IFS(Table9[[#This Row],[Source of Surface Water (40%)]]="", 0, Table9[[#This Row],[Source of Surface Water (40%)]]&gt;50, 0,Table9[[#This Row],[Source of Surface Water (40%)]]&lt;=20,4, TRUE, 2), 0)</f>
        <v>4</v>
      </c>
      <c r="BQ3" s="529">
        <f>Table9[[#This Row],[Source of Surface Water Score]]*'Detailed Rubric V3'!$I$53</f>
        <v>1.6</v>
      </c>
      <c r="BR3" s="529">
        <f>SUM(Table9[[#This Row],[Power Station Weighted Score]],Table9[[#This Row],[Gas Station Weighted Score]],Table9[[#This Row],[Source of Surface Water Weighted Score]])*'Detailed Rubric V3'!$C$51</f>
        <v>0.48</v>
      </c>
      <c r="BS3" s="529" t="s">
        <v>417</v>
      </c>
      <c r="BT3" s="529" cm="1">
        <f t="array" ref="BT3">_xlfn.IFS(Table9[[#This Row],[Other BEZA EZ (20%)]]="", 0, Table9[[#This Row],[Other BEZA EZ (20%)]]="Yes", 4, TRUE, 0)</f>
        <v>4</v>
      </c>
      <c r="BU3" s="529">
        <f>Table9[[#This Row],[Other BEZA EZ Score]]*'Detailed Rubric V3'!$C$66</f>
        <v>0.8</v>
      </c>
      <c r="BV3" s="529" t="s">
        <v>417</v>
      </c>
      <c r="BW3" s="529" cm="1">
        <f t="array" ref="BW3">_xlfn.IFS(Table9[[#This Row],[BEPZA/ BHPTA/ BSCIC (20%)]]="", 0, Table9[[#This Row],[BEPZA/ BHPTA/ BSCIC (20%)]]="Yes", 4, TRUE, 0)</f>
        <v>4</v>
      </c>
      <c r="BX3" s="529">
        <f>Table9[[#This Row],[BEPZA/ BHPTA/ BSCIC Score]]*'Detailed Rubric V3'!$F$66</f>
        <v>0.8</v>
      </c>
      <c r="BY3" s="529">
        <v>568</v>
      </c>
      <c r="BZ3" s="529" cm="1">
        <f t="array" ref="BZ3">_xlfn.IFS(Table9[[#This Row],[Cluster Industries (from SMI) (20%)]]="", 0, Table9[[#This Row],[Cluster Industries (from SMI) (20%)]]&gt;100, 4, Table9[[#This Row],[Cluster Industries (from SMI) (20%)]]&lt;50, 0, TRUE, 2)</f>
        <v>4</v>
      </c>
      <c r="CA3" s="529">
        <f>Table9[[#This Row],[Cluster Industries (from SMI) Score]]*'Detailed Rubric V3'!$I$66</f>
        <v>0.8</v>
      </c>
      <c r="CB3" s="529" t="s">
        <v>417</v>
      </c>
      <c r="CC3" s="529" cm="1">
        <f t="array" ref="CC3">_xlfn.IFS(Table9[[#This Row],[Located on Industrial corridor (40%)]]="", 0, Table9[[#This Row],[Located on Industrial corridor (40%)]]="Yes", 4, TRUE, 0)</f>
        <v>4</v>
      </c>
      <c r="CD3" s="529">
        <f>Table9[[#This Row],[Located on Industrial corridor Score]]*'Detailed Rubric V3'!$L$66</f>
        <v>1.6</v>
      </c>
      <c r="CE3" s="529">
        <f>SUM(Table9[[#This Row],[Other BEZA EZ Weighted Score]],Table9[[#This Row],[BEPZA/ BHPTA/ BSCIC Weighted Score]],Table9[[#This Row],[Unorganized (from SMI) Weighted Score]],Table9[[#This Row],[Located on Industrial corridor Weighted Score]])*'Detailed Rubric V3'!$C$64</f>
        <v>0.4</v>
      </c>
      <c r="CF3" s="529" t="s">
        <v>418</v>
      </c>
      <c r="CG3" s="529" cm="1">
        <f t="array" ref="CG3">_xlfn.IFS(Table9[[#This Row],[Economic/ Social priority (laggered area) (100%)]]="", 0, Table9[[#This Row],[Economic/ Social priority (laggered area) (100%)]]="Yes", 4, TRUE, 0)</f>
        <v>0</v>
      </c>
      <c r="CH3" s="529">
        <f>Table9[[#This Row],[Economic/ Social priority (laggered area) Score]]*'Detailed Rubric V3'!$C$82</f>
        <v>0</v>
      </c>
      <c r="CI3" s="529" t="s">
        <v>418</v>
      </c>
      <c r="CJ3" s="529" cm="1">
        <f t="array" ref="CJ3">_xlfn.IFS(Table9[[#This Row],[Regional Tax incentive  (0%)]]="", 0, Table9[[#This Row],[Regional Tax incentive  (0%)]]="Yes", 4, TRUE, 0)</f>
        <v>0</v>
      </c>
      <c r="CK3" s="529">
        <f>Table9[[#This Row],[Regional Tax incentive Score]]*'Detailed Rubric V3'!$F$82</f>
        <v>0</v>
      </c>
      <c r="CL3" s="529">
        <f>SUM(Table9[[#This Row],[Economic/ Social priority (laagered area) Weighted Score]],Table9[[#This Row],[Regional Tax incentive  Weighted Score]])*'Detailed Rubric V3'!$C$80</f>
        <v>0</v>
      </c>
      <c r="CM3" s="529">
        <v>1968862</v>
      </c>
      <c r="CN3" s="529" cm="1">
        <f t="array" ref="CN3">_xlfn.IFS(Table9[[#This Row],[Employable population (40%) 2013]]="", 0, Table9[[#This Row],[Employable population (40%) 2013]]&gt;200000, 4, Table9[[#This Row],[Employable population (40%) 2013]]&lt;100000,0, TRUE, 2)</f>
        <v>4</v>
      </c>
      <c r="CO3" s="529">
        <f>Table9[[#This Row],[Employable population Score]]*'Detailed Rubric V3'!$C$92</f>
        <v>1.6</v>
      </c>
      <c r="CP3" s="529">
        <v>0</v>
      </c>
      <c r="CQ3" s="529" cm="1">
        <f t="array" ref="CQ3">_xlfn.IFS(Table9[[#This Row],[Housing (20%)]]="", 0, Table9[[#This Row],[Housing (20%)]]&gt;50, 0, Table9[[#This Row],[Housing (20%)]]&lt;25, 4, TRUE, 2)</f>
        <v>4</v>
      </c>
      <c r="CR3" s="529">
        <f>Table9[[#This Row],[Housing Score]]*'Detailed Rubric V3'!$F$92</f>
        <v>0.8</v>
      </c>
      <c r="CS3" s="529">
        <v>76</v>
      </c>
      <c r="CT3" s="529" cm="1">
        <f t="array" ref="CT3">_xlfn.IFS(Table9[[#This Row],[Hotels (10%)]]="", 0, Table9[[#This Row],[Hotels (10%)]]&gt;25, 4, Table9[[#This Row],[Hotels (10%)]]&lt;5, 0, TRUE, 2)</f>
        <v>4</v>
      </c>
      <c r="CU3" s="529">
        <f>Table9[[#This Row],[Hotels Score]]*'Detailed Rubric V3'!$I$92</f>
        <v>0.4</v>
      </c>
      <c r="CV3" s="529">
        <v>217</v>
      </c>
      <c r="CW3" s="529" cm="1">
        <f t="array" ref="CW3">_xlfn.IFS(Table9[[#This Row],[Health (Hospital) (15%)]]="", 0, Table9[[#This Row],[Health (Hospital) (15%)]]&gt;10, 4, Table9[[#This Row],[Health (Hospital) (15%)]]&lt;5, 0, TRUE, 2)</f>
        <v>4</v>
      </c>
      <c r="CX3" s="529">
        <f>Table9[[#This Row],[Health (Hospital) Score]]*'Detailed Rubric V3'!$L$92</f>
        <v>0.6</v>
      </c>
      <c r="CY3" s="529">
        <f>20+14</f>
        <v>34</v>
      </c>
      <c r="CZ3" s="529" cm="1">
        <f t="array" ref="CZ3">_xlfn.IFS(Table9[[#This Row],[University/ Technical &amp; Vocational Institutions (15%)]]="", 0, Table9[[#This Row],[University/ Technical &amp; Vocational Institutions (15%)]]&gt;3, 4, Table9[[#This Row],[University/ Technical &amp; Vocational Institutions (15%)]]&lt;1, 0, TRUE, 2)</f>
        <v>4</v>
      </c>
      <c r="DA3" s="529">
        <f>Table9[[#This Row],[University/ Technical &amp; Vocational Institutions Score]]*'Detailed Rubric V3'!$O$92</f>
        <v>0.6</v>
      </c>
      <c r="DB3"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3" s="529" t="s">
        <v>417</v>
      </c>
      <c r="DD3" s="529" cm="1">
        <f t="array" ref="DD3">_xlfn.IFS(Table9[[#This Row],[Environment compliance (30%)]]="", 0, Table9[[#This Row],[Environment compliance (30%)]]="Yes", 4, TRUE, 0)</f>
        <v>4</v>
      </c>
      <c r="DE3" s="529">
        <f>Table9[[#This Row],[Environment compliance Score]]*'Detailed Rubric V3'!$C$104</f>
        <v>1.2</v>
      </c>
      <c r="DF3" s="529" t="s">
        <v>419</v>
      </c>
      <c r="DG3" s="529" cm="1">
        <f t="array" ref="DG3">_xlfn.IFS(Table9[[#This Row],[Flood Risk Index (30%)]]="", 0, Table9[[#This Row],[Flood Risk Index (30%)]]="Very Low", 4, Table9[[#This Row],[Flood Risk Index (30%)]]="Moderate &amp; Low", 2, TRUE, 0)</f>
        <v>2</v>
      </c>
      <c r="DH3" s="529">
        <f>Table9[[#This Row],[Flood Risk Index Score]]*'Detailed Rubric V3'!$F$104</f>
        <v>0.6</v>
      </c>
      <c r="DI3" s="529" t="s">
        <v>419</v>
      </c>
      <c r="DJ3" s="529" cm="1">
        <f t="array" ref="DJ3">_xlfn.IFS(Table9[[#This Row],[Earth Quake Risk Index (10%)]]="", 0, Table9[[#This Row],[Earth Quake Risk Index (10%)]]="Very Low", 4, Table9[[#This Row],[Earth Quake Risk Index (10%)]]="Moderate &amp; Low", 2, TRUE, 0)</f>
        <v>2</v>
      </c>
      <c r="DK3" s="529">
        <f>Table9[[#This Row],[Earth Quake Risk Index Score]]*'Detailed Rubric V3'!$I$104</f>
        <v>0.2</v>
      </c>
      <c r="DL3" s="529" t="s">
        <v>419</v>
      </c>
      <c r="DM3" s="529" cm="1">
        <f t="array" ref="DM3">_xlfn.IFS(Table9[[#This Row],[Sea Level Rise Risk Index (10%)]]="", 0, Table9[[#This Row],[Sea Level Rise Risk Index (10%)]]="Very Low", 4, Table9[[#This Row],[Sea Level Rise Risk Index (10%)]]="Moderate &amp; Low", 2, TRUE, 0)</f>
        <v>2</v>
      </c>
      <c r="DN3" s="529">
        <f>Table9[[#This Row],[Sea Level Rise  Risk Index Score]]*'Detailed Rubric V3'!$L$104</f>
        <v>0.2</v>
      </c>
      <c r="DO3" s="529" t="s">
        <v>420</v>
      </c>
      <c r="DP3" s="529" cm="1">
        <f t="array" ref="DP3">_xlfn.IFS(Table9[[#This Row],[Cyclone Risk Index (10%)]]="", 0, Table9[[#This Row],[Cyclone Risk Index (10%)]]="Very Low", 4, Table9[[#This Row],[Cyclone Risk Index (10%)]]="Moderate &amp; Low", 2, TRUE, 0)</f>
        <v>0</v>
      </c>
      <c r="DQ3" s="529">
        <f>Table9[[#This Row],[Cyclone Risk Index Score]]*'Detailed Rubric V3'!$O$104</f>
        <v>0</v>
      </c>
      <c r="DR3" s="529" t="s">
        <v>421</v>
      </c>
      <c r="DS3" s="529" cm="1">
        <f t="array" ref="DS3">_xlfn.IFS(Table9[[#This Row],[Storm Surge Risk Index (10%)]]="", 0, Table9[[#This Row],[Storm Surge Risk Index (10%)]]="Very Low", 4, Table9[[#This Row],[Storm Surge Risk Index (10%)]]="Moderate &amp; Low", 2, TRUE, 0)</f>
        <v>0</v>
      </c>
      <c r="DT3" s="529">
        <f>Table9[[#This Row],[Storm Surge Risk Index Score]]*'Detailed Rubric V3'!$R$104</f>
        <v>0</v>
      </c>
      <c r="DU3"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0.13199999999999998</v>
      </c>
      <c r="DV3" s="533">
        <f>SUM(Table9[[#This Row],[2.1. Connectivity/ Logistics (10% weightage)]],Table9[[#This Row],[2.2. Utility (12% weightage)]],Table9[[#This Row],[2.3. Agglomeration effects (10% weightage)]],Table9[[#This Row],[2.4. Regional Policy (4% weightage)]],Table9[[#This Row],[2.5. Social (8% weightage)]],Table9[[#This Row],[2.6. Environment (6% weightage)]])</f>
        <v>1.732</v>
      </c>
      <c r="DW3" s="308">
        <f>_xlfn.RANK.EQ(Table9[[#This Row],[Level 2 Score]],$DV$3:$DV$103)</f>
        <v>3</v>
      </c>
      <c r="DX3" s="533">
        <f>Table9[[#This Row],[Level 1 Score]]+Table9[[#This Row],[Level 2 Score]]</f>
        <v>3.3920000000000003</v>
      </c>
      <c r="DY3" s="308">
        <f>_xlfn.RANK.EQ(Table9[[#This Row],[Total Score]],$DX$3:$DX$103)</f>
        <v>1</v>
      </c>
      <c r="DZ3" s="237" t="str">
        <f>IF(Table9[[#This Row],[Count of Blanks]]&lt;=2, "Yes", "No")</f>
        <v>Yes</v>
      </c>
      <c r="EA3" s="237">
        <f>COUNTBLANK(Table9[[#This Row],[Name]:[Total Score Rank]])</f>
        <v>0</v>
      </c>
      <c r="EB3" s="237"/>
    </row>
    <row r="4" spans="2:132" x14ac:dyDescent="0.25">
      <c r="B4" s="220">
        <v>27</v>
      </c>
      <c r="C4" s="524" t="s">
        <v>17</v>
      </c>
      <c r="D4" s="220" t="s">
        <v>68</v>
      </c>
      <c r="E4" s="220" t="s">
        <v>68</v>
      </c>
      <c r="F4" s="220" t="s">
        <v>71</v>
      </c>
      <c r="G4" s="220" t="s">
        <v>70</v>
      </c>
      <c r="H4" s="525" t="s">
        <v>410</v>
      </c>
      <c r="I4" s="70" t="s">
        <v>411</v>
      </c>
      <c r="J4" s="227" t="s">
        <v>412</v>
      </c>
      <c r="K4" s="220">
        <f>IFERROR(VLOOKUP(Table9[[#This Row],[Land Availability (Grade)​
(50%)]],'Detailed Rubric V3'!$B$8:$C$11,2), 0)</f>
        <v>4</v>
      </c>
      <c r="L4" s="220">
        <f>IFERROR(Table9[[#This Row],[Land Availability (Grade)​ Score]]*'Detailed Rubric V3'!$C$6, "")</f>
        <v>2</v>
      </c>
      <c r="M4" s="222">
        <v>11004.665000000001</v>
      </c>
      <c r="N4" s="222" cm="1">
        <f t="array" ref="N4">_xlfn.IFS(Table9[[#This Row],[Land Size (Acres)
(15%)]]&lt;100,0,Table9[[#This Row],[Land Size (Acres)
(15%)]]&gt;500,4,TRUE,2)</f>
        <v>4</v>
      </c>
      <c r="O4" s="222">
        <f>Table9[[#This Row],[Land Size (Acres) Score]]*'Detailed Rubric V3'!$G$6</f>
        <v>0.6</v>
      </c>
      <c r="P4" s="526">
        <v>14598</v>
      </c>
      <c r="Q4" s="591">
        <f>(14598+13402)/(11004.665+9549.55)</f>
        <v>1.3622510030181156</v>
      </c>
      <c r="R4" s="526" cm="1">
        <f t="array" ref="R4">IF(Table9[[#This Row],[Name]]="Sitakundo Economic Zone", 4, _xlfn.IFS(Table9[[#This Row],[Site Filling Cost (Mn BDT)]]="",0,Table9[[#This Row],[Land Suitability
(Cost of Land Filling in Million BDT per acre)
(25%)]]&gt;5,0,Table9[[#This Row],[Land Suitability
(Cost of Land Filling in Million BDT per acre)
(25%)]]&lt;2,4,TRUE,2))</f>
        <v>4</v>
      </c>
      <c r="S4" s="526">
        <f>Table9[[#This Row],[Land Suitability for Construction Score]]*'Detailed Rubric V3'!$J$6</f>
        <v>1</v>
      </c>
      <c r="T4" s="526">
        <v>3045</v>
      </c>
      <c r="U4" s="591">
        <f>(3045+49464.7)/(11004.665+9549.55)</f>
        <v>2.5546925533278695</v>
      </c>
      <c r="V4" s="526" cm="1">
        <f t="array" ref="V4">IF(Table9[[#This Row],[Name]]="Sitakundo Economic Zone", 2, _xlfn.IFS(Table9[[#This Row],[Embankment/Dyke Cost (Mn BDT)]]="",0,Table9[[#This Row],[Cost of DRRI Infrastructure in million BDT per acre
(10%)]]&gt;5,0,Table9[[#This Row],[Cost of DRRI Infrastructure in million BDT per acre
(10%)]]&lt;2,4,TRUE,2))</f>
        <v>2</v>
      </c>
      <c r="W4" s="526">
        <f>Table9[[#This Row],[Requirement for Distaster Risk Reduction &amp; Resilience Infrastructure Score]]*'Detailed Rubric V3'!$M$6</f>
        <v>0.2</v>
      </c>
      <c r="X4"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0.76000000000000012</v>
      </c>
      <c r="Y4" s="452" t="s">
        <v>415</v>
      </c>
      <c r="Z4" s="583">
        <f>IFERROR(VLOOKUP(Table9[[#This Row],[Zone Priority
(40%)]],'Detailed Rubric V3'!$B$18:$C$21, 2,FALSE), 0)</f>
        <v>4</v>
      </c>
      <c r="AA4" s="583">
        <f>IFERROR(Table9[[#This Row],[Zone Priority Score]]*'Detailed Rubric V3'!$C$16, 0)</f>
        <v>0</v>
      </c>
      <c r="AB4" s="584" t="s">
        <v>416</v>
      </c>
      <c r="AC4" s="584">
        <f>VLOOKUP(Table9[[#This Row],[Existing BEZA Report
(60%)]],'Detailed Rubric V3'!$E$18:$F$20,2,FALSE)</f>
        <v>4</v>
      </c>
      <c r="AD4" s="584">
        <f>Table9[[#This Row],[Existing BEZA Report Score]]*'Detailed Rubric V3'!F$16</f>
        <v>4</v>
      </c>
      <c r="AE4" s="237">
        <f>(Table9[[#This Row],[Zone Priority Weighted Score]]+Table9[[#This Row],[Existing BEZA Report Weighted Score]])*'Detailed Rubric V3'!$C$14</f>
        <v>0.6</v>
      </c>
      <c r="AF4" s="528">
        <v>19</v>
      </c>
      <c r="AG4" s="585" cm="1">
        <f t="array" ref="AG4">_xlfn.IFS(Table9[[#This Row],[Existing Sectors
(50%)]]&gt;10, 4,Table9[[#This Row],[Existing Sectors
(50%)]]&lt;5, 0, TRUE, 2)</f>
        <v>4</v>
      </c>
      <c r="AH4" s="585">
        <f>Table9[[#This Row],[Existing Sectors Score]]*'Detailed Rubric V3'!$C$25</f>
        <v>2</v>
      </c>
      <c r="AI4" s="585">
        <v>19</v>
      </c>
      <c r="AJ4" s="585">
        <v>0</v>
      </c>
      <c r="AK4" s="585" cm="1">
        <f t="array" ref="AK4">_xlfn.IFS(Table9[[#This Row],[Potential New Sectors
(50%)]]&gt;5, 4, Table9[[#This Row],[Potential New Sectors
(50%)]]&lt;2,0, TRUE, 2)</f>
        <v>0</v>
      </c>
      <c r="AL4" s="585">
        <f>Table9[[#This Row],[Potential New Sectors Score]]*'Detailed Rubric V3'!$F$25</f>
        <v>0</v>
      </c>
      <c r="AM4" s="586">
        <f>(Table9[[#This Row],[Existing Sectors Weighted Score]]+Table9[[#This Row],[Potential New Sectors Weighted Score]])*'Detailed Rubric V3'!$C$23</f>
        <v>0.3</v>
      </c>
      <c r="AN4" s="530">
        <f>SUM(Table9[[#This Row],[1.1. Land Details (20% weightage)]],Table9[[#This Row],[1.2. BEZA Existing plans (15% weightage)]],Table9[[#This Row],[1.3. Sector Demand (15% weightage):]])</f>
        <v>1.6600000000000001</v>
      </c>
      <c r="AO4" s="531">
        <f>_xlfn.RANK.EQ(Table9[[#This Row],[Level 1 Score]],$AN$3:$AN$103)</f>
        <v>2</v>
      </c>
      <c r="AP4" s="529">
        <v>10</v>
      </c>
      <c r="AQ4" s="529" cm="1">
        <f t="array" ref="AQ4">_xlfn.IFS(Table9[[#This Row],[National Highway Connectivity (km)
(15%)]]="", 0, Table9[[#This Row],[National Highway Connectivity (km)
(15%)]]&gt;50, 0, Table9[[#This Row],[National Highway Connectivity (km)
(15%)]]&lt;=25, 4, TRUE, 2)</f>
        <v>4</v>
      </c>
      <c r="AR4" s="529">
        <f>Table9[[#This Row],[National Highway Connectivity Score]]*'Detailed Rubric V3'!$C$35</f>
        <v>0.6</v>
      </c>
      <c r="AS4" s="529" t="s">
        <v>417</v>
      </c>
      <c r="AT4" s="529" cm="1">
        <f t="array" ref="AT4">_xlfn.IFS(Table9[[#This Row],[Connecting Road to Highway (km)
(15%)]]="", 0, Table9[[#This Row],[Connecting Road to Highway (km)
(15%)]]="Yes", 4, TRUE, 0)</f>
        <v>4</v>
      </c>
      <c r="AU4" s="529">
        <f>Table9[[#This Row],[Connecting Road to Highway Score]]*'Detailed Rubric V3'!$F$35</f>
        <v>0.6</v>
      </c>
      <c r="AV4" s="529">
        <v>67</v>
      </c>
      <c r="AW4" s="529" cm="1">
        <f t="array" ref="AW4">_xlfn.IFS(Table9[[#This Row],[Seaport Connectivity (km)
(30%)]]="",0, Table9[[#This Row],[Seaport Connectivity (km)
(30%)]]&gt;400, 0,Table9[[#This Row],[Seaport Connectivity (km)
(30%)]]&lt;=200,4, TRUE, 2)</f>
        <v>4</v>
      </c>
      <c r="AX4" s="529">
        <f>Table9[[#This Row],[Seaport Connectivity Score]]*'Detailed Rubric V3'!$I$35</f>
        <v>1.2</v>
      </c>
      <c r="AY4" s="529">
        <v>79</v>
      </c>
      <c r="AZ4" s="529" cm="1">
        <f t="array" ref="AZ4">_xlfn.IFS(Table9[[#This Row],[Airport Connectivity (km)
(10%)]]="", 0, Table9[[#This Row],[Airport Connectivity (km)
(10%)]]&gt;200, 0, Table9[[#This Row],[Airport Connectivity (km)
(10%)]]&lt;=100,4,TRUE, 2)</f>
        <v>4</v>
      </c>
      <c r="BA4" s="529">
        <f>Table9[[#This Row],[Airport Connectivity Score]]*'Detailed Rubric V3'!$C$41</f>
        <v>0.4</v>
      </c>
      <c r="BB4" s="529">
        <v>11.5</v>
      </c>
      <c r="BC4" s="529" cm="1">
        <f t="array" ref="BC4">_xlfn.IFS(Table9[[#This Row],[Railway Station (km)
(10%)]]="", 0, Table9[[#This Row],[Railway Station (km)
(10%)]]&gt;150, 0,Table9[[#This Row],[Railway Station (km)
(10%)]]&lt;=50,4, TRUE, 2)</f>
        <v>4</v>
      </c>
      <c r="BD4" s="529">
        <f>Table9[[#This Row],[Railway Station Score]]*'Detailed Rubric V3'!$F$41</f>
        <v>0.4</v>
      </c>
      <c r="BE4" s="529">
        <v>0</v>
      </c>
      <c r="BF4" s="529" cm="1">
        <f t="array" ref="BF4">_xlfn.IFS(Table9[[#This Row],[Inland waterway/ Land port (km)
(20%)]]="", 0, Table9[[#This Row],[Inland waterway/ Land port (km)
(20%)]]&gt;200, 0,Table9[[#This Row],[Inland waterway/ Land port (km)
(20%)]]&lt;=50,4, TRUE, 2)</f>
        <v>4</v>
      </c>
      <c r="BG4" s="529">
        <f>Table9[[#This Row],[Inland waterway/ Land port Score]]*'Detailed Rubric V3'!$I$41</f>
        <v>0.8</v>
      </c>
      <c r="BH4"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0.4</v>
      </c>
      <c r="BI4" s="529">
        <v>7.2</v>
      </c>
      <c r="BJ4" s="529" cm="1">
        <f t="array" ref="BJ4">_xlfn.IFS(Table9[[#This Row],[Power Station (40%)]]="",0, Table9[[#This Row],[Power Station (40%)]]&gt;100, 0,Table9[[#This Row],[Power Station (40%)]]&lt;=50,4, TRUE, 2)</f>
        <v>4</v>
      </c>
      <c r="BK4" s="529">
        <f>Table9[[#This Row],[Power Station Score]]*'Detailed Rubric V3'!$C$53</f>
        <v>1.6</v>
      </c>
      <c r="BL4" s="529">
        <v>11</v>
      </c>
      <c r="BM4" s="529" cm="1">
        <f t="array" ref="BM4">IF(ISNUMBER(Table9[[#This Row],[Gas Station (20%)]]), _xlfn.IFS(Table9[[#This Row],[Gas Station (20%)]]="", 0, Table9[[#This Row],[Gas Station (20%)]]&gt;100, 0,Table9[[#This Row],[Gas Station (20%)]]&lt;=50,4, TRUE, 2), 0)</f>
        <v>4</v>
      </c>
      <c r="BN4" s="529">
        <f>Table9[[#This Row],[Gas Station Score]]*'Detailed Rubric V3'!$F$53</f>
        <v>0.8</v>
      </c>
      <c r="BO4" s="529">
        <v>16</v>
      </c>
      <c r="BP4" s="529" cm="1">
        <f t="array" ref="BP4">IF(ISNUMBER(Table9[[#This Row],[Source of Surface Water (40%)]]), _xlfn.IFS(Table9[[#This Row],[Source of Surface Water (40%)]]="", 0, Table9[[#This Row],[Source of Surface Water (40%)]]&gt;50, 0,Table9[[#This Row],[Source of Surface Water (40%)]]&lt;=20,4, TRUE, 2), 0)</f>
        <v>4</v>
      </c>
      <c r="BQ4" s="529">
        <f>Table9[[#This Row],[Source of Surface Water Score]]*'Detailed Rubric V3'!$I$53</f>
        <v>1.6</v>
      </c>
      <c r="BR4" s="529">
        <f>SUM(Table9[[#This Row],[Power Station Weighted Score]],Table9[[#This Row],[Gas Station Weighted Score]],Table9[[#This Row],[Source of Surface Water Weighted Score]])*'Detailed Rubric V3'!$C$51</f>
        <v>0.48</v>
      </c>
      <c r="BS4" s="529" t="s">
        <v>417</v>
      </c>
      <c r="BT4" s="529" cm="1">
        <f t="array" ref="BT4">_xlfn.IFS(Table9[[#This Row],[Other BEZA EZ (20%)]]="", 0, Table9[[#This Row],[Other BEZA EZ (20%)]]="Yes", 4, TRUE, 0)</f>
        <v>4</v>
      </c>
      <c r="BU4" s="529">
        <f>Table9[[#This Row],[Other BEZA EZ Score]]*'Detailed Rubric V3'!$C$66</f>
        <v>0.8</v>
      </c>
      <c r="BV4" s="529" t="s">
        <v>417</v>
      </c>
      <c r="BW4" s="529" cm="1">
        <f t="array" ref="BW4">_xlfn.IFS(Table9[[#This Row],[BEPZA/ BHPTA/ BSCIC (20%)]]="", 0, Table9[[#This Row],[BEPZA/ BHPTA/ BSCIC (20%)]]="Yes", 4, TRUE, 0)</f>
        <v>4</v>
      </c>
      <c r="BX4" s="529">
        <f>Table9[[#This Row],[BEPZA/ BHPTA/ BSCIC Score]]*'Detailed Rubric V3'!$F$66</f>
        <v>0.8</v>
      </c>
      <c r="BY4" s="529">
        <v>568</v>
      </c>
      <c r="BZ4" s="529" cm="1">
        <f t="array" ref="BZ4">_xlfn.IFS(Table9[[#This Row],[Cluster Industries (from SMI) (20%)]]="", 0, Table9[[#This Row],[Cluster Industries (from SMI) (20%)]]&gt;100, 4, Table9[[#This Row],[Cluster Industries (from SMI) (20%)]]&lt;50, 0, TRUE, 2)</f>
        <v>4</v>
      </c>
      <c r="CA4" s="529">
        <f>Table9[[#This Row],[Cluster Industries (from SMI) Score]]*'Detailed Rubric V3'!$I$66</f>
        <v>0.8</v>
      </c>
      <c r="CB4" s="529" t="s">
        <v>417</v>
      </c>
      <c r="CC4" s="529" cm="1">
        <f t="array" ref="CC4">_xlfn.IFS(Table9[[#This Row],[Located on Industrial corridor (40%)]]="", 0, Table9[[#This Row],[Located on Industrial corridor (40%)]]="Yes", 4, TRUE, 0)</f>
        <v>4</v>
      </c>
      <c r="CD4" s="529">
        <f>Table9[[#This Row],[Located on Industrial corridor Score]]*'Detailed Rubric V3'!$L$66</f>
        <v>1.6</v>
      </c>
      <c r="CE4" s="529">
        <f>SUM(Table9[[#This Row],[Other BEZA EZ Weighted Score]],Table9[[#This Row],[BEPZA/ BHPTA/ BSCIC Weighted Score]],Table9[[#This Row],[Unorganized (from SMI) Weighted Score]],Table9[[#This Row],[Located on Industrial corridor Weighted Score]])*'Detailed Rubric V3'!$C$64</f>
        <v>0.4</v>
      </c>
      <c r="CF4" s="529" t="s">
        <v>418</v>
      </c>
      <c r="CG4" s="529" cm="1">
        <f t="array" ref="CG4">_xlfn.IFS(Table9[[#This Row],[Economic/ Social priority (laggered area) (100%)]]="", 0, Table9[[#This Row],[Economic/ Social priority (laggered area) (100%)]]="Yes", 4, TRUE, 0)</f>
        <v>0</v>
      </c>
      <c r="CH4" s="529">
        <f>Table9[[#This Row],[Economic/ Social priority (laggered area) Score]]*'Detailed Rubric V3'!$C$82</f>
        <v>0</v>
      </c>
      <c r="CI4" s="529" t="s">
        <v>418</v>
      </c>
      <c r="CJ4" s="529" cm="1">
        <f t="array" ref="CJ4">_xlfn.IFS(Table9[[#This Row],[Regional Tax incentive  (0%)]]="", 0, Table9[[#This Row],[Regional Tax incentive  (0%)]]="Yes", 4, TRUE, 0)</f>
        <v>0</v>
      </c>
      <c r="CK4" s="529">
        <f>Table9[[#This Row],[Regional Tax incentive Score]]*'Detailed Rubric V3'!$F$82</f>
        <v>0</v>
      </c>
      <c r="CL4" s="529">
        <f>SUM(Table9[[#This Row],[Economic/ Social priority (laagered area) Weighted Score]],Table9[[#This Row],[Regional Tax incentive  Weighted Score]])*'Detailed Rubric V3'!$C$80</f>
        <v>0</v>
      </c>
      <c r="CM4" s="529">
        <v>1968862</v>
      </c>
      <c r="CN4" s="529" cm="1">
        <f t="array" ref="CN4">_xlfn.IFS(Table9[[#This Row],[Employable population (40%) 2013]]="", 0, Table9[[#This Row],[Employable population (40%) 2013]]&gt;200000, 4, Table9[[#This Row],[Employable population (40%) 2013]]&lt;100000,0, TRUE, 2)</f>
        <v>4</v>
      </c>
      <c r="CO4" s="529">
        <f>Table9[[#This Row],[Employable population Score]]*'Detailed Rubric V3'!$C$92</f>
        <v>1.6</v>
      </c>
      <c r="CP4" s="529">
        <v>0</v>
      </c>
      <c r="CQ4" s="529" cm="1">
        <f t="array" ref="CQ4">_xlfn.IFS(Table9[[#This Row],[Housing (20%)]]="", 0, Table9[[#This Row],[Housing (20%)]]&gt;50, 0, Table9[[#This Row],[Housing (20%)]]&lt;25, 4, TRUE, 2)</f>
        <v>4</v>
      </c>
      <c r="CR4" s="529">
        <f>Table9[[#This Row],[Housing Score]]*'Detailed Rubric V3'!$F$92</f>
        <v>0.8</v>
      </c>
      <c r="CS4" s="529">
        <v>76</v>
      </c>
      <c r="CT4" s="529" cm="1">
        <f t="array" ref="CT4">_xlfn.IFS(Table9[[#This Row],[Hotels (10%)]]="", 0, Table9[[#This Row],[Hotels (10%)]]&gt;25, 4, Table9[[#This Row],[Hotels (10%)]]&lt;5, 0, TRUE, 2)</f>
        <v>4</v>
      </c>
      <c r="CU4" s="529">
        <f>Table9[[#This Row],[Hotels Score]]*'Detailed Rubric V3'!$I$92</f>
        <v>0.4</v>
      </c>
      <c r="CV4" s="529">
        <v>217</v>
      </c>
      <c r="CW4" s="529" cm="1">
        <f t="array" ref="CW4">_xlfn.IFS(Table9[[#This Row],[Health (Hospital) (15%)]]="", 0, Table9[[#This Row],[Health (Hospital) (15%)]]&gt;10, 4, Table9[[#This Row],[Health (Hospital) (15%)]]&lt;5, 0, TRUE, 2)</f>
        <v>4</v>
      </c>
      <c r="CX4" s="529">
        <f>Table9[[#This Row],[Health (Hospital) Score]]*'Detailed Rubric V3'!$L$92</f>
        <v>0.6</v>
      </c>
      <c r="CY4" s="529">
        <f>20+14</f>
        <v>34</v>
      </c>
      <c r="CZ4" s="529" cm="1">
        <f t="array" ref="CZ4">_xlfn.IFS(Table9[[#This Row],[University/ Technical &amp; Vocational Institutions (15%)]]="", 0, Table9[[#This Row],[University/ Technical &amp; Vocational Institutions (15%)]]&gt;3, 4, Table9[[#This Row],[University/ Technical &amp; Vocational Institutions (15%)]]&lt;1, 0, TRUE, 2)</f>
        <v>4</v>
      </c>
      <c r="DA4" s="529">
        <f>Table9[[#This Row],[University/ Technical &amp; Vocational Institutions Score]]*'Detailed Rubric V3'!$O$92</f>
        <v>0.6</v>
      </c>
      <c r="DB4"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4" s="529" t="s">
        <v>417</v>
      </c>
      <c r="DD4" s="529" cm="1">
        <f t="array" ref="DD4">_xlfn.IFS(Table9[[#This Row],[Environment compliance (30%)]]="", 0, Table9[[#This Row],[Environment compliance (30%)]]="Yes", 4, TRUE, 0)</f>
        <v>4</v>
      </c>
      <c r="DE4" s="529">
        <f>Table9[[#This Row],[Environment compliance Score]]*'Detailed Rubric V3'!$C$104</f>
        <v>1.2</v>
      </c>
      <c r="DF4" s="529" t="s">
        <v>419</v>
      </c>
      <c r="DG4" s="529" cm="1">
        <f t="array" ref="DG4">_xlfn.IFS(Table9[[#This Row],[Flood Risk Index (30%)]]="", 0, Table9[[#This Row],[Flood Risk Index (30%)]]="Very Low", 4, Table9[[#This Row],[Flood Risk Index (30%)]]="Moderate &amp; Low", 2, TRUE, 0)</f>
        <v>2</v>
      </c>
      <c r="DH4" s="529">
        <f>Table9[[#This Row],[Flood Risk Index Score]]*'Detailed Rubric V3'!$F$104</f>
        <v>0.6</v>
      </c>
      <c r="DI4" s="529" t="s">
        <v>419</v>
      </c>
      <c r="DJ4" s="529" cm="1">
        <f t="array" ref="DJ4">_xlfn.IFS(Table9[[#This Row],[Earth Quake Risk Index (10%)]]="", 0, Table9[[#This Row],[Earth Quake Risk Index (10%)]]="Very Low", 4, Table9[[#This Row],[Earth Quake Risk Index (10%)]]="Moderate &amp; Low", 2, TRUE, 0)</f>
        <v>2</v>
      </c>
      <c r="DK4" s="529">
        <f>Table9[[#This Row],[Earth Quake Risk Index Score]]*'Detailed Rubric V3'!$I$104</f>
        <v>0.2</v>
      </c>
      <c r="DL4" s="529" t="s">
        <v>419</v>
      </c>
      <c r="DM4" s="529" cm="1">
        <f t="array" ref="DM4">_xlfn.IFS(Table9[[#This Row],[Sea Level Rise Risk Index (10%)]]="", 0, Table9[[#This Row],[Sea Level Rise Risk Index (10%)]]="Very Low", 4, Table9[[#This Row],[Sea Level Rise Risk Index (10%)]]="Moderate &amp; Low", 2, TRUE, 0)</f>
        <v>2</v>
      </c>
      <c r="DN4" s="529">
        <f>Table9[[#This Row],[Sea Level Rise  Risk Index Score]]*'Detailed Rubric V3'!$L$104</f>
        <v>0.2</v>
      </c>
      <c r="DO4" s="529" t="s">
        <v>420</v>
      </c>
      <c r="DP4" s="529" cm="1">
        <f t="array" ref="DP4">_xlfn.IFS(Table9[[#This Row],[Cyclone Risk Index (10%)]]="", 0, Table9[[#This Row],[Cyclone Risk Index (10%)]]="Very Low", 4, Table9[[#This Row],[Cyclone Risk Index (10%)]]="Moderate &amp; Low", 2, TRUE, 0)</f>
        <v>0</v>
      </c>
      <c r="DQ4" s="529">
        <f>Table9[[#This Row],[Cyclone Risk Index Score]]*'Detailed Rubric V3'!$O$104</f>
        <v>0</v>
      </c>
      <c r="DR4" s="529" t="s">
        <v>421</v>
      </c>
      <c r="DS4" s="529" cm="1">
        <f t="array" ref="DS4">_xlfn.IFS(Table9[[#This Row],[Storm Surge Risk Index (10%)]]="", 0, Table9[[#This Row],[Storm Surge Risk Index (10%)]]="Very Low", 4, Table9[[#This Row],[Storm Surge Risk Index (10%)]]="Moderate &amp; Low", 2, TRUE, 0)</f>
        <v>0</v>
      </c>
      <c r="DT4" s="529">
        <f>Table9[[#This Row],[Storm Surge Risk Index Score]]*'Detailed Rubric V3'!$R$104</f>
        <v>0</v>
      </c>
      <c r="DU4"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0.13199999999999998</v>
      </c>
      <c r="DV4" s="533">
        <f>SUM(Table9[[#This Row],[2.1. Connectivity/ Logistics (10% weightage)]],Table9[[#This Row],[2.2. Utility (12% weightage)]],Table9[[#This Row],[2.3. Agglomeration effects (10% weightage)]],Table9[[#This Row],[2.4. Regional Policy (4% weightage)]],Table9[[#This Row],[2.5. Social (8% weightage)]],Table9[[#This Row],[2.6. Environment (6% weightage)]])</f>
        <v>1.732</v>
      </c>
      <c r="DW4" s="308">
        <f>_xlfn.RANK.EQ(Table9[[#This Row],[Level 2 Score]],$DV$3:$DV$103)</f>
        <v>3</v>
      </c>
      <c r="DX4" s="533">
        <f>Table9[[#This Row],[Level 1 Score]]+Table9[[#This Row],[Level 2 Score]]</f>
        <v>3.3920000000000003</v>
      </c>
      <c r="DY4" s="308">
        <f>_xlfn.RANK.EQ(Table9[[#This Row],[Total Score]],$DX$3:$DX$103)</f>
        <v>1</v>
      </c>
      <c r="DZ4" s="237" t="str">
        <f>IF(Table9[[#This Row],[Count of Blanks]]&lt;=2, "Yes", "No")</f>
        <v>Yes</v>
      </c>
      <c r="EA4" s="237">
        <f>COUNTBLANK(Table9[[#This Row],[Name]:[Total Score Rank]])</f>
        <v>0</v>
      </c>
      <c r="EB4" s="237"/>
    </row>
    <row r="5" spans="2:132" ht="27" x14ac:dyDescent="0.25">
      <c r="B5" s="220">
        <v>60</v>
      </c>
      <c r="C5" s="221" t="s">
        <v>19</v>
      </c>
      <c r="D5" s="220" t="s">
        <v>68</v>
      </c>
      <c r="E5" s="220" t="s">
        <v>68</v>
      </c>
      <c r="F5" s="220" t="s">
        <v>69</v>
      </c>
      <c r="G5" s="220" t="s">
        <v>70</v>
      </c>
      <c r="H5" s="525" t="s">
        <v>422</v>
      </c>
      <c r="I5" s="70" t="s">
        <v>424</v>
      </c>
      <c r="J5" s="227" t="s">
        <v>412</v>
      </c>
      <c r="K5" s="220">
        <f>IFERROR(VLOOKUP(Table9[[#This Row],[Land Availability (Grade)​
(50%)]],'Detailed Rubric V3'!$B$8:$C$11,2), 0)</f>
        <v>4</v>
      </c>
      <c r="L5" s="220">
        <f>IFERROR(Table9[[#This Row],[Land Availability (Grade)​ Score]]*'Detailed Rubric V3'!$C$6, "")</f>
        <v>2</v>
      </c>
      <c r="M5" s="222">
        <v>1918.807</v>
      </c>
      <c r="N5" s="222" cm="1">
        <f t="array" ref="N5">_xlfn.IFS(Table9[[#This Row],[Land Size (Acres)
(15%)]]&lt;100,0,Table9[[#This Row],[Land Size (Acres)
(15%)]]&gt;500,4,TRUE,2)</f>
        <v>4</v>
      </c>
      <c r="O5" s="222">
        <f>Table9[[#This Row],[Land Size (Acres) Score]]*'Detailed Rubric V3'!$G$6</f>
        <v>0.6</v>
      </c>
      <c r="P5" s="526"/>
      <c r="Q5" s="591">
        <f>(14598+13402)/(11004.665+9549.55)</f>
        <v>1.3622510030181156</v>
      </c>
      <c r="R5" s="526" cm="1">
        <f t="array" ref="R5">IF(Table9[[#This Row],[Name]]="Sitakundo Economic Zone", 4, _xlfn.IFS(Table9[[#This Row],[Site Filling Cost (Mn BDT)]]="",0,Table9[[#This Row],[Land Suitability
(Cost of Land Filling in Million BDT per acre)
(25%)]]&gt;5,0,Table9[[#This Row],[Land Suitability
(Cost of Land Filling in Million BDT per acre)
(25%)]]&lt;2,4,TRUE,2))</f>
        <v>4</v>
      </c>
      <c r="S5" s="526">
        <f>Table9[[#This Row],[Land Suitability for Construction Score]]*'Detailed Rubric V3'!$J$6</f>
        <v>1</v>
      </c>
      <c r="T5" s="526"/>
      <c r="U5" s="591">
        <f>(3045+49464.7)/(11004.665+9549.55)</f>
        <v>2.5546925533278695</v>
      </c>
      <c r="V5" s="526" cm="1">
        <f t="array" ref="V5">IF(Table9[[#This Row],[Name]]="Sitakundo Economic Zone", 2, _xlfn.IFS(Table9[[#This Row],[Embankment/Dyke Cost (Mn BDT)]]="",0,Table9[[#This Row],[Cost of DRRI Infrastructure in million BDT per acre
(10%)]]&gt;5,0,Table9[[#This Row],[Cost of DRRI Infrastructure in million BDT per acre
(10%)]]&lt;2,4,TRUE,2))</f>
        <v>2</v>
      </c>
      <c r="W5" s="526">
        <f>Table9[[#This Row],[Requirement for Distaster Risk Reduction &amp; Resilience Infrastructure Score]]*'Detailed Rubric V3'!$M$6</f>
        <v>0.2</v>
      </c>
      <c r="X5"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0.76000000000000012</v>
      </c>
      <c r="Y5" s="227" t="s">
        <v>415</v>
      </c>
      <c r="Z5" s="583">
        <f>IFERROR(VLOOKUP(Table9[[#This Row],[Zone Priority
(40%)]],'Detailed Rubric V3'!$B$18:$C$21, 2,FALSE), 0)</f>
        <v>4</v>
      </c>
      <c r="AA5" s="583">
        <f>IFERROR(Table9[[#This Row],[Zone Priority Score]]*'Detailed Rubric V3'!$C$16, 0)</f>
        <v>0</v>
      </c>
      <c r="AB5" s="584" t="s">
        <v>416</v>
      </c>
      <c r="AC5" s="584">
        <f>VLOOKUP(Table9[[#This Row],[Existing BEZA Report
(60%)]],'Detailed Rubric V3'!$E$18:$F$20,2,FALSE)</f>
        <v>4</v>
      </c>
      <c r="AD5" s="584">
        <f>Table9[[#This Row],[Existing BEZA Report Score]]*'Detailed Rubric V3'!F$16</f>
        <v>4</v>
      </c>
      <c r="AE5" s="237">
        <f>(Table9[[#This Row],[Zone Priority Weighted Score]]+Table9[[#This Row],[Existing BEZA Report Weighted Score]])*'Detailed Rubric V3'!$C$14</f>
        <v>0.6</v>
      </c>
      <c r="AF5" s="528">
        <v>19</v>
      </c>
      <c r="AG5" s="585" cm="1">
        <f t="array" ref="AG5">_xlfn.IFS(Table9[[#This Row],[Existing Sectors
(50%)]]&gt;10, 4,Table9[[#This Row],[Existing Sectors
(50%)]]&lt;5, 0, TRUE, 2)</f>
        <v>4</v>
      </c>
      <c r="AH5" s="585">
        <f>Table9[[#This Row],[Existing Sectors Score]]*'Detailed Rubric V3'!$C$25</f>
        <v>2</v>
      </c>
      <c r="AI5" s="585">
        <v>19</v>
      </c>
      <c r="AJ5" s="585">
        <v>0</v>
      </c>
      <c r="AK5" s="585" cm="1">
        <f t="array" ref="AK5">_xlfn.IFS(Table9[[#This Row],[Potential New Sectors
(50%)]]&gt;5, 4, Table9[[#This Row],[Potential New Sectors
(50%)]]&lt;2,0, TRUE, 2)</f>
        <v>0</v>
      </c>
      <c r="AL5" s="585">
        <f>Table9[[#This Row],[Potential New Sectors Score]]*'Detailed Rubric V3'!$F$25</f>
        <v>0</v>
      </c>
      <c r="AM5" s="586">
        <f>(Table9[[#This Row],[Existing Sectors Weighted Score]]+Table9[[#This Row],[Potential New Sectors Weighted Score]])*'Detailed Rubric V3'!$C$23</f>
        <v>0.3</v>
      </c>
      <c r="AN5" s="530">
        <f>SUM(Table9[[#This Row],[1.1. Land Details (20% weightage)]],Table9[[#This Row],[1.2. BEZA Existing plans (15% weightage)]],Table9[[#This Row],[1.3. Sector Demand (15% weightage):]])</f>
        <v>1.6600000000000001</v>
      </c>
      <c r="AO5" s="531">
        <f>_xlfn.RANK.EQ(Table9[[#This Row],[Level 1 Score]],$AN$3:$AN$103)</f>
        <v>2</v>
      </c>
      <c r="AP5" s="529">
        <v>10</v>
      </c>
      <c r="AQ5" s="529" cm="1">
        <f t="array" ref="AQ5">_xlfn.IFS(Table9[[#This Row],[National Highway Connectivity (km)
(15%)]]="", 0, Table9[[#This Row],[National Highway Connectivity (km)
(15%)]]&gt;50, 0, Table9[[#This Row],[National Highway Connectivity (km)
(15%)]]&lt;=25, 4, TRUE, 2)</f>
        <v>4</v>
      </c>
      <c r="AR5" s="529">
        <f>Table9[[#This Row],[National Highway Connectivity Score]]*'Detailed Rubric V3'!$C$35</f>
        <v>0.6</v>
      </c>
      <c r="AS5" s="529" t="s">
        <v>417</v>
      </c>
      <c r="AT5" s="529" cm="1">
        <f t="array" ref="AT5">_xlfn.IFS(Table9[[#This Row],[Connecting Road to Highway (km)
(15%)]]="", 0, Table9[[#This Row],[Connecting Road to Highway (km)
(15%)]]="Yes", 4, TRUE, 0)</f>
        <v>4</v>
      </c>
      <c r="AU5" s="529">
        <f>Table9[[#This Row],[Connecting Road to Highway Score]]*'Detailed Rubric V3'!$F$35</f>
        <v>0.6</v>
      </c>
      <c r="AV5" s="529">
        <v>67</v>
      </c>
      <c r="AW5" s="529" cm="1">
        <f t="array" ref="AW5">_xlfn.IFS(Table9[[#This Row],[Seaport Connectivity (km)
(30%)]]="",0, Table9[[#This Row],[Seaport Connectivity (km)
(30%)]]&gt;400, 0,Table9[[#This Row],[Seaport Connectivity (km)
(30%)]]&lt;=200,4, TRUE, 2)</f>
        <v>4</v>
      </c>
      <c r="AX5" s="529">
        <f>Table9[[#This Row],[Seaport Connectivity Score]]*'Detailed Rubric V3'!$I$35</f>
        <v>1.2</v>
      </c>
      <c r="AY5" s="529">
        <v>79</v>
      </c>
      <c r="AZ5" s="529" cm="1">
        <f t="array" ref="AZ5">_xlfn.IFS(Table9[[#This Row],[Airport Connectivity (km)
(10%)]]="", 0, Table9[[#This Row],[Airport Connectivity (km)
(10%)]]&gt;200, 0, Table9[[#This Row],[Airport Connectivity (km)
(10%)]]&lt;=100,4,TRUE, 2)</f>
        <v>4</v>
      </c>
      <c r="BA5" s="529">
        <f>Table9[[#This Row],[Airport Connectivity Score]]*'Detailed Rubric V3'!$C$41</f>
        <v>0.4</v>
      </c>
      <c r="BB5" s="529">
        <v>11.5</v>
      </c>
      <c r="BC5" s="529" cm="1">
        <f t="array" ref="BC5">_xlfn.IFS(Table9[[#This Row],[Railway Station (km)
(10%)]]="", 0, Table9[[#This Row],[Railway Station (km)
(10%)]]&gt;150, 0,Table9[[#This Row],[Railway Station (km)
(10%)]]&lt;=50,4, TRUE, 2)</f>
        <v>4</v>
      </c>
      <c r="BD5" s="529">
        <f>Table9[[#This Row],[Railway Station Score]]*'Detailed Rubric V3'!$F$41</f>
        <v>0.4</v>
      </c>
      <c r="BE5" s="529">
        <v>0</v>
      </c>
      <c r="BF5" s="529" cm="1">
        <f t="array" ref="BF5">_xlfn.IFS(Table9[[#This Row],[Inland waterway/ Land port (km)
(20%)]]="", 0, Table9[[#This Row],[Inland waterway/ Land port (km)
(20%)]]&gt;200, 0,Table9[[#This Row],[Inland waterway/ Land port (km)
(20%)]]&lt;=50,4, TRUE, 2)</f>
        <v>4</v>
      </c>
      <c r="BG5" s="529">
        <f>Table9[[#This Row],[Inland waterway/ Land port Score]]*'Detailed Rubric V3'!$I$41</f>
        <v>0.8</v>
      </c>
      <c r="BH5"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0.4</v>
      </c>
      <c r="BI5" s="529">
        <v>7.2</v>
      </c>
      <c r="BJ5" s="529" cm="1">
        <f t="array" ref="BJ5">_xlfn.IFS(Table9[[#This Row],[Power Station (40%)]]="",0, Table9[[#This Row],[Power Station (40%)]]&gt;100, 0,Table9[[#This Row],[Power Station (40%)]]&lt;=50,4, TRUE, 2)</f>
        <v>4</v>
      </c>
      <c r="BK5" s="529">
        <f>Table9[[#This Row],[Power Station Score]]*'Detailed Rubric V3'!$C$53</f>
        <v>1.6</v>
      </c>
      <c r="BL5" s="529">
        <v>11</v>
      </c>
      <c r="BM5" s="529" cm="1">
        <f t="array" ref="BM5">IF(ISNUMBER(Table9[[#This Row],[Gas Station (20%)]]), _xlfn.IFS(Table9[[#This Row],[Gas Station (20%)]]="", 0, Table9[[#This Row],[Gas Station (20%)]]&gt;100, 0,Table9[[#This Row],[Gas Station (20%)]]&lt;=50,4, TRUE, 2), 0)</f>
        <v>4</v>
      </c>
      <c r="BN5" s="529">
        <f>Table9[[#This Row],[Gas Station Score]]*'Detailed Rubric V3'!$F$53</f>
        <v>0.8</v>
      </c>
      <c r="BO5" s="529">
        <v>16</v>
      </c>
      <c r="BP5" s="529" cm="1">
        <f t="array" ref="BP5">IF(ISNUMBER(Table9[[#This Row],[Source of Surface Water (40%)]]), _xlfn.IFS(Table9[[#This Row],[Source of Surface Water (40%)]]="", 0, Table9[[#This Row],[Source of Surface Water (40%)]]&gt;50, 0,Table9[[#This Row],[Source of Surface Water (40%)]]&lt;=20,4, TRUE, 2), 0)</f>
        <v>4</v>
      </c>
      <c r="BQ5" s="529">
        <f>Table9[[#This Row],[Source of Surface Water Score]]*'Detailed Rubric V3'!$I$53</f>
        <v>1.6</v>
      </c>
      <c r="BR5" s="529">
        <f>SUM(Table9[[#This Row],[Power Station Weighted Score]],Table9[[#This Row],[Gas Station Weighted Score]],Table9[[#This Row],[Source of Surface Water Weighted Score]])*'Detailed Rubric V3'!$C$51</f>
        <v>0.48</v>
      </c>
      <c r="BS5" s="529" t="s">
        <v>417</v>
      </c>
      <c r="BT5" s="529" cm="1">
        <f t="array" ref="BT5">_xlfn.IFS(Table9[[#This Row],[Other BEZA EZ (20%)]]="", 0, Table9[[#This Row],[Other BEZA EZ (20%)]]="Yes", 4, TRUE, 0)</f>
        <v>4</v>
      </c>
      <c r="BU5" s="529">
        <f>Table9[[#This Row],[Other BEZA EZ Score]]*'Detailed Rubric V3'!$C$66</f>
        <v>0.8</v>
      </c>
      <c r="BV5" s="529" t="s">
        <v>417</v>
      </c>
      <c r="BW5" s="529" cm="1">
        <f t="array" ref="BW5">_xlfn.IFS(Table9[[#This Row],[BEPZA/ BHPTA/ BSCIC (20%)]]="", 0, Table9[[#This Row],[BEPZA/ BHPTA/ BSCIC (20%)]]="Yes", 4, TRUE, 0)</f>
        <v>4</v>
      </c>
      <c r="BX5" s="529">
        <f>Table9[[#This Row],[BEPZA/ BHPTA/ BSCIC Score]]*'Detailed Rubric V3'!$F$66</f>
        <v>0.8</v>
      </c>
      <c r="BY5" s="529">
        <v>568</v>
      </c>
      <c r="BZ5" s="529" cm="1">
        <f t="array" ref="BZ5">_xlfn.IFS(Table9[[#This Row],[Cluster Industries (from SMI) (20%)]]="", 0, Table9[[#This Row],[Cluster Industries (from SMI) (20%)]]&gt;100, 4, Table9[[#This Row],[Cluster Industries (from SMI) (20%)]]&lt;50, 0, TRUE, 2)</f>
        <v>4</v>
      </c>
      <c r="CA5" s="529">
        <f>Table9[[#This Row],[Cluster Industries (from SMI) Score]]*'Detailed Rubric V3'!$I$66</f>
        <v>0.8</v>
      </c>
      <c r="CB5" s="529" t="s">
        <v>417</v>
      </c>
      <c r="CC5" s="529" cm="1">
        <f t="array" ref="CC5">_xlfn.IFS(Table9[[#This Row],[Located on Industrial corridor (40%)]]="", 0, Table9[[#This Row],[Located on Industrial corridor (40%)]]="Yes", 4, TRUE, 0)</f>
        <v>4</v>
      </c>
      <c r="CD5" s="529">
        <f>Table9[[#This Row],[Located on Industrial corridor Score]]*'Detailed Rubric V3'!$L$66</f>
        <v>1.6</v>
      </c>
      <c r="CE5" s="529">
        <f>SUM(Table9[[#This Row],[Other BEZA EZ Weighted Score]],Table9[[#This Row],[BEPZA/ BHPTA/ BSCIC Weighted Score]],Table9[[#This Row],[Unorganized (from SMI) Weighted Score]],Table9[[#This Row],[Located on Industrial corridor Weighted Score]])*'Detailed Rubric V3'!$C$64</f>
        <v>0.4</v>
      </c>
      <c r="CF5" s="529" t="s">
        <v>418</v>
      </c>
      <c r="CG5" s="529" cm="1">
        <f t="array" ref="CG5">_xlfn.IFS(Table9[[#This Row],[Economic/ Social priority (laggered area) (100%)]]="", 0, Table9[[#This Row],[Economic/ Social priority (laggered area) (100%)]]="Yes", 4, TRUE, 0)</f>
        <v>0</v>
      </c>
      <c r="CH5" s="529">
        <f>Table9[[#This Row],[Economic/ Social priority (laggered area) Score]]*'Detailed Rubric V3'!$C$82</f>
        <v>0</v>
      </c>
      <c r="CI5" s="529" t="s">
        <v>418</v>
      </c>
      <c r="CJ5" s="529" cm="1">
        <f t="array" ref="CJ5">_xlfn.IFS(Table9[[#This Row],[Regional Tax incentive  (0%)]]="", 0, Table9[[#This Row],[Regional Tax incentive  (0%)]]="Yes", 4, TRUE, 0)</f>
        <v>0</v>
      </c>
      <c r="CK5" s="529">
        <f>Table9[[#This Row],[Regional Tax incentive Score]]*'Detailed Rubric V3'!$F$82</f>
        <v>0</v>
      </c>
      <c r="CL5" s="529">
        <f>SUM(Table9[[#This Row],[Economic/ Social priority (laagered area) Weighted Score]],Table9[[#This Row],[Regional Tax incentive  Weighted Score]])*'Detailed Rubric V3'!$C$80</f>
        <v>0</v>
      </c>
      <c r="CM5" s="529">
        <v>1968862</v>
      </c>
      <c r="CN5" s="529" cm="1">
        <f t="array" ref="CN5">_xlfn.IFS(Table9[[#This Row],[Employable population (40%) 2013]]="", 0, Table9[[#This Row],[Employable population (40%) 2013]]&gt;200000, 4, Table9[[#This Row],[Employable population (40%) 2013]]&lt;100000,0, TRUE, 2)</f>
        <v>4</v>
      </c>
      <c r="CO5" s="529">
        <f>Table9[[#This Row],[Employable population Score]]*'Detailed Rubric V3'!$C$92</f>
        <v>1.6</v>
      </c>
      <c r="CP5" s="529">
        <v>0</v>
      </c>
      <c r="CQ5" s="529" cm="1">
        <f t="array" ref="CQ5">_xlfn.IFS(Table9[[#This Row],[Housing (20%)]]="", 0, Table9[[#This Row],[Housing (20%)]]&gt;50, 0, Table9[[#This Row],[Housing (20%)]]&lt;25, 4, TRUE, 2)</f>
        <v>4</v>
      </c>
      <c r="CR5" s="529">
        <f>Table9[[#This Row],[Housing Score]]*'Detailed Rubric V3'!$F$92</f>
        <v>0.8</v>
      </c>
      <c r="CS5" s="529">
        <v>76</v>
      </c>
      <c r="CT5" s="529" cm="1">
        <f t="array" ref="CT5">_xlfn.IFS(Table9[[#This Row],[Hotels (10%)]]="", 0, Table9[[#This Row],[Hotels (10%)]]&gt;25, 4, Table9[[#This Row],[Hotels (10%)]]&lt;5, 0, TRUE, 2)</f>
        <v>4</v>
      </c>
      <c r="CU5" s="529">
        <f>Table9[[#This Row],[Hotels Score]]*'Detailed Rubric V3'!$I$92</f>
        <v>0.4</v>
      </c>
      <c r="CV5" s="529">
        <v>217</v>
      </c>
      <c r="CW5" s="529" cm="1">
        <f t="array" ref="CW5">_xlfn.IFS(Table9[[#This Row],[Health (Hospital) (15%)]]="", 0, Table9[[#This Row],[Health (Hospital) (15%)]]&gt;10, 4, Table9[[#This Row],[Health (Hospital) (15%)]]&lt;5, 0, TRUE, 2)</f>
        <v>4</v>
      </c>
      <c r="CX5" s="529">
        <f>Table9[[#This Row],[Health (Hospital) Score]]*'Detailed Rubric V3'!$L$92</f>
        <v>0.6</v>
      </c>
      <c r="CY5" s="529">
        <f>20+14</f>
        <v>34</v>
      </c>
      <c r="CZ5" s="529" cm="1">
        <f t="array" ref="CZ5">_xlfn.IFS(Table9[[#This Row],[University/ Technical &amp; Vocational Institutions (15%)]]="", 0, Table9[[#This Row],[University/ Technical &amp; Vocational Institutions (15%)]]&gt;3, 4, Table9[[#This Row],[University/ Technical &amp; Vocational Institutions (15%)]]&lt;1, 0, TRUE, 2)</f>
        <v>4</v>
      </c>
      <c r="DA5" s="529">
        <f>Table9[[#This Row],[University/ Technical &amp; Vocational Institutions Score]]*'Detailed Rubric V3'!$O$92</f>
        <v>0.6</v>
      </c>
      <c r="DB5"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5" s="529" t="s">
        <v>417</v>
      </c>
      <c r="DD5" s="529" cm="1">
        <f t="array" ref="DD5">_xlfn.IFS(Table9[[#This Row],[Environment compliance (30%)]]="", 0, Table9[[#This Row],[Environment compliance (30%)]]="Yes", 4, TRUE, 0)</f>
        <v>4</v>
      </c>
      <c r="DE5" s="529">
        <f>Table9[[#This Row],[Environment compliance Score]]*'Detailed Rubric V3'!$C$104</f>
        <v>1.2</v>
      </c>
      <c r="DF5" s="529" t="s">
        <v>419</v>
      </c>
      <c r="DG5" s="529" cm="1">
        <f t="array" ref="DG5">_xlfn.IFS(Table9[[#This Row],[Flood Risk Index (30%)]]="", 0, Table9[[#This Row],[Flood Risk Index (30%)]]="Very Low", 4, Table9[[#This Row],[Flood Risk Index (30%)]]="Moderate &amp; Low", 2, TRUE, 0)</f>
        <v>2</v>
      </c>
      <c r="DH5" s="529">
        <f>Table9[[#This Row],[Flood Risk Index Score]]*'Detailed Rubric V3'!$F$104</f>
        <v>0.6</v>
      </c>
      <c r="DI5" s="529" t="s">
        <v>419</v>
      </c>
      <c r="DJ5" s="529" cm="1">
        <f t="array" ref="DJ5">_xlfn.IFS(Table9[[#This Row],[Earth Quake Risk Index (10%)]]="", 0, Table9[[#This Row],[Earth Quake Risk Index (10%)]]="Very Low", 4, Table9[[#This Row],[Earth Quake Risk Index (10%)]]="Moderate &amp; Low", 2, TRUE, 0)</f>
        <v>2</v>
      </c>
      <c r="DK5" s="529">
        <f>Table9[[#This Row],[Earth Quake Risk Index Score]]*'Detailed Rubric V3'!$I$104</f>
        <v>0.2</v>
      </c>
      <c r="DL5" s="529" t="s">
        <v>419</v>
      </c>
      <c r="DM5" s="529" cm="1">
        <f t="array" ref="DM5">_xlfn.IFS(Table9[[#This Row],[Sea Level Rise Risk Index (10%)]]="", 0, Table9[[#This Row],[Sea Level Rise Risk Index (10%)]]="Very Low", 4, Table9[[#This Row],[Sea Level Rise Risk Index (10%)]]="Moderate &amp; Low", 2, TRUE, 0)</f>
        <v>2</v>
      </c>
      <c r="DN5" s="529">
        <f>Table9[[#This Row],[Sea Level Rise  Risk Index Score]]*'Detailed Rubric V3'!$L$104</f>
        <v>0.2</v>
      </c>
      <c r="DO5" s="529" t="s">
        <v>420</v>
      </c>
      <c r="DP5" s="529" cm="1">
        <f t="array" ref="DP5">_xlfn.IFS(Table9[[#This Row],[Cyclone Risk Index (10%)]]="", 0, Table9[[#This Row],[Cyclone Risk Index (10%)]]="Very Low", 4, Table9[[#This Row],[Cyclone Risk Index (10%)]]="Moderate &amp; Low", 2, TRUE, 0)</f>
        <v>0</v>
      </c>
      <c r="DQ5" s="529">
        <f>Table9[[#This Row],[Cyclone Risk Index Score]]*'Detailed Rubric V3'!$O$104</f>
        <v>0</v>
      </c>
      <c r="DR5" s="529" t="s">
        <v>421</v>
      </c>
      <c r="DS5" s="529" cm="1">
        <f t="array" ref="DS5">_xlfn.IFS(Table9[[#This Row],[Storm Surge Risk Index (10%)]]="", 0, Table9[[#This Row],[Storm Surge Risk Index (10%)]]="Very Low", 4, Table9[[#This Row],[Storm Surge Risk Index (10%)]]="Moderate &amp; Low", 2, TRUE, 0)</f>
        <v>0</v>
      </c>
      <c r="DT5" s="529">
        <f>Table9[[#This Row],[Storm Surge Risk Index Score]]*'Detailed Rubric V3'!$R$104</f>
        <v>0</v>
      </c>
      <c r="DU5"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0.13199999999999998</v>
      </c>
      <c r="DV5" s="533">
        <f>SUM(Table9[[#This Row],[2.1. Connectivity/ Logistics (10% weightage)]],Table9[[#This Row],[2.2. Utility (12% weightage)]],Table9[[#This Row],[2.3. Agglomeration effects (10% weightage)]],Table9[[#This Row],[2.4. Regional Policy (4% weightage)]],Table9[[#This Row],[2.5. Social (8% weightage)]],Table9[[#This Row],[2.6. Environment (6% weightage)]])</f>
        <v>1.732</v>
      </c>
      <c r="DW5" s="232">
        <f>_xlfn.RANK.EQ(Table9[[#This Row],[Level 2 Score]],$DV$3:$DV$103)</f>
        <v>3</v>
      </c>
      <c r="DX5" s="533">
        <f>Table9[[#This Row],[Level 1 Score]]+Table9[[#This Row],[Level 2 Score]]</f>
        <v>3.3920000000000003</v>
      </c>
      <c r="DY5" s="232">
        <f>_xlfn.RANK.EQ(Table9[[#This Row],[Total Score]],$DX$3:$DX$103)</f>
        <v>1</v>
      </c>
      <c r="DZ5" s="237" t="str">
        <f>IF(Table9[[#This Row],[Count of Blanks]]&lt;=2, "Yes", "No")</f>
        <v>Yes</v>
      </c>
      <c r="EA5" s="237">
        <f>COUNTBLANK(Table9[[#This Row],[Name]:[Total Score Rank]])</f>
        <v>2</v>
      </c>
      <c r="EB5" s="237"/>
    </row>
    <row r="6" spans="2:132" ht="27" x14ac:dyDescent="0.25">
      <c r="B6" s="220">
        <v>66</v>
      </c>
      <c r="C6" s="221" t="s">
        <v>21</v>
      </c>
      <c r="D6" s="220" t="s">
        <v>76</v>
      </c>
      <c r="E6" s="220" t="s">
        <v>77</v>
      </c>
      <c r="F6" s="220" t="s">
        <v>78</v>
      </c>
      <c r="G6" s="220" t="s">
        <v>79</v>
      </c>
      <c r="H6" s="525" t="s">
        <v>410</v>
      </c>
      <c r="I6" s="70" t="s">
        <v>426</v>
      </c>
      <c r="J6" s="227" t="s">
        <v>412</v>
      </c>
      <c r="K6" s="220">
        <f>IFERROR(VLOOKUP(Table9[[#This Row],[Land Availability (Grade)​
(50%)]],'Detailed Rubric V3'!$B$8:$C$11,2), 0)</f>
        <v>4</v>
      </c>
      <c r="L6" s="220">
        <f>IFERROR(Table9[[#This Row],[Land Availability (Grade)​ Score]]*'Detailed Rubric V3'!$C$6, "")</f>
        <v>2</v>
      </c>
      <c r="M6" s="222">
        <v>1010.9</v>
      </c>
      <c r="N6" s="222" cm="1">
        <f t="array" ref="N6">_xlfn.IFS(Table9[[#This Row],[Land Size (Acres)
(15%)]]&lt;100,0,Table9[[#This Row],[Land Size (Acres)
(15%)]]&gt;500,4,TRUE,2)</f>
        <v>4</v>
      </c>
      <c r="O6" s="222">
        <f>Table9[[#This Row],[Land Size (Acres) Score]]*'Detailed Rubric V3'!$G$6</f>
        <v>0.6</v>
      </c>
      <c r="P6" s="526">
        <v>1500.9</v>
      </c>
      <c r="Q6" s="526">
        <f>IFERROR(Table9[[#This Row],[Site Filling Cost (Mn BDT)]]/Table9[[#This Row],[Land Size (Acres)
(15%)]],"")</f>
        <v>1.4847165891779603</v>
      </c>
      <c r="R6" s="526" cm="1">
        <f t="array" ref="R6">IF(Table9[[#This Row],[Name]]="Sitakundo Economic Zone", 4, _xlfn.IFS(Table9[[#This Row],[Site Filling Cost (Mn BDT)]]="",0,Table9[[#This Row],[Land Suitability
(Cost of Land Filling in Million BDT per acre)
(25%)]]&gt;5,0,Table9[[#This Row],[Land Suitability
(Cost of Land Filling in Million BDT per acre)
(25%)]]&lt;2,4,TRUE,2))</f>
        <v>4</v>
      </c>
      <c r="S6" s="526">
        <f>Table9[[#This Row],[Land Suitability for Construction Score]]*'Detailed Rubric V3'!$J$6</f>
        <v>1</v>
      </c>
      <c r="T6" s="526">
        <v>1230.9000000000001</v>
      </c>
      <c r="U6" s="526">
        <f>IFERROR(Table9[[#This Row],[Embankment/Dyke Cost (Mn BDT)]]/Table9[[#This Row],[Land Size (Acres)
(15%)]], 0)</f>
        <v>1.2176278563656149</v>
      </c>
      <c r="V6" s="526" cm="1">
        <f t="array" ref="V6">IF(Table9[[#This Row],[Name]]="Sitakundo Economic Zone", 2, _xlfn.IFS(Table9[[#This Row],[Embankment/Dyke Cost (Mn BDT)]]="",0,Table9[[#This Row],[Cost of DRRI Infrastructure in million BDT per acre
(10%)]]&gt;5,0,Table9[[#This Row],[Cost of DRRI Infrastructure in million BDT per acre
(10%)]]&lt;2,4,TRUE,2))</f>
        <v>4</v>
      </c>
      <c r="W6" s="526">
        <f>Table9[[#This Row],[Requirement for Distaster Risk Reduction &amp; Resilience Infrastructure Score]]*'Detailed Rubric V3'!$M$6</f>
        <v>0.4</v>
      </c>
      <c r="X6"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0.8</v>
      </c>
      <c r="Y6" s="227" t="s">
        <v>415</v>
      </c>
      <c r="Z6" s="210">
        <f>IFERROR(VLOOKUP(Table9[[#This Row],[Zone Priority
(40%)]],'Detailed Rubric V3'!$B$18:$C$21, 2,FALSE), 0)</f>
        <v>4</v>
      </c>
      <c r="AA6" s="210">
        <f>IFERROR(Table9[[#This Row],[Zone Priority Score]]*'Detailed Rubric V3'!$C$16, 0)</f>
        <v>0</v>
      </c>
      <c r="AB6" s="237" t="s">
        <v>416</v>
      </c>
      <c r="AC6" s="237">
        <f>VLOOKUP(Table9[[#This Row],[Existing BEZA Report
(60%)]],'Detailed Rubric V3'!$E$18:$F$20,2,FALSE)</f>
        <v>4</v>
      </c>
      <c r="AD6" s="237">
        <f>Table9[[#This Row],[Existing BEZA Report Score]]*'Detailed Rubric V3'!F$16</f>
        <v>4</v>
      </c>
      <c r="AE6" s="237">
        <f>(Table9[[#This Row],[Zone Priority Weighted Score]]+Table9[[#This Row],[Existing BEZA Report Weighted Score]])*'Detailed Rubric V3'!$C$14</f>
        <v>0.6</v>
      </c>
      <c r="AF6" s="528">
        <v>18</v>
      </c>
      <c r="AG6" s="529" cm="1">
        <f t="array" ref="AG6">_xlfn.IFS(Table9[[#This Row],[Existing Sectors
(50%)]]&gt;10, 4,Table9[[#This Row],[Existing Sectors
(50%)]]&lt;5, 0, TRUE, 2)</f>
        <v>4</v>
      </c>
      <c r="AH6" s="529">
        <f>Table9[[#This Row],[Existing Sectors Score]]*'Detailed Rubric V3'!$C$25</f>
        <v>2</v>
      </c>
      <c r="AI6" s="529">
        <v>18</v>
      </c>
      <c r="AJ6" s="529">
        <v>0</v>
      </c>
      <c r="AK6" s="529" cm="1">
        <f t="array" ref="AK6">_xlfn.IFS(Table9[[#This Row],[Potential New Sectors
(50%)]]&gt;5, 4, Table9[[#This Row],[Potential New Sectors
(50%)]]&lt;2,0, TRUE, 2)</f>
        <v>0</v>
      </c>
      <c r="AL6" s="529">
        <f>Table9[[#This Row],[Potential New Sectors Score]]*'Detailed Rubric V3'!$F$25</f>
        <v>0</v>
      </c>
      <c r="AM6" s="232">
        <f>(Table9[[#This Row],[Existing Sectors Weighted Score]]+Table9[[#This Row],[Potential New Sectors Weighted Score]])*'Detailed Rubric V3'!$C$23</f>
        <v>0.3</v>
      </c>
      <c r="AN6" s="530">
        <f>SUM(Table9[[#This Row],[1.1. Land Details (20% weightage)]],Table9[[#This Row],[1.2. BEZA Existing plans (15% weightage)]],Table9[[#This Row],[1.3. Sector Demand (15% weightage):]])</f>
        <v>1.7</v>
      </c>
      <c r="AO6" s="531">
        <f>_xlfn.RANK.EQ(Table9[[#This Row],[Level 1 Score]],$AN$3:$AN$103)</f>
        <v>1</v>
      </c>
      <c r="AP6" s="529">
        <v>35</v>
      </c>
      <c r="AQ6" s="529" cm="1">
        <f t="array" ref="AQ6">_xlfn.IFS(Table9[[#This Row],[National Highway Connectivity (km)
(15%)]]="", 0, Table9[[#This Row],[National Highway Connectivity (km)
(15%)]]&gt;50, 0, Table9[[#This Row],[National Highway Connectivity (km)
(15%)]]&lt;=25, 4, TRUE, 2)</f>
        <v>2</v>
      </c>
      <c r="AR6" s="529">
        <f>Table9[[#This Row],[National Highway Connectivity Score]]*'Detailed Rubric V3'!$C$35</f>
        <v>0.3</v>
      </c>
      <c r="AS6" s="529" t="s">
        <v>417</v>
      </c>
      <c r="AT6" s="529" cm="1">
        <f t="array" ref="AT6">_xlfn.IFS(Table9[[#This Row],[Connecting Road to Highway (km)
(15%)]]="", 0, Table9[[#This Row],[Connecting Road to Highway (km)
(15%)]]="Yes", 4, TRUE, 0)</f>
        <v>4</v>
      </c>
      <c r="AU6" s="529">
        <f>Table9[[#This Row],[Connecting Road to Highway Score]]*'Detailed Rubric V3'!$F$35</f>
        <v>0.6</v>
      </c>
      <c r="AV6" s="529">
        <v>258</v>
      </c>
      <c r="AW6" s="529" cm="1">
        <f t="array" ref="AW6">_xlfn.IFS(Table9[[#This Row],[Seaport Connectivity (km)
(30%)]]="",0, Table9[[#This Row],[Seaport Connectivity (km)
(30%)]]&gt;400, 0,Table9[[#This Row],[Seaport Connectivity (km)
(30%)]]&lt;=200,4, TRUE, 2)</f>
        <v>2</v>
      </c>
      <c r="AX6" s="529">
        <f>Table9[[#This Row],[Seaport Connectivity Score]]*'Detailed Rubric V3'!$I$35</f>
        <v>0.6</v>
      </c>
      <c r="AY6" s="529">
        <v>64</v>
      </c>
      <c r="AZ6" s="529" cm="1">
        <f t="array" ref="AZ6">_xlfn.IFS(Table9[[#This Row],[Airport Connectivity (km)
(10%)]]="", 0, Table9[[#This Row],[Airport Connectivity (km)
(10%)]]&gt;200, 0, Table9[[#This Row],[Airport Connectivity (km)
(10%)]]&lt;=100,4,TRUE, 2)</f>
        <v>4</v>
      </c>
      <c r="BA6" s="529">
        <f>Table9[[#This Row],[Airport Connectivity Score]]*'Detailed Rubric V3'!$C$41</f>
        <v>0.4</v>
      </c>
      <c r="BB6" s="529">
        <v>33</v>
      </c>
      <c r="BC6" s="529" cm="1">
        <f t="array" ref="BC6">_xlfn.IFS(Table9[[#This Row],[Railway Station (km)
(10%)]]="", 0, Table9[[#This Row],[Railway Station (km)
(10%)]]&gt;150, 0,Table9[[#This Row],[Railway Station (km)
(10%)]]&lt;=50,4, TRUE, 2)</f>
        <v>4</v>
      </c>
      <c r="BD6" s="529">
        <f>Table9[[#This Row],[Railway Station Score]]*'Detailed Rubric V3'!$F$41</f>
        <v>0.4</v>
      </c>
      <c r="BE6" s="529">
        <v>116</v>
      </c>
      <c r="BF6" s="529" cm="1">
        <f t="array" ref="BF6">_xlfn.IFS(Table9[[#This Row],[Inland waterway/ Land port (km)
(20%)]]="", 0, Table9[[#This Row],[Inland waterway/ Land port (km)
(20%)]]&gt;200, 0,Table9[[#This Row],[Inland waterway/ Land port (km)
(20%)]]&lt;=50,4, TRUE, 2)</f>
        <v>2</v>
      </c>
      <c r="BG6" s="529">
        <f>Table9[[#This Row],[Inland waterway/ Land port Score]]*'Detailed Rubric V3'!$I$41</f>
        <v>0.4</v>
      </c>
      <c r="BH6"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0.26999999999999996</v>
      </c>
      <c r="BI6" s="529">
        <v>15</v>
      </c>
      <c r="BJ6" s="529" cm="1">
        <f t="array" ref="BJ6">_xlfn.IFS(Table9[[#This Row],[Power Station (40%)]]="",0, Table9[[#This Row],[Power Station (40%)]]&gt;100, 0,Table9[[#This Row],[Power Station (40%)]]&lt;=50,4, TRUE, 2)</f>
        <v>4</v>
      </c>
      <c r="BK6" s="529">
        <f>Table9[[#This Row],[Power Station Score]]*'Detailed Rubric V3'!$C$53</f>
        <v>1.6</v>
      </c>
      <c r="BL6" s="529">
        <v>37</v>
      </c>
      <c r="BM6" s="529" cm="1">
        <f t="array" ref="BM6">IF(ISNUMBER(Table9[[#This Row],[Gas Station (20%)]]), _xlfn.IFS(Table9[[#This Row],[Gas Station (20%)]]="", 0, Table9[[#This Row],[Gas Station (20%)]]&gt;100, 0,Table9[[#This Row],[Gas Station (20%)]]&lt;=50,4, TRUE, 2), 0)</f>
        <v>4</v>
      </c>
      <c r="BN6" s="529">
        <f>Table9[[#This Row],[Gas Station Score]]*'Detailed Rubric V3'!$F$53</f>
        <v>0.8</v>
      </c>
      <c r="BO6" s="529">
        <v>1</v>
      </c>
      <c r="BP6" s="529" cm="1">
        <f t="array" ref="BP6">IF(ISNUMBER(Table9[[#This Row],[Source of Surface Water (40%)]]), _xlfn.IFS(Table9[[#This Row],[Source of Surface Water (40%)]]="", 0, Table9[[#This Row],[Source of Surface Water (40%)]]&gt;50, 0,Table9[[#This Row],[Source of Surface Water (40%)]]&lt;=20,4, TRUE, 2), 0)</f>
        <v>4</v>
      </c>
      <c r="BQ6" s="529">
        <f>Table9[[#This Row],[Source of Surface Water Score]]*'Detailed Rubric V3'!$I$53</f>
        <v>1.6</v>
      </c>
      <c r="BR6" s="529">
        <f>SUM(Table9[[#This Row],[Power Station Weighted Score]],Table9[[#This Row],[Gas Station Weighted Score]],Table9[[#This Row],[Source of Surface Water Weighted Score]])*'Detailed Rubric V3'!$C$51</f>
        <v>0.48</v>
      </c>
      <c r="BS6" s="529" t="s">
        <v>417</v>
      </c>
      <c r="BT6" s="529" cm="1">
        <f t="array" ref="BT6">_xlfn.IFS(Table9[[#This Row],[Other BEZA EZ (20%)]]="", 0, Table9[[#This Row],[Other BEZA EZ (20%)]]="Yes", 4, TRUE, 0)</f>
        <v>4</v>
      </c>
      <c r="BU6" s="529">
        <f>Table9[[#This Row],[Other BEZA EZ Score]]*'Detailed Rubric V3'!$C$66</f>
        <v>0.8</v>
      </c>
      <c r="BV6" s="529" t="s">
        <v>417</v>
      </c>
      <c r="BW6" s="529" cm="1">
        <f t="array" ref="BW6">_xlfn.IFS(Table9[[#This Row],[BEPZA/ BHPTA/ BSCIC (20%)]]="", 0, Table9[[#This Row],[BEPZA/ BHPTA/ BSCIC (20%)]]="Yes", 4, TRUE, 0)</f>
        <v>4</v>
      </c>
      <c r="BX6" s="529">
        <f>Table9[[#This Row],[BEPZA/ BHPTA/ BSCIC Score]]*'Detailed Rubric V3'!$F$66</f>
        <v>0.8</v>
      </c>
      <c r="BY6" s="529">
        <v>606</v>
      </c>
      <c r="BZ6" s="529" cm="1">
        <f t="array" ref="BZ6">_xlfn.IFS(Table9[[#This Row],[Cluster Industries (from SMI) (20%)]]="", 0, Table9[[#This Row],[Cluster Industries (from SMI) (20%)]]&gt;100, 4, Table9[[#This Row],[Cluster Industries (from SMI) (20%)]]&lt;50, 0, TRUE, 2)</f>
        <v>4</v>
      </c>
      <c r="CA6" s="529">
        <f>Table9[[#This Row],[Cluster Industries (from SMI) Score]]*'Detailed Rubric V3'!$I$66</f>
        <v>0.8</v>
      </c>
      <c r="CB6" s="529" t="s">
        <v>417</v>
      </c>
      <c r="CC6" s="529" cm="1">
        <f t="array" ref="CC6">_xlfn.IFS(Table9[[#This Row],[Located on Industrial corridor (40%)]]="", 0, Table9[[#This Row],[Located on Industrial corridor (40%)]]="Yes", 4, TRUE, 0)</f>
        <v>4</v>
      </c>
      <c r="CD6" s="529">
        <f>Table9[[#This Row],[Located on Industrial corridor Score]]*'Detailed Rubric V3'!$L$66</f>
        <v>1.6</v>
      </c>
      <c r="CE6" s="529">
        <f>SUM(Table9[[#This Row],[Other BEZA EZ Weighted Score]],Table9[[#This Row],[BEPZA/ BHPTA/ BSCIC Weighted Score]],Table9[[#This Row],[Unorganized (from SMI) Weighted Score]],Table9[[#This Row],[Located on Industrial corridor Weighted Score]])*'Detailed Rubric V3'!$C$64</f>
        <v>0.4</v>
      </c>
      <c r="CF6" s="529" t="s">
        <v>418</v>
      </c>
      <c r="CG6" s="529" cm="1">
        <f t="array" ref="CG6">_xlfn.IFS(Table9[[#This Row],[Economic/ Social priority (laggered area) (100%)]]="", 0, Table9[[#This Row],[Economic/ Social priority (laggered area) (100%)]]="Yes", 4, TRUE, 0)</f>
        <v>0</v>
      </c>
      <c r="CH6" s="529">
        <f>Table9[[#This Row],[Economic/ Social priority (laggered area) Score]]*'Detailed Rubric V3'!$C$82</f>
        <v>0</v>
      </c>
      <c r="CI6" s="529" t="s">
        <v>418</v>
      </c>
      <c r="CJ6" s="529" cm="1">
        <f t="array" ref="CJ6">_xlfn.IFS(Table9[[#This Row],[Regional Tax incentive  (0%)]]="", 0, Table9[[#This Row],[Regional Tax incentive  (0%)]]="Yes", 4, TRUE, 0)</f>
        <v>0</v>
      </c>
      <c r="CK6" s="529">
        <f>Table9[[#This Row],[Regional Tax incentive Score]]*'Detailed Rubric V3'!$F$82</f>
        <v>0</v>
      </c>
      <c r="CL6" s="529">
        <f>SUM(Table9[[#This Row],[Economic/ Social priority (laagered area) Weighted Score]],Table9[[#This Row],[Regional Tax incentive  Weighted Score]])*'Detailed Rubric V3'!$C$80</f>
        <v>0</v>
      </c>
      <c r="CM6" s="529">
        <v>861792</v>
      </c>
      <c r="CN6" s="529" cm="1">
        <f t="array" ref="CN6">_xlfn.IFS(Table9[[#This Row],[Employable population (40%) 2013]]="", 0, Table9[[#This Row],[Employable population (40%) 2013]]&gt;200000, 4, Table9[[#This Row],[Employable population (40%) 2013]]&lt;100000,0, TRUE, 2)</f>
        <v>4</v>
      </c>
      <c r="CO6" s="529">
        <f>Table9[[#This Row],[Employable population Score]]*'Detailed Rubric V3'!$C$92</f>
        <v>1.6</v>
      </c>
      <c r="CP6" s="529">
        <v>32</v>
      </c>
      <c r="CQ6" s="529" cm="1">
        <f t="array" ref="CQ6">_xlfn.IFS(Table9[[#This Row],[Housing (20%)]]="", 0, Table9[[#This Row],[Housing (20%)]]&gt;50, 0, Table9[[#This Row],[Housing (20%)]]&lt;25, 4, TRUE, 2)</f>
        <v>2</v>
      </c>
      <c r="CR6" s="529">
        <f>Table9[[#This Row],[Housing Score]]*'Detailed Rubric V3'!$F$92</f>
        <v>0.4</v>
      </c>
      <c r="CS6" s="529">
        <v>218</v>
      </c>
      <c r="CT6" s="529" cm="1">
        <f t="array" ref="CT6">_xlfn.IFS(Table9[[#This Row],[Hotels (10%)]]="", 0, Table9[[#This Row],[Hotels (10%)]]&gt;25, 4, Table9[[#This Row],[Hotels (10%)]]&lt;5, 0, TRUE, 2)</f>
        <v>4</v>
      </c>
      <c r="CU6" s="529">
        <f>Table9[[#This Row],[Hotels Score]]*'Detailed Rubric V3'!$I$92</f>
        <v>0.4</v>
      </c>
      <c r="CV6" s="529">
        <v>144</v>
      </c>
      <c r="CW6" s="529" cm="1">
        <f t="array" ref="CW6">_xlfn.IFS(Table9[[#This Row],[Health (Hospital) (15%)]]="", 0, Table9[[#This Row],[Health (Hospital) (15%)]]&gt;10, 4, Table9[[#This Row],[Health (Hospital) (15%)]]&lt;5, 0, TRUE, 2)</f>
        <v>4</v>
      </c>
      <c r="CX6" s="529">
        <f>Table9[[#This Row],[Health (Hospital) Score]]*'Detailed Rubric V3'!$L$92</f>
        <v>0.6</v>
      </c>
      <c r="CY6" s="529">
        <v>78</v>
      </c>
      <c r="CZ6" s="529" cm="1">
        <f t="array" ref="CZ6">_xlfn.IFS(Table9[[#This Row],[University/ Technical &amp; Vocational Institutions (15%)]]="", 0, Table9[[#This Row],[University/ Technical &amp; Vocational Institutions (15%)]]&gt;3, 4, Table9[[#This Row],[University/ Technical &amp; Vocational Institutions (15%)]]&lt;1, 0, TRUE, 2)</f>
        <v>4</v>
      </c>
      <c r="DA6" s="529">
        <f>Table9[[#This Row],[University/ Technical &amp; Vocational Institutions Score]]*'Detailed Rubric V3'!$O$92</f>
        <v>0.6</v>
      </c>
      <c r="DB6" s="529">
        <f>SUM(Table9[[#This Row],[Employable population Weighted Score]],Table9[[#This Row],[Housing Weighted Score]],Table9[[#This Row],[Hotels Weighted Score]],Table9[[#This Row],[Health (Hospital) Weighted Score]],Table9[[#This Row],[University/ Technical &amp; Vocational Institutions Weighted Score]])*'Detailed Rubric V3'!$C$90</f>
        <v>0.28800000000000003</v>
      </c>
      <c r="DC6" s="529" t="s">
        <v>417</v>
      </c>
      <c r="DD6" s="529" cm="1">
        <f t="array" ref="DD6">_xlfn.IFS(Table9[[#This Row],[Environment compliance (30%)]]="", 0, Table9[[#This Row],[Environment compliance (30%)]]="Yes", 4, TRUE, 0)</f>
        <v>4</v>
      </c>
      <c r="DE6" s="529">
        <f>Table9[[#This Row],[Environment compliance Score]]*'Detailed Rubric V3'!$C$104</f>
        <v>1.2</v>
      </c>
      <c r="DF6" s="529" t="s">
        <v>421</v>
      </c>
      <c r="DG6" s="529" cm="1">
        <f t="array" ref="DG6">_xlfn.IFS(Table9[[#This Row],[Flood Risk Index (30%)]]="", 0, Table9[[#This Row],[Flood Risk Index (30%)]]="Very Low", 4, Table9[[#This Row],[Flood Risk Index (30%)]]="Moderate &amp; Low", 2, TRUE, 0)</f>
        <v>0</v>
      </c>
      <c r="DH6" s="529">
        <f>Table9[[#This Row],[Flood Risk Index Score]]*'Detailed Rubric V3'!$F$104</f>
        <v>0</v>
      </c>
      <c r="DI6" s="529" t="s">
        <v>421</v>
      </c>
      <c r="DJ6" s="529" cm="1">
        <f t="array" ref="DJ6">_xlfn.IFS(Table9[[#This Row],[Earth Quake Risk Index (10%)]]="", 0, Table9[[#This Row],[Earth Quake Risk Index (10%)]]="Very Low", 4, Table9[[#This Row],[Earth Quake Risk Index (10%)]]="Moderate &amp; Low", 2, TRUE, 0)</f>
        <v>0</v>
      </c>
      <c r="DK6" s="529">
        <f>Table9[[#This Row],[Earth Quake Risk Index Score]]*'Detailed Rubric V3'!$I$104</f>
        <v>0</v>
      </c>
      <c r="DL6" s="529" t="s">
        <v>428</v>
      </c>
      <c r="DM6" s="529" cm="1">
        <f t="array" ref="DM6">_xlfn.IFS(Table9[[#This Row],[Sea Level Rise Risk Index (10%)]]="", 0, Table9[[#This Row],[Sea Level Rise Risk Index (10%)]]="Very Low", 4, Table9[[#This Row],[Sea Level Rise Risk Index (10%)]]="Moderate &amp; Low", 2, TRUE, 0)</f>
        <v>4</v>
      </c>
      <c r="DN6" s="529">
        <f>Table9[[#This Row],[Sea Level Rise  Risk Index Score]]*'Detailed Rubric V3'!$L$104</f>
        <v>0.4</v>
      </c>
      <c r="DO6" s="529" t="s">
        <v>420</v>
      </c>
      <c r="DP6" s="529" cm="1">
        <f t="array" ref="DP6">_xlfn.IFS(Table9[[#This Row],[Cyclone Risk Index (10%)]]="", 0, Table9[[#This Row],[Cyclone Risk Index (10%)]]="Very Low", 4, Table9[[#This Row],[Cyclone Risk Index (10%)]]="Moderate &amp; Low", 2, TRUE, 0)</f>
        <v>0</v>
      </c>
      <c r="DQ6" s="529">
        <f>Table9[[#This Row],[Cyclone Risk Index Score]]*'Detailed Rubric V3'!$O$104</f>
        <v>0</v>
      </c>
      <c r="DR6" s="529" t="s">
        <v>428</v>
      </c>
      <c r="DS6" s="529" cm="1">
        <f t="array" ref="DS6">_xlfn.IFS(Table9[[#This Row],[Storm Surge Risk Index (10%)]]="", 0, Table9[[#This Row],[Storm Surge Risk Index (10%)]]="Very Low", 4, Table9[[#This Row],[Storm Surge Risk Index (10%)]]="Moderate &amp; Low", 2, TRUE, 0)</f>
        <v>4</v>
      </c>
      <c r="DT6" s="529">
        <f>Table9[[#This Row],[Storm Surge Risk Index Score]]*'Detailed Rubric V3'!$R$104</f>
        <v>0.4</v>
      </c>
      <c r="DU6"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0.12</v>
      </c>
      <c r="DV6" s="533">
        <f>SUM(Table9[[#This Row],[2.1. Connectivity/ Logistics (10% weightage)]],Table9[[#This Row],[2.2. Utility (12% weightage)]],Table9[[#This Row],[2.3. Agglomeration effects (10% weightage)]],Table9[[#This Row],[2.4. Regional Policy (4% weightage)]],Table9[[#This Row],[2.5. Social (8% weightage)]],Table9[[#This Row],[2.6. Environment (6% weightage)]])</f>
        <v>1.5579999999999998</v>
      </c>
      <c r="DW6" s="308">
        <f>_xlfn.RANK.EQ(Table9[[#This Row],[Level 2 Score]],$DV$3:$DV$103)</f>
        <v>23</v>
      </c>
      <c r="DX6" s="533">
        <f>Table9[[#This Row],[Level 1 Score]]+Table9[[#This Row],[Level 2 Score]]</f>
        <v>3.258</v>
      </c>
      <c r="DY6" s="308">
        <f>_xlfn.RANK.EQ(Table9[[#This Row],[Total Score]],$DX$3:$DX$103)</f>
        <v>4</v>
      </c>
      <c r="DZ6" s="237" t="str">
        <f>IF(Table9[[#This Row],[Count of Blanks]]&lt;=2, "Yes", "No")</f>
        <v>Yes</v>
      </c>
      <c r="EA6" s="237">
        <f>COUNTBLANK(Table9[[#This Row],[Name]:[Total Score Rank]])</f>
        <v>0</v>
      </c>
      <c r="EB6" s="237"/>
    </row>
    <row r="7" spans="2:132" x14ac:dyDescent="0.25">
      <c r="B7" s="220">
        <v>52</v>
      </c>
      <c r="C7" s="221" t="s">
        <v>20</v>
      </c>
      <c r="D7" s="220" t="s">
        <v>68</v>
      </c>
      <c r="E7" s="220" t="s">
        <v>74</v>
      </c>
      <c r="F7" s="220" t="s">
        <v>75</v>
      </c>
      <c r="G7" s="220" t="s">
        <v>70</v>
      </c>
      <c r="H7" s="525" t="s">
        <v>410</v>
      </c>
      <c r="I7" s="70" t="s">
        <v>426</v>
      </c>
      <c r="J7" s="227" t="s">
        <v>412</v>
      </c>
      <c r="K7" s="220">
        <f>IFERROR(VLOOKUP(Table9[[#This Row],[Land Availability (Grade)​
(50%)]],'Detailed Rubric V3'!$B$8:$C$11,2), 0)</f>
        <v>4</v>
      </c>
      <c r="L7" s="220">
        <f>IFERROR(Table9[[#This Row],[Land Availability (Grade)​ Score]]*'Detailed Rubric V3'!$C$6, "")</f>
        <v>2</v>
      </c>
      <c r="M7" s="222">
        <v>965.36</v>
      </c>
      <c r="N7" s="222" cm="1">
        <f t="array" ref="N7">_xlfn.IFS(Table9[[#This Row],[Land Size (Acres)
(15%)]]&lt;100,0,Table9[[#This Row],[Land Size (Acres)
(15%)]]&gt;500,4,TRUE,2)</f>
        <v>4</v>
      </c>
      <c r="O7" s="222">
        <f>Table9[[#This Row],[Land Size (Acres) Score]]*'Detailed Rubric V3'!$G$6</f>
        <v>0.6</v>
      </c>
      <c r="P7" s="591">
        <v>4661.8999999999996</v>
      </c>
      <c r="Q7" s="526">
        <f>IFERROR(Table9[[#This Row],[Site Filling Cost (Mn BDT)]]/Table9[[#This Row],[Land Size (Acres)
(15%)]],"")</f>
        <v>4.8291828955001241</v>
      </c>
      <c r="R7" s="526" cm="1">
        <f t="array" ref="R7">IF(Table9[[#This Row],[Name]]="Sitakundo Economic Zone", 4, _xlfn.IFS(Table9[[#This Row],[Site Filling Cost (Mn BDT)]]="",0,Table9[[#This Row],[Land Suitability
(Cost of Land Filling in Million BDT per acre)
(25%)]]&gt;5,0,Table9[[#This Row],[Land Suitability
(Cost of Land Filling in Million BDT per acre)
(25%)]]&lt;2,4,TRUE,2))</f>
        <v>2</v>
      </c>
      <c r="S7" s="526">
        <f>Table9[[#This Row],[Land Suitability for Construction Score]]*'Detailed Rubric V3'!$J$6</f>
        <v>0.5</v>
      </c>
      <c r="T7" s="591">
        <v>4325.8999999999996</v>
      </c>
      <c r="U7" s="592">
        <f>IFERROR(Table9[[#This Row],[Embankment/Dyke Cost (Mn BDT)]]/Table9[[#This Row],[Land Size (Acres)
(15%)]], 0)</f>
        <v>4.4811262119830939</v>
      </c>
      <c r="V7" s="526" cm="1">
        <f t="array" ref="V7">IF(Table9[[#This Row],[Name]]="Sitakundo Economic Zone", 2, _xlfn.IFS(Table9[[#This Row],[Embankment/Dyke Cost (Mn BDT)]]="",0,Table9[[#This Row],[Cost of DRRI Infrastructure in million BDT per acre
(10%)]]&gt;5,0,Table9[[#This Row],[Cost of DRRI Infrastructure in million BDT per acre
(10%)]]&lt;2,4,TRUE,2))</f>
        <v>2</v>
      </c>
      <c r="W7" s="526">
        <f>Table9[[#This Row],[Requirement for Distaster Risk Reduction &amp; Resilience Infrastructure Score]]*'Detailed Rubric V3'!$M$6</f>
        <v>0.2</v>
      </c>
      <c r="X7" s="615">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0.66000000000000014</v>
      </c>
      <c r="Y7" s="227" t="s">
        <v>415</v>
      </c>
      <c r="Z7" s="210">
        <f>IFERROR(VLOOKUP(Table9[[#This Row],[Zone Priority
(40%)]],'Detailed Rubric V3'!$B$18:$C$21, 2,FALSE), 0)</f>
        <v>4</v>
      </c>
      <c r="AA7" s="210">
        <f>IFERROR(Table9[[#This Row],[Zone Priority Score]]*'Detailed Rubric V3'!$C$16, 0)</f>
        <v>0</v>
      </c>
      <c r="AB7" s="237" t="s">
        <v>416</v>
      </c>
      <c r="AC7" s="237">
        <f>VLOOKUP(Table9[[#This Row],[Existing BEZA Report
(60%)]],'Detailed Rubric V3'!$E$18:$F$20,2,FALSE)</f>
        <v>4</v>
      </c>
      <c r="AD7" s="237">
        <f>Table9[[#This Row],[Existing BEZA Report Score]]*'Detailed Rubric V3'!F$16</f>
        <v>4</v>
      </c>
      <c r="AE7" s="237">
        <f>(Table9[[#This Row],[Zone Priority Weighted Score]]+Table9[[#This Row],[Existing BEZA Report Weighted Score]])*'Detailed Rubric V3'!$C$14</f>
        <v>0.6</v>
      </c>
      <c r="AF7" s="528">
        <v>1</v>
      </c>
      <c r="AG7" s="529" cm="1">
        <f t="array" ref="AG7">_xlfn.IFS(Table9[[#This Row],[Existing Sectors
(50%)]]&gt;10, 4,Table9[[#This Row],[Existing Sectors
(50%)]]&lt;5, 0, TRUE, 2)</f>
        <v>0</v>
      </c>
      <c r="AH7" s="529">
        <f>Table9[[#This Row],[Existing Sectors Score]]*'Detailed Rubric V3'!$C$25</f>
        <v>0</v>
      </c>
      <c r="AI7" s="529">
        <v>4</v>
      </c>
      <c r="AJ7" s="529">
        <v>3</v>
      </c>
      <c r="AK7" s="529" cm="1">
        <f t="array" ref="AK7">_xlfn.IFS(Table9[[#This Row],[Potential New Sectors
(50%)]]&gt;5, 4, Table9[[#This Row],[Potential New Sectors
(50%)]]&lt;2,0, TRUE, 2)</f>
        <v>2</v>
      </c>
      <c r="AL7" s="529">
        <f>Table9[[#This Row],[Potential New Sectors Score]]*'Detailed Rubric V3'!$F$25</f>
        <v>1</v>
      </c>
      <c r="AM7" s="232">
        <f>(Table9[[#This Row],[Existing Sectors Weighted Score]]+Table9[[#This Row],[Potential New Sectors Weighted Score]])*'Detailed Rubric V3'!$C$23</f>
        <v>0.15</v>
      </c>
      <c r="AN7" s="530">
        <f>SUM(Table9[[#This Row],[1.1. Land Details (20% weightage)]],Table9[[#This Row],[1.2. BEZA Existing plans (15% weightage)]],Table9[[#This Row],[1.3. Sector Demand (15% weightage):]])</f>
        <v>1.4100000000000001</v>
      </c>
      <c r="AO7" s="531">
        <f>_xlfn.RANK.EQ(Table9[[#This Row],[Level 1 Score]],$AN$3:$AN$103)</f>
        <v>8</v>
      </c>
      <c r="AP7" s="529">
        <v>1</v>
      </c>
      <c r="AQ7" s="529" cm="1">
        <f t="array" ref="AQ7">_xlfn.IFS(Table9[[#This Row],[National Highway Connectivity (km)
(15%)]]="", 0, Table9[[#This Row],[National Highway Connectivity (km)
(15%)]]&gt;50, 0, Table9[[#This Row],[National Highway Connectivity (km)
(15%)]]&lt;=25, 4, TRUE, 2)</f>
        <v>4</v>
      </c>
      <c r="AR7" s="529">
        <f>Table9[[#This Row],[National Highway Connectivity Score]]*'Detailed Rubric V3'!$C$35</f>
        <v>0.6</v>
      </c>
      <c r="AS7" s="529" t="s">
        <v>417</v>
      </c>
      <c r="AT7" s="529" cm="1">
        <f t="array" ref="AT7">_xlfn.IFS(Table9[[#This Row],[Connecting Road to Highway (km)
(15%)]]="", 0, Table9[[#This Row],[Connecting Road to Highway (km)
(15%)]]="Yes", 4, TRUE, 0)</f>
        <v>4</v>
      </c>
      <c r="AU7" s="529">
        <f>Table9[[#This Row],[Connecting Road to Highway Score]]*'Detailed Rubric V3'!$F$35</f>
        <v>0.6</v>
      </c>
      <c r="AV7" s="529">
        <v>30</v>
      </c>
      <c r="AW7" s="529" cm="1">
        <f t="array" ref="AW7">_xlfn.IFS(Table9[[#This Row],[Seaport Connectivity (km)
(30%)]]="",0, Table9[[#This Row],[Seaport Connectivity (km)
(30%)]]&gt;400, 0,Table9[[#This Row],[Seaport Connectivity (km)
(30%)]]&lt;=200,4, TRUE, 2)</f>
        <v>4</v>
      </c>
      <c r="AX7" s="529">
        <f>Table9[[#This Row],[Seaport Connectivity Score]]*'Detailed Rubric V3'!$I$35</f>
        <v>1.2</v>
      </c>
      <c r="AY7" s="529">
        <v>30</v>
      </c>
      <c r="AZ7" s="529" cm="1">
        <f t="array" ref="AZ7">_xlfn.IFS(Table9[[#This Row],[Airport Connectivity (km)
(10%)]]="", 0, Table9[[#This Row],[Airport Connectivity (km)
(10%)]]&gt;200, 0, Table9[[#This Row],[Airport Connectivity (km)
(10%)]]&lt;=100,4,TRUE, 2)</f>
        <v>4</v>
      </c>
      <c r="BA7" s="529">
        <f>Table9[[#This Row],[Airport Connectivity Score]]*'Detailed Rubric V3'!$C$41</f>
        <v>0.4</v>
      </c>
      <c r="BB7" s="529">
        <v>17</v>
      </c>
      <c r="BC7" s="529" cm="1">
        <f t="array" ref="BC7">_xlfn.IFS(Table9[[#This Row],[Railway Station (km)
(10%)]]="", 0, Table9[[#This Row],[Railway Station (km)
(10%)]]&gt;150, 0,Table9[[#This Row],[Railway Station (km)
(10%)]]&lt;=50,4, TRUE, 2)</f>
        <v>4</v>
      </c>
      <c r="BD7" s="529">
        <f>Table9[[#This Row],[Railway Station Score]]*'Detailed Rubric V3'!$F$41</f>
        <v>0.4</v>
      </c>
      <c r="BE7" s="529">
        <v>30</v>
      </c>
      <c r="BF7" s="529" cm="1">
        <f t="array" ref="BF7">_xlfn.IFS(Table9[[#This Row],[Inland waterway/ Land port (km)
(20%)]]="", 0, Table9[[#This Row],[Inland waterway/ Land port (km)
(20%)]]&gt;200, 0,Table9[[#This Row],[Inland waterway/ Land port (km)
(20%)]]&lt;=50,4, TRUE, 2)</f>
        <v>4</v>
      </c>
      <c r="BG7" s="529">
        <f>Table9[[#This Row],[Inland waterway/ Land port Score]]*'Detailed Rubric V3'!$I$41</f>
        <v>0.8</v>
      </c>
      <c r="BH7"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0.4</v>
      </c>
      <c r="BI7" s="529">
        <v>4</v>
      </c>
      <c r="BJ7" s="529" cm="1">
        <f t="array" ref="BJ7">_xlfn.IFS(Table9[[#This Row],[Power Station (40%)]]="",0, Table9[[#This Row],[Power Station (40%)]]&gt;100, 0,Table9[[#This Row],[Power Station (40%)]]&lt;=50,4, TRUE, 2)</f>
        <v>4</v>
      </c>
      <c r="BK7" s="529">
        <f>Table9[[#This Row],[Power Station Score]]*'Detailed Rubric V3'!$C$53</f>
        <v>1.6</v>
      </c>
      <c r="BL7" s="529">
        <v>2</v>
      </c>
      <c r="BM7" s="529" cm="1">
        <f t="array" ref="BM7">IF(ISNUMBER(Table9[[#This Row],[Gas Station (20%)]]), _xlfn.IFS(Table9[[#This Row],[Gas Station (20%)]]="", 0, Table9[[#This Row],[Gas Station (20%)]]&gt;100, 0,Table9[[#This Row],[Gas Station (20%)]]&lt;=50,4, TRUE, 2), 0)</f>
        <v>4</v>
      </c>
      <c r="BN7" s="529">
        <f>Table9[[#This Row],[Gas Station Score]]*'Detailed Rubric V3'!$F$53</f>
        <v>0.8</v>
      </c>
      <c r="BO7" s="529">
        <v>20</v>
      </c>
      <c r="BP7" s="529" cm="1">
        <f t="array" ref="BP7">IF(ISNUMBER(Table9[[#This Row],[Source of Surface Water (40%)]]), _xlfn.IFS(Table9[[#This Row],[Source of Surface Water (40%)]]="", 0, Table9[[#This Row],[Source of Surface Water (40%)]]&gt;50, 0,Table9[[#This Row],[Source of Surface Water (40%)]]&lt;=20,4, TRUE, 2), 0)</f>
        <v>4</v>
      </c>
      <c r="BQ7" s="529">
        <f>Table9[[#This Row],[Source of Surface Water Score]]*'Detailed Rubric V3'!$I$53</f>
        <v>1.6</v>
      </c>
      <c r="BR7" s="529">
        <f>SUM(Table9[[#This Row],[Power Station Weighted Score]],Table9[[#This Row],[Gas Station Weighted Score]],Table9[[#This Row],[Source of Surface Water Weighted Score]])*'Detailed Rubric V3'!$C$51</f>
        <v>0.48</v>
      </c>
      <c r="BS7" s="529" t="s">
        <v>417</v>
      </c>
      <c r="BT7" s="529" cm="1">
        <f t="array" ref="BT7">_xlfn.IFS(Table9[[#This Row],[Other BEZA EZ (20%)]]="", 0, Table9[[#This Row],[Other BEZA EZ (20%)]]="Yes", 4, TRUE, 0)</f>
        <v>4</v>
      </c>
      <c r="BU7" s="529">
        <f>Table9[[#This Row],[Other BEZA EZ Score]]*'Detailed Rubric V3'!$C$66</f>
        <v>0.8</v>
      </c>
      <c r="BV7" s="529" t="s">
        <v>417</v>
      </c>
      <c r="BW7" s="529" cm="1">
        <f t="array" ref="BW7">_xlfn.IFS(Table9[[#This Row],[BEPZA/ BHPTA/ BSCIC (20%)]]="", 0, Table9[[#This Row],[BEPZA/ BHPTA/ BSCIC (20%)]]="Yes", 4, TRUE, 0)</f>
        <v>4</v>
      </c>
      <c r="BX7" s="529">
        <f>Table9[[#This Row],[BEPZA/ BHPTA/ BSCIC Score]]*'Detailed Rubric V3'!$F$66</f>
        <v>0.8</v>
      </c>
      <c r="BY7" s="529">
        <v>38</v>
      </c>
      <c r="BZ7" s="529" cm="1">
        <f t="array" ref="BZ7">_xlfn.IFS(Table9[[#This Row],[Cluster Industries (from SMI) (20%)]]="", 0, Table9[[#This Row],[Cluster Industries (from SMI) (20%)]]&gt;100, 4, Table9[[#This Row],[Cluster Industries (from SMI) (20%)]]&lt;50, 0, TRUE, 2)</f>
        <v>0</v>
      </c>
      <c r="CA7" s="529">
        <f>Table9[[#This Row],[Cluster Industries (from SMI) Score]]*'Detailed Rubric V3'!$I$66</f>
        <v>0</v>
      </c>
      <c r="CB7" s="529" t="s">
        <v>417</v>
      </c>
      <c r="CC7" s="529" cm="1">
        <f t="array" ref="CC7">_xlfn.IFS(Table9[[#This Row],[Located on Industrial corridor (40%)]]="", 0, Table9[[#This Row],[Located on Industrial corridor (40%)]]="Yes", 4, TRUE, 0)</f>
        <v>4</v>
      </c>
      <c r="CD7" s="529">
        <f>Table9[[#This Row],[Located on Industrial corridor Score]]*'Detailed Rubric V3'!$L$66</f>
        <v>1.6</v>
      </c>
      <c r="CE7" s="529">
        <f>SUM(Table9[[#This Row],[Other BEZA EZ Weighted Score]],Table9[[#This Row],[BEPZA/ BHPTA/ BSCIC Weighted Score]],Table9[[#This Row],[Unorganized (from SMI) Weighted Score]],Table9[[#This Row],[Located on Industrial corridor Weighted Score]])*'Detailed Rubric V3'!$C$64</f>
        <v>0.32000000000000006</v>
      </c>
      <c r="CF7" s="529" t="s">
        <v>417</v>
      </c>
      <c r="CG7" s="529" cm="1">
        <f t="array" ref="CG7">_xlfn.IFS(Table9[[#This Row],[Economic/ Social priority (laggered area) (100%)]]="", 0, Table9[[#This Row],[Economic/ Social priority (laggered area) (100%)]]="Yes", 4, TRUE, 0)</f>
        <v>4</v>
      </c>
      <c r="CH7" s="529">
        <f>Table9[[#This Row],[Economic/ Social priority (laggered area) Score]]*'Detailed Rubric V3'!$C$82</f>
        <v>4</v>
      </c>
      <c r="CI7" s="529" t="s">
        <v>417</v>
      </c>
      <c r="CJ7" s="529" cm="1">
        <f t="array" ref="CJ7">_xlfn.IFS(Table9[[#This Row],[Regional Tax incentive  (0%)]]="", 0, Table9[[#This Row],[Regional Tax incentive  (0%)]]="Yes", 4, TRUE, 0)</f>
        <v>4</v>
      </c>
      <c r="CK7" s="529">
        <f>Table9[[#This Row],[Regional Tax incentive Score]]*'Detailed Rubric V3'!$F$82</f>
        <v>0</v>
      </c>
      <c r="CL7" s="529">
        <f>SUM(Table9[[#This Row],[Economic/ Social priority (laagered area) Weighted Score]],Table9[[#This Row],[Regional Tax incentive  Weighted Score]])*'Detailed Rubric V3'!$C$80</f>
        <v>0.16</v>
      </c>
      <c r="CM7" s="529">
        <v>260078</v>
      </c>
      <c r="CN7" s="529" cm="1">
        <f t="array" ref="CN7">_xlfn.IFS(Table9[[#This Row],[Employable population (40%) 2013]]="", 0, Table9[[#This Row],[Employable population (40%) 2013]]&gt;200000, 4, Table9[[#This Row],[Employable population (40%) 2013]]&lt;100000,0, TRUE, 2)</f>
        <v>4</v>
      </c>
      <c r="CO7" s="529">
        <f>Table9[[#This Row],[Employable population Score]]*'Detailed Rubric V3'!$C$92</f>
        <v>1.6</v>
      </c>
      <c r="CP7" s="529">
        <v>15</v>
      </c>
      <c r="CQ7" s="529" cm="1">
        <f t="array" ref="CQ7">_xlfn.IFS(Table9[[#This Row],[Housing (20%)]]="", 0, Table9[[#This Row],[Housing (20%)]]&gt;50, 0, Table9[[#This Row],[Housing (20%)]]&lt;25, 4, TRUE, 2)</f>
        <v>4</v>
      </c>
      <c r="CR7" s="529">
        <f>Table9[[#This Row],[Housing Score]]*'Detailed Rubric V3'!$F$92</f>
        <v>0.8</v>
      </c>
      <c r="CS7" s="529">
        <v>86</v>
      </c>
      <c r="CT7" s="529" cm="1">
        <f t="array" ref="CT7">_xlfn.IFS(Table9[[#This Row],[Hotels (10%)]]="", 0, Table9[[#This Row],[Hotels (10%)]]&gt;25, 4, Table9[[#This Row],[Hotels (10%)]]&lt;5, 0, TRUE, 2)</f>
        <v>4</v>
      </c>
      <c r="CU7" s="529">
        <f>Table9[[#This Row],[Hotels Score]]*'Detailed Rubric V3'!$I$92</f>
        <v>0.4</v>
      </c>
      <c r="CV7" s="529">
        <v>61</v>
      </c>
      <c r="CW7" s="529" cm="1">
        <f t="array" ref="CW7">_xlfn.IFS(Table9[[#This Row],[Health (Hospital) (15%)]]="", 0, Table9[[#This Row],[Health (Hospital) (15%)]]&gt;10, 4, Table9[[#This Row],[Health (Hospital) (15%)]]&lt;5, 0, TRUE, 2)</f>
        <v>4</v>
      </c>
      <c r="CX7" s="529">
        <f>Table9[[#This Row],[Health (Hospital) Score]]*'Detailed Rubric V3'!$L$92</f>
        <v>0.6</v>
      </c>
      <c r="CY7" s="529">
        <v>24</v>
      </c>
      <c r="CZ7" s="529" cm="1">
        <f t="array" ref="CZ7">_xlfn.IFS(Table9[[#This Row],[University/ Technical &amp; Vocational Institutions (15%)]]="", 0, Table9[[#This Row],[University/ Technical &amp; Vocational Institutions (15%)]]&gt;3, 4, Table9[[#This Row],[University/ Technical &amp; Vocational Institutions (15%)]]&lt;1, 0, TRUE, 2)</f>
        <v>4</v>
      </c>
      <c r="DA7" s="529">
        <f>Table9[[#This Row],[University/ Technical &amp; Vocational Institutions Score]]*'Detailed Rubric V3'!$O$92</f>
        <v>0.6</v>
      </c>
      <c r="DB7"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7" s="529" t="s">
        <v>417</v>
      </c>
      <c r="DD7" s="529" cm="1">
        <f t="array" ref="DD7">_xlfn.IFS(Table9[[#This Row],[Environment compliance (30%)]]="", 0, Table9[[#This Row],[Environment compliance (30%)]]="Yes", 4, TRUE, 0)</f>
        <v>4</v>
      </c>
      <c r="DE7" s="529">
        <f>Table9[[#This Row],[Environment compliance Score]]*'Detailed Rubric V3'!$C$104</f>
        <v>1.2</v>
      </c>
      <c r="DF7" s="529" t="s">
        <v>419</v>
      </c>
      <c r="DG7" s="529" cm="1">
        <f t="array" ref="DG7">_xlfn.IFS(Table9[[#This Row],[Flood Risk Index (30%)]]="", 0, Table9[[#This Row],[Flood Risk Index (30%)]]="Very Low", 4, Table9[[#This Row],[Flood Risk Index (30%)]]="Moderate &amp; Low", 2, TRUE, 0)</f>
        <v>2</v>
      </c>
      <c r="DH7" s="529">
        <f>Table9[[#This Row],[Flood Risk Index Score]]*'Detailed Rubric V3'!$F$104</f>
        <v>0.6</v>
      </c>
      <c r="DI7" s="529" t="s">
        <v>419</v>
      </c>
      <c r="DJ7" s="529" cm="1">
        <f t="array" ref="DJ7">_xlfn.IFS(Table9[[#This Row],[Earth Quake Risk Index (10%)]]="", 0, Table9[[#This Row],[Earth Quake Risk Index (10%)]]="Very Low", 4, Table9[[#This Row],[Earth Quake Risk Index (10%)]]="Moderate &amp; Low", 2, TRUE, 0)</f>
        <v>2</v>
      </c>
      <c r="DK7" s="529">
        <f>Table9[[#This Row],[Earth Quake Risk Index Score]]*'Detailed Rubric V3'!$I$104</f>
        <v>0.2</v>
      </c>
      <c r="DL7" s="529" t="s">
        <v>419</v>
      </c>
      <c r="DM7" s="529" cm="1">
        <f t="array" ref="DM7">_xlfn.IFS(Table9[[#This Row],[Sea Level Rise Risk Index (10%)]]="", 0, Table9[[#This Row],[Sea Level Rise Risk Index (10%)]]="Very Low", 4, Table9[[#This Row],[Sea Level Rise Risk Index (10%)]]="Moderate &amp; Low", 2, TRUE, 0)</f>
        <v>2</v>
      </c>
      <c r="DN7" s="529">
        <f>Table9[[#This Row],[Sea Level Rise  Risk Index Score]]*'Detailed Rubric V3'!$L$104</f>
        <v>0.2</v>
      </c>
      <c r="DO7" s="529" t="s">
        <v>420</v>
      </c>
      <c r="DP7" s="529" cm="1">
        <f t="array" ref="DP7">_xlfn.IFS(Table9[[#This Row],[Cyclone Risk Index (10%)]]="", 0, Table9[[#This Row],[Cyclone Risk Index (10%)]]="Very Low", 4, Table9[[#This Row],[Cyclone Risk Index (10%)]]="Moderate &amp; Low", 2, TRUE, 0)</f>
        <v>0</v>
      </c>
      <c r="DQ7" s="529">
        <f>Table9[[#This Row],[Cyclone Risk Index Score]]*'Detailed Rubric V3'!$O$104</f>
        <v>0</v>
      </c>
      <c r="DR7" s="529" t="s">
        <v>419</v>
      </c>
      <c r="DS7" s="529" cm="1">
        <f t="array" ref="DS7">_xlfn.IFS(Table9[[#This Row],[Storm Surge Risk Index (10%)]]="", 0, Table9[[#This Row],[Storm Surge Risk Index (10%)]]="Very Low", 4, Table9[[#This Row],[Storm Surge Risk Index (10%)]]="Moderate &amp; Low", 2, TRUE, 0)</f>
        <v>2</v>
      </c>
      <c r="DT7" s="529">
        <f>Table9[[#This Row],[Storm Surge Risk Index Score]]*'Detailed Rubric V3'!$R$104</f>
        <v>0.2</v>
      </c>
      <c r="DU7"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0.14399999999999999</v>
      </c>
      <c r="DV7" s="533">
        <f>SUM(Table9[[#This Row],[2.1. Connectivity/ Logistics (10% weightage)]],Table9[[#This Row],[2.2. Utility (12% weightage)]],Table9[[#This Row],[2.3. Agglomeration effects (10% weightage)]],Table9[[#This Row],[2.4. Regional Policy (4% weightage)]],Table9[[#This Row],[2.5. Social (8% weightage)]],Table9[[#This Row],[2.6. Environment (6% weightage)]])</f>
        <v>1.8240000000000001</v>
      </c>
      <c r="DW7" s="308">
        <f>_xlfn.RANK.EQ(Table9[[#This Row],[Level 2 Score]],$DV$3:$DV$103)</f>
        <v>1</v>
      </c>
      <c r="DX7" s="533">
        <f>Table9[[#This Row],[Level 1 Score]]+Table9[[#This Row],[Level 2 Score]]</f>
        <v>3.234</v>
      </c>
      <c r="DY7" s="308">
        <f>_xlfn.RANK.EQ(Table9[[#This Row],[Total Score]],$DX$3:$DX$103)</f>
        <v>5</v>
      </c>
      <c r="DZ7" s="237" t="str">
        <f>IF(Table9[[#This Row],[Count of Blanks]]&lt;=2, "Yes", "No")</f>
        <v>Yes</v>
      </c>
      <c r="EA7" s="237">
        <f>COUNTBLANK(Table9[[#This Row],[Name]:[Total Score Rank]])</f>
        <v>0</v>
      </c>
      <c r="EB7" s="237"/>
    </row>
    <row r="8" spans="2:132" ht="32" customHeight="1" x14ac:dyDescent="0.25">
      <c r="B8" s="220">
        <v>30</v>
      </c>
      <c r="C8" s="221" t="s">
        <v>27</v>
      </c>
      <c r="D8" s="220" t="s">
        <v>68</v>
      </c>
      <c r="E8" s="220" t="s">
        <v>74</v>
      </c>
      <c r="F8" s="220" t="s">
        <v>88</v>
      </c>
      <c r="G8" s="220" t="s">
        <v>70</v>
      </c>
      <c r="H8" s="525" t="s">
        <v>422</v>
      </c>
      <c r="I8" s="70" t="s">
        <v>426</v>
      </c>
      <c r="J8" s="227" t="s">
        <v>412</v>
      </c>
      <c r="K8" s="220">
        <f>IFERROR(VLOOKUP(Table9[[#This Row],[Land Availability (Grade)​
(50%)]],'Detailed Rubric V3'!$B$8:$C$11,2), 0)</f>
        <v>4</v>
      </c>
      <c r="L8" s="220">
        <f>IFERROR(Table9[[#This Row],[Land Availability (Grade)​ Score]]*'Detailed Rubric V3'!$C$6, "")</f>
        <v>2</v>
      </c>
      <c r="M8" s="222">
        <v>1240.72</v>
      </c>
      <c r="N8" s="222" cm="1">
        <f t="array" ref="N8">_xlfn.IFS(Table9[[#This Row],[Land Size (Acres)
(15%)]]&lt;100,0,Table9[[#This Row],[Land Size (Acres)
(15%)]]&gt;500,4,TRUE,2)</f>
        <v>4</v>
      </c>
      <c r="O8" s="222">
        <f>Table9[[#This Row],[Land Size (Acres) Score]]*'Detailed Rubric V3'!$G$6</f>
        <v>0.6</v>
      </c>
      <c r="P8" s="526">
        <v>3648.89</v>
      </c>
      <c r="Q8" s="526">
        <f>IFERROR(Table9[[#This Row],[Site Filling Cost (Mn BDT)]]/Table9[[#This Row],[Land Size (Acres)
(15%)]],"")</f>
        <v>2.9409455799858146</v>
      </c>
      <c r="R8" s="526" cm="1">
        <f t="array" ref="R8">IF(Table9[[#This Row],[Name]]="Sitakundo Economic Zone", 4, _xlfn.IFS(Table9[[#This Row],[Site Filling Cost (Mn BDT)]]="",0,Table9[[#This Row],[Land Suitability
(Cost of Land Filling in Million BDT per acre)
(25%)]]&gt;5,0,Table9[[#This Row],[Land Suitability
(Cost of Land Filling in Million BDT per acre)
(25%)]]&lt;2,4,TRUE,2))</f>
        <v>2</v>
      </c>
      <c r="S8" s="526">
        <f>Table9[[#This Row],[Land Suitability for Construction Score]]*'Detailed Rubric V3'!$J$6</f>
        <v>0.5</v>
      </c>
      <c r="T8" s="526">
        <v>25606.21</v>
      </c>
      <c r="U8" s="526">
        <f>IFERROR(Table9[[#This Row],[Embankment/Dyke Cost (Mn BDT)]]/Table9[[#This Row],[Land Size (Acres)
(15%)]], 0)</f>
        <v>20.638185892062673</v>
      </c>
      <c r="V8" s="526" cm="1">
        <f t="array" ref="V8">IF(Table9[[#This Row],[Name]]="Sitakundo Economic Zone", 2, _xlfn.IFS(Table9[[#This Row],[Embankment/Dyke Cost (Mn BDT)]]="",0,Table9[[#This Row],[Cost of DRRI Infrastructure in million BDT per acre
(10%)]]&gt;5,0,Table9[[#This Row],[Cost of DRRI Infrastructure in million BDT per acre
(10%)]]&lt;2,4,TRUE,2))</f>
        <v>0</v>
      </c>
      <c r="W8" s="526">
        <f>Table9[[#This Row],[Requirement for Distaster Risk Reduction &amp; Resilience Infrastructure Score]]*'Detailed Rubric V3'!$M$6</f>
        <v>0</v>
      </c>
      <c r="X8"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0.62000000000000011</v>
      </c>
      <c r="Y8" s="452" t="s">
        <v>415</v>
      </c>
      <c r="Z8" s="210">
        <f>IFERROR(VLOOKUP(Table9[[#This Row],[Zone Priority
(40%)]],'Detailed Rubric V3'!$B$18:$C$21, 2,FALSE), 0)</f>
        <v>4</v>
      </c>
      <c r="AA8" s="210">
        <f>IFERROR(Table9[[#This Row],[Zone Priority Score]]*'Detailed Rubric V3'!$C$16, 0)</f>
        <v>0</v>
      </c>
      <c r="AB8" s="237" t="s">
        <v>416</v>
      </c>
      <c r="AC8" s="237">
        <f>VLOOKUP(Table9[[#This Row],[Existing BEZA Report
(60%)]],'Detailed Rubric V3'!$E$18:$F$20,2,FALSE)</f>
        <v>4</v>
      </c>
      <c r="AD8" s="237">
        <f>Table9[[#This Row],[Existing BEZA Report Score]]*'Detailed Rubric V3'!F$16</f>
        <v>4</v>
      </c>
      <c r="AE8" s="237">
        <f>(Table9[[#This Row],[Zone Priority Weighted Score]]+Table9[[#This Row],[Existing BEZA Report Weighted Score]])*'Detailed Rubric V3'!$C$14</f>
        <v>0.6</v>
      </c>
      <c r="AF8" s="528">
        <v>1</v>
      </c>
      <c r="AG8" s="529" cm="1">
        <f t="array" ref="AG8">_xlfn.IFS(Table9[[#This Row],[Existing Sectors
(50%)]]&gt;10, 4,Table9[[#This Row],[Existing Sectors
(50%)]]&lt;5, 0, TRUE, 2)</f>
        <v>0</v>
      </c>
      <c r="AH8" s="529">
        <f>Table9[[#This Row],[Existing Sectors Score]]*'Detailed Rubric V3'!$C$25</f>
        <v>0</v>
      </c>
      <c r="AI8" s="529">
        <v>4</v>
      </c>
      <c r="AJ8" s="529">
        <v>3</v>
      </c>
      <c r="AK8" s="529" cm="1">
        <f t="array" ref="AK8">_xlfn.IFS(Table9[[#This Row],[Potential New Sectors
(50%)]]&gt;5, 4, Table9[[#This Row],[Potential New Sectors
(50%)]]&lt;2,0, TRUE, 2)</f>
        <v>2</v>
      </c>
      <c r="AL8" s="529">
        <f>Table9[[#This Row],[Potential New Sectors Score]]*'Detailed Rubric V3'!$F$25</f>
        <v>1</v>
      </c>
      <c r="AM8" s="232">
        <f>(Table9[[#This Row],[Existing Sectors Weighted Score]]+Table9[[#This Row],[Potential New Sectors Weighted Score]])*'Detailed Rubric V3'!$C$23</f>
        <v>0.15</v>
      </c>
      <c r="AN8" s="530">
        <f>SUM(Table9[[#This Row],[1.1. Land Details (20% weightage)]],Table9[[#This Row],[1.2. BEZA Existing plans (15% weightage)]],Table9[[#This Row],[1.3. Sector Demand (15% weightage):]])</f>
        <v>1.37</v>
      </c>
      <c r="AO8" s="531">
        <f>_xlfn.RANK.EQ(Table9[[#This Row],[Level 1 Score]],$AN$3:$AN$103)</f>
        <v>12</v>
      </c>
      <c r="AP8" s="529">
        <v>25</v>
      </c>
      <c r="AQ8" s="529" cm="1">
        <f t="array" ref="AQ8">_xlfn.IFS(Table9[[#This Row],[National Highway Connectivity (km)
(15%)]]="", 0, Table9[[#This Row],[National Highway Connectivity (km)
(15%)]]&gt;50, 0, Table9[[#This Row],[National Highway Connectivity (km)
(15%)]]&lt;=25, 4, TRUE, 2)</f>
        <v>4</v>
      </c>
      <c r="AR8" s="529">
        <f>Table9[[#This Row],[National Highway Connectivity Score]]*'Detailed Rubric V3'!$C$35</f>
        <v>0.6</v>
      </c>
      <c r="AS8" s="529" t="s">
        <v>417</v>
      </c>
      <c r="AT8" s="529" cm="1">
        <f t="array" ref="AT8">_xlfn.IFS(Table9[[#This Row],[Connecting Road to Highway (km)
(15%)]]="", 0, Table9[[#This Row],[Connecting Road to Highway (km)
(15%)]]="Yes", 4, TRUE, 0)</f>
        <v>4</v>
      </c>
      <c r="AU8" s="529">
        <f>Table9[[#This Row],[Connecting Road to Highway Score]]*'Detailed Rubric V3'!$F$35</f>
        <v>0.6</v>
      </c>
      <c r="AV8" s="529">
        <v>100</v>
      </c>
      <c r="AW8" s="529" cm="1">
        <f t="array" ref="AW8">_xlfn.IFS(Table9[[#This Row],[Seaport Connectivity (km)
(30%)]]="",0, Table9[[#This Row],[Seaport Connectivity (km)
(30%)]]&gt;400, 0,Table9[[#This Row],[Seaport Connectivity (km)
(30%)]]&lt;=200,4, TRUE, 2)</f>
        <v>4</v>
      </c>
      <c r="AX8" s="529">
        <f>Table9[[#This Row],[Seaport Connectivity Score]]*'Detailed Rubric V3'!$I$35</f>
        <v>1.2</v>
      </c>
      <c r="AY8" s="529">
        <v>100</v>
      </c>
      <c r="AZ8" s="529" cm="1">
        <f t="array" ref="AZ8">_xlfn.IFS(Table9[[#This Row],[Airport Connectivity (km)
(10%)]]="", 0, Table9[[#This Row],[Airport Connectivity (km)
(10%)]]&gt;200, 0, Table9[[#This Row],[Airport Connectivity (km)
(10%)]]&lt;=100,4,TRUE, 2)</f>
        <v>4</v>
      </c>
      <c r="BA8" s="529">
        <f>Table9[[#This Row],[Airport Connectivity Score]]*'Detailed Rubric V3'!$C$41</f>
        <v>0.4</v>
      </c>
      <c r="BB8" s="529">
        <v>100</v>
      </c>
      <c r="BC8" s="529" cm="1">
        <f t="array" ref="BC8">_xlfn.IFS(Table9[[#This Row],[Railway Station (km)
(10%)]]="", 0, Table9[[#This Row],[Railway Station (km)
(10%)]]&gt;150, 0,Table9[[#This Row],[Railway Station (km)
(10%)]]&lt;=50,4, TRUE, 2)</f>
        <v>2</v>
      </c>
      <c r="BD8" s="529">
        <f>Table9[[#This Row],[Railway Station Score]]*'Detailed Rubric V3'!$F$41</f>
        <v>0.2</v>
      </c>
      <c r="BE8" s="529">
        <v>155</v>
      </c>
      <c r="BF8" s="529" cm="1">
        <f t="array" ref="BF8">_xlfn.IFS(Table9[[#This Row],[Inland waterway/ Land port (km)
(20%)]]="", 0, Table9[[#This Row],[Inland waterway/ Land port (km)
(20%)]]&gt;200, 0,Table9[[#This Row],[Inland waterway/ Land port (km)
(20%)]]&lt;=50,4, TRUE, 2)</f>
        <v>2</v>
      </c>
      <c r="BG8" s="529">
        <f>Table9[[#This Row],[Inland waterway/ Land port Score]]*'Detailed Rubric V3'!$I$41</f>
        <v>0.4</v>
      </c>
      <c r="BH8"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0.34</v>
      </c>
      <c r="BI8" s="529">
        <v>25</v>
      </c>
      <c r="BJ8" s="529" cm="1">
        <f t="array" ref="BJ8">_xlfn.IFS(Table9[[#This Row],[Power Station (40%)]]="",0, Table9[[#This Row],[Power Station (40%)]]&gt;100, 0,Table9[[#This Row],[Power Station (40%)]]&lt;=50,4, TRUE, 2)</f>
        <v>4</v>
      </c>
      <c r="BK8" s="529">
        <f>Table9[[#This Row],[Power Station Score]]*'Detailed Rubric V3'!$C$53</f>
        <v>1.6</v>
      </c>
      <c r="BL8" s="614">
        <v>0</v>
      </c>
      <c r="BM8" s="529" cm="1">
        <f t="array" ref="BM8">IF(ISNUMBER(Table9[[#This Row],[Gas Station (20%)]]), _xlfn.IFS(Table9[[#This Row],[Gas Station (20%)]]="", 0, Table9[[#This Row],[Gas Station (20%)]]&gt;100, 0,Table9[[#This Row],[Gas Station (20%)]]&lt;=50,4, TRUE, 2), 0)</f>
        <v>4</v>
      </c>
      <c r="BN8" s="529">
        <f>Table9[[#This Row],[Gas Station Score]]*'Detailed Rubric V3'!$F$53</f>
        <v>0.8</v>
      </c>
      <c r="BO8" s="614">
        <v>0</v>
      </c>
      <c r="BP8" s="529" cm="1">
        <f t="array" ref="BP8">IF(ISNUMBER(Table9[[#This Row],[Source of Surface Water (40%)]]), _xlfn.IFS(Table9[[#This Row],[Source of Surface Water (40%)]]="", 0, Table9[[#This Row],[Source of Surface Water (40%)]]&gt;50, 0,Table9[[#This Row],[Source of Surface Water (40%)]]&lt;=20,4, TRUE, 2), 0)</f>
        <v>4</v>
      </c>
      <c r="BQ8" s="529">
        <f>Table9[[#This Row],[Source of Surface Water Score]]*'Detailed Rubric V3'!$I$53</f>
        <v>1.6</v>
      </c>
      <c r="BR8" s="529">
        <f>SUM(Table9[[#This Row],[Power Station Weighted Score]],Table9[[#This Row],[Gas Station Weighted Score]],Table9[[#This Row],[Source of Surface Water Weighted Score]])*'Detailed Rubric V3'!$C$51</f>
        <v>0.48</v>
      </c>
      <c r="BS8" s="529" t="s">
        <v>417</v>
      </c>
      <c r="BT8" s="529" cm="1">
        <f t="array" ref="BT8">_xlfn.IFS(Table9[[#This Row],[Other BEZA EZ (20%)]]="", 0, Table9[[#This Row],[Other BEZA EZ (20%)]]="Yes", 4, TRUE, 0)</f>
        <v>4</v>
      </c>
      <c r="BU8" s="529">
        <f>Table9[[#This Row],[Other BEZA EZ Score]]*'Detailed Rubric V3'!$C$66</f>
        <v>0.8</v>
      </c>
      <c r="BV8" s="529" t="s">
        <v>417</v>
      </c>
      <c r="BW8" s="529" cm="1">
        <f t="array" ref="BW8">_xlfn.IFS(Table9[[#This Row],[BEPZA/ BHPTA/ BSCIC (20%)]]="", 0, Table9[[#This Row],[BEPZA/ BHPTA/ BSCIC (20%)]]="Yes", 4, TRUE, 0)</f>
        <v>4</v>
      </c>
      <c r="BX8" s="529">
        <f>Table9[[#This Row],[BEPZA/ BHPTA/ BSCIC Score]]*'Detailed Rubric V3'!$F$66</f>
        <v>0.8</v>
      </c>
      <c r="BY8" s="529">
        <v>38</v>
      </c>
      <c r="BZ8" s="529" cm="1">
        <f t="array" ref="BZ8">_xlfn.IFS(Table9[[#This Row],[Cluster Industries (from SMI) (20%)]]="", 0, Table9[[#This Row],[Cluster Industries (from SMI) (20%)]]&gt;100, 4, Table9[[#This Row],[Cluster Industries (from SMI) (20%)]]&lt;50, 0, TRUE, 2)</f>
        <v>0</v>
      </c>
      <c r="CA8" s="529">
        <f>Table9[[#This Row],[Cluster Industries (from SMI) Score]]*'Detailed Rubric V3'!$I$66</f>
        <v>0</v>
      </c>
      <c r="CB8" s="529" t="s">
        <v>417</v>
      </c>
      <c r="CC8" s="529" cm="1">
        <f t="array" ref="CC8">_xlfn.IFS(Table9[[#This Row],[Located on Industrial corridor (40%)]]="", 0, Table9[[#This Row],[Located on Industrial corridor (40%)]]="Yes", 4, TRUE, 0)</f>
        <v>4</v>
      </c>
      <c r="CD8" s="529">
        <f>Table9[[#This Row],[Located on Industrial corridor Score]]*'Detailed Rubric V3'!$L$66</f>
        <v>1.6</v>
      </c>
      <c r="CE8" s="529">
        <f>SUM(Table9[[#This Row],[Other BEZA EZ Weighted Score]],Table9[[#This Row],[BEPZA/ BHPTA/ BSCIC Weighted Score]],Table9[[#This Row],[Unorganized (from SMI) Weighted Score]],Table9[[#This Row],[Located on Industrial corridor Weighted Score]])*'Detailed Rubric V3'!$C$64</f>
        <v>0.32000000000000006</v>
      </c>
      <c r="CF8" s="529" t="s">
        <v>417</v>
      </c>
      <c r="CG8" s="529" cm="1">
        <f t="array" ref="CG8">_xlfn.IFS(Table9[[#This Row],[Economic/ Social priority (laggered area) (100%)]]="", 0, Table9[[#This Row],[Economic/ Social priority (laggered area) (100%)]]="Yes", 4, TRUE, 0)</f>
        <v>4</v>
      </c>
      <c r="CH8" s="529">
        <f>Table9[[#This Row],[Economic/ Social priority (laggered area) Score]]*'Detailed Rubric V3'!$C$82</f>
        <v>4</v>
      </c>
      <c r="CI8" s="529" t="s">
        <v>417</v>
      </c>
      <c r="CJ8" s="529" cm="1">
        <f t="array" ref="CJ8">_xlfn.IFS(Table9[[#This Row],[Regional Tax incentive  (0%)]]="", 0, Table9[[#This Row],[Regional Tax incentive  (0%)]]="Yes", 4, TRUE, 0)</f>
        <v>4</v>
      </c>
      <c r="CK8" s="529">
        <f>Table9[[#This Row],[Regional Tax incentive Score]]*'Detailed Rubric V3'!$F$82</f>
        <v>0</v>
      </c>
      <c r="CL8" s="529">
        <f>SUM(Table9[[#This Row],[Economic/ Social priority (laagered area) Weighted Score]],Table9[[#This Row],[Regional Tax incentive  Weighted Score]])*'Detailed Rubric V3'!$C$80</f>
        <v>0.16</v>
      </c>
      <c r="CM8" s="529">
        <v>260078</v>
      </c>
      <c r="CN8" s="529" cm="1">
        <f t="array" ref="CN8">_xlfn.IFS(Table9[[#This Row],[Employable population (40%) 2013]]="", 0, Table9[[#This Row],[Employable population (40%) 2013]]&gt;200000, 4, Table9[[#This Row],[Employable population (40%) 2013]]&lt;100000,0, TRUE, 2)</f>
        <v>4</v>
      </c>
      <c r="CO8" s="529">
        <f>Table9[[#This Row],[Employable population Score]]*'Detailed Rubric V3'!$C$92</f>
        <v>1.6</v>
      </c>
      <c r="CP8" s="529">
        <v>15</v>
      </c>
      <c r="CQ8" s="529" cm="1">
        <f t="array" ref="CQ8">_xlfn.IFS(Table9[[#This Row],[Housing (20%)]]="", 0, Table9[[#This Row],[Housing (20%)]]&gt;50, 0, Table9[[#This Row],[Housing (20%)]]&lt;25, 4, TRUE, 2)</f>
        <v>4</v>
      </c>
      <c r="CR8" s="529">
        <f>Table9[[#This Row],[Housing Score]]*'Detailed Rubric V3'!$F$92</f>
        <v>0.8</v>
      </c>
      <c r="CS8" s="529">
        <v>86</v>
      </c>
      <c r="CT8" s="529" cm="1">
        <f t="array" ref="CT8">_xlfn.IFS(Table9[[#This Row],[Hotels (10%)]]="", 0, Table9[[#This Row],[Hotels (10%)]]&gt;25, 4, Table9[[#This Row],[Hotels (10%)]]&lt;5, 0, TRUE, 2)</f>
        <v>4</v>
      </c>
      <c r="CU8" s="529">
        <f>Table9[[#This Row],[Hotels Score]]*'Detailed Rubric V3'!$I$92</f>
        <v>0.4</v>
      </c>
      <c r="CV8" s="529">
        <v>61</v>
      </c>
      <c r="CW8" s="529" cm="1">
        <f t="array" ref="CW8">_xlfn.IFS(Table9[[#This Row],[Health (Hospital) (15%)]]="", 0, Table9[[#This Row],[Health (Hospital) (15%)]]&gt;10, 4, Table9[[#This Row],[Health (Hospital) (15%)]]&lt;5, 0, TRUE, 2)</f>
        <v>4</v>
      </c>
      <c r="CX8" s="529">
        <f>Table9[[#This Row],[Health (Hospital) Score]]*'Detailed Rubric V3'!$L$92</f>
        <v>0.6</v>
      </c>
      <c r="CY8" s="529">
        <v>24</v>
      </c>
      <c r="CZ8" s="529" cm="1">
        <f t="array" ref="CZ8">_xlfn.IFS(Table9[[#This Row],[University/ Technical &amp; Vocational Institutions (15%)]]="", 0, Table9[[#This Row],[University/ Technical &amp; Vocational Institutions (15%)]]&gt;3, 4, Table9[[#This Row],[University/ Technical &amp; Vocational Institutions (15%)]]&lt;1, 0, TRUE, 2)</f>
        <v>4</v>
      </c>
      <c r="DA8" s="529">
        <f>Table9[[#This Row],[University/ Technical &amp; Vocational Institutions Score]]*'Detailed Rubric V3'!$O$92</f>
        <v>0.6</v>
      </c>
      <c r="DB8"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8" s="529" t="s">
        <v>417</v>
      </c>
      <c r="DD8" s="529" cm="1">
        <f t="array" ref="DD8">_xlfn.IFS(Table9[[#This Row],[Environment compliance (30%)]]="", 0, Table9[[#This Row],[Environment compliance (30%)]]="Yes", 4, TRUE, 0)</f>
        <v>4</v>
      </c>
      <c r="DE8" s="529">
        <f>Table9[[#This Row],[Environment compliance Score]]*'Detailed Rubric V3'!$C$104</f>
        <v>1.2</v>
      </c>
      <c r="DF8" s="529" t="s">
        <v>419</v>
      </c>
      <c r="DG8" s="529" cm="1">
        <f t="array" ref="DG8">_xlfn.IFS(Table9[[#This Row],[Flood Risk Index (30%)]]="", 0, Table9[[#This Row],[Flood Risk Index (30%)]]="Very Low", 4, Table9[[#This Row],[Flood Risk Index (30%)]]="Moderate &amp; Low", 2, TRUE, 0)</f>
        <v>2</v>
      </c>
      <c r="DH8" s="529">
        <f>Table9[[#This Row],[Flood Risk Index Score]]*'Detailed Rubric V3'!$F$104</f>
        <v>0.6</v>
      </c>
      <c r="DI8" s="529" t="s">
        <v>419</v>
      </c>
      <c r="DJ8" s="529" cm="1">
        <f t="array" ref="DJ8">_xlfn.IFS(Table9[[#This Row],[Earth Quake Risk Index (10%)]]="", 0, Table9[[#This Row],[Earth Quake Risk Index (10%)]]="Very Low", 4, Table9[[#This Row],[Earth Quake Risk Index (10%)]]="Moderate &amp; Low", 2, TRUE, 0)</f>
        <v>2</v>
      </c>
      <c r="DK8" s="529">
        <f>Table9[[#This Row],[Earth Quake Risk Index Score]]*'Detailed Rubric V3'!$I$104</f>
        <v>0.2</v>
      </c>
      <c r="DL8" s="529" t="s">
        <v>419</v>
      </c>
      <c r="DM8" s="529" cm="1">
        <f t="array" ref="DM8">_xlfn.IFS(Table9[[#This Row],[Sea Level Rise Risk Index (10%)]]="", 0, Table9[[#This Row],[Sea Level Rise Risk Index (10%)]]="Very Low", 4, Table9[[#This Row],[Sea Level Rise Risk Index (10%)]]="Moderate &amp; Low", 2, TRUE, 0)</f>
        <v>2</v>
      </c>
      <c r="DN8" s="529">
        <f>Table9[[#This Row],[Sea Level Rise  Risk Index Score]]*'Detailed Rubric V3'!$L$104</f>
        <v>0.2</v>
      </c>
      <c r="DO8" s="529" t="s">
        <v>420</v>
      </c>
      <c r="DP8" s="529" cm="1">
        <f t="array" ref="DP8">_xlfn.IFS(Table9[[#This Row],[Cyclone Risk Index (10%)]]="", 0, Table9[[#This Row],[Cyclone Risk Index (10%)]]="Very Low", 4, Table9[[#This Row],[Cyclone Risk Index (10%)]]="Moderate &amp; Low", 2, TRUE, 0)</f>
        <v>0</v>
      </c>
      <c r="DQ8" s="529">
        <f>Table9[[#This Row],[Cyclone Risk Index Score]]*'Detailed Rubric V3'!$O$104</f>
        <v>0</v>
      </c>
      <c r="DR8" s="529" t="s">
        <v>419</v>
      </c>
      <c r="DS8" s="529" cm="1">
        <f t="array" ref="DS8">_xlfn.IFS(Table9[[#This Row],[Storm Surge Risk Index (10%)]]="", 0, Table9[[#This Row],[Storm Surge Risk Index (10%)]]="Very Low", 4, Table9[[#This Row],[Storm Surge Risk Index (10%)]]="Moderate &amp; Low", 2, TRUE, 0)</f>
        <v>2</v>
      </c>
      <c r="DT8" s="529">
        <f>Table9[[#This Row],[Storm Surge Risk Index Score]]*'Detailed Rubric V3'!$R$104</f>
        <v>0.2</v>
      </c>
      <c r="DU8"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0.14399999999999999</v>
      </c>
      <c r="DV8" s="533">
        <f>SUM(Table9[[#This Row],[2.1. Connectivity/ Logistics (10% weightage)]],Table9[[#This Row],[2.2. Utility (12% weightage)]],Table9[[#This Row],[2.3. Agglomeration effects (10% weightage)]],Table9[[#This Row],[2.4. Regional Policy (4% weightage)]],Table9[[#This Row],[2.5. Social (8% weightage)]],Table9[[#This Row],[2.6. Environment (6% weightage)]])</f>
        <v>1.764</v>
      </c>
      <c r="DW8" s="308">
        <f>_xlfn.RANK.EQ(Table9[[#This Row],[Level 2 Score]],$DV$3:$DV$103)</f>
        <v>2</v>
      </c>
      <c r="DX8" s="533">
        <f>Table9[[#This Row],[Level 1 Score]]+Table9[[#This Row],[Level 2 Score]]</f>
        <v>3.1340000000000003</v>
      </c>
      <c r="DY8" s="308">
        <f>_xlfn.RANK.EQ(Table9[[#This Row],[Total Score]],$DX$3:$DX$103)</f>
        <v>6</v>
      </c>
      <c r="DZ8" s="237" t="str">
        <f>IF(Table9[[#This Row],[Count of Blanks]]&lt;=2, "Yes", "No")</f>
        <v>Yes</v>
      </c>
      <c r="EA8" s="237">
        <f>COUNTBLANK(Table9[[#This Row],[Name]:[Total Score Rank]])</f>
        <v>0</v>
      </c>
      <c r="EB8" s="237"/>
    </row>
    <row r="9" spans="2:132" x14ac:dyDescent="0.25">
      <c r="B9" s="220">
        <v>13</v>
      </c>
      <c r="C9" s="721" t="s">
        <v>26</v>
      </c>
      <c r="D9" s="293" t="s">
        <v>76</v>
      </c>
      <c r="E9" s="293" t="s">
        <v>76</v>
      </c>
      <c r="F9" s="293" t="s">
        <v>87</v>
      </c>
      <c r="G9" s="293" t="s">
        <v>70</v>
      </c>
      <c r="H9" s="534" t="s">
        <v>422</v>
      </c>
      <c r="I9" s="70" t="s">
        <v>438</v>
      </c>
      <c r="J9" s="535" t="s">
        <v>435</v>
      </c>
      <c r="K9" s="293">
        <f>IFERROR(VLOOKUP(Table9[[#This Row],[Land Availability (Grade)​
(50%)]],'Detailed Rubric V3'!$B$8:$C$11,2), 0)</f>
        <v>2</v>
      </c>
      <c r="L9" s="293">
        <f>IFERROR(Table9[[#This Row],[Land Availability (Grade)​ Score]]*'Detailed Rubric V3'!$C$6, "")</f>
        <v>1</v>
      </c>
      <c r="M9" s="290">
        <v>104.985</v>
      </c>
      <c r="N9" s="290" cm="1">
        <f t="array" ref="N9">_xlfn.IFS(Table9[[#This Row],[Land Size (Acres)
(15%)]]&lt;100,0,Table9[[#This Row],[Land Size (Acres)
(15%)]]&gt;500,4,TRUE,2)</f>
        <v>2</v>
      </c>
      <c r="O9" s="290">
        <f>Table9[[#This Row],[Land Size (Acres) Score]]*'Detailed Rubric V3'!$G$6</f>
        <v>0.3</v>
      </c>
      <c r="P9" s="536">
        <v>282</v>
      </c>
      <c r="Q9" s="536">
        <f>IFERROR(Table9[[#This Row],[Site Filling Cost (Mn BDT)]]/Table9[[#This Row],[Land Size (Acres)
(15%)]],"")</f>
        <v>2.6860980140020003</v>
      </c>
      <c r="R9" s="536" cm="1">
        <f t="array" ref="R9">IF(Table9[[#This Row],[Name]]="Sitakundo Economic Zone", 4, _xlfn.IFS(Table9[[#This Row],[Site Filling Cost (Mn BDT)]]="",0,Table9[[#This Row],[Land Suitability
(Cost of Land Filling in Million BDT per acre)
(25%)]]&gt;5,0,Table9[[#This Row],[Land Suitability
(Cost of Land Filling in Million BDT per acre)
(25%)]]&lt;2,4,TRUE,2))</f>
        <v>2</v>
      </c>
      <c r="S9" s="536">
        <f>Table9[[#This Row],[Land Suitability for Construction Score]]*'Detailed Rubric V3'!$J$6</f>
        <v>0.5</v>
      </c>
      <c r="T9" s="536">
        <v>50</v>
      </c>
      <c r="U9" s="536">
        <f>IFERROR(Table9[[#This Row],[Embankment/Dyke Cost (Mn BDT)]]/Table9[[#This Row],[Land Size (Acres)
(15%)]], 0)</f>
        <v>0.47625851312092204</v>
      </c>
      <c r="V9" s="536" cm="1">
        <f t="array" ref="V9">IF(Table9[[#This Row],[Name]]="Sitakundo Economic Zone", 2, _xlfn.IFS(Table9[[#This Row],[Embankment/Dyke Cost (Mn BDT)]]="",0,Table9[[#This Row],[Cost of DRRI Infrastructure in million BDT per acre
(10%)]]&gt;5,0,Table9[[#This Row],[Cost of DRRI Infrastructure in million BDT per acre
(10%)]]&lt;2,4,TRUE,2))</f>
        <v>4</v>
      </c>
      <c r="W9" s="536">
        <f>Table9[[#This Row],[Requirement for Distaster Risk Reduction &amp; Resilience Infrastructure Score]]*'Detailed Rubric V3'!$M$6</f>
        <v>0.4</v>
      </c>
      <c r="X9" s="53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0.44000000000000006</v>
      </c>
      <c r="Y9" s="506" t="s">
        <v>436</v>
      </c>
      <c r="Z9" s="538">
        <f>IFERROR(VLOOKUP(Table9[[#This Row],[Zone Priority
(40%)]],'Detailed Rubric V3'!$B$18:$C$21, 2,FALSE), 0)</f>
        <v>0</v>
      </c>
      <c r="AA9" s="538">
        <f>IFERROR(Table9[[#This Row],[Zone Priority Score]]*'Detailed Rubric V3'!$C$16, 0)</f>
        <v>0</v>
      </c>
      <c r="AB9" s="291" t="s">
        <v>416</v>
      </c>
      <c r="AC9" s="291">
        <f>VLOOKUP(Table9[[#This Row],[Existing BEZA Report
(60%)]],'Detailed Rubric V3'!$E$18:$F$20,2,FALSE)</f>
        <v>4</v>
      </c>
      <c r="AD9" s="291">
        <f>Table9[[#This Row],[Existing BEZA Report Score]]*'Detailed Rubric V3'!F$16</f>
        <v>4</v>
      </c>
      <c r="AE9" s="291">
        <f>(Table9[[#This Row],[Zone Priority Weighted Score]]+Table9[[#This Row],[Existing BEZA Report Weighted Score]])*'Detailed Rubric V3'!$C$14</f>
        <v>0.6</v>
      </c>
      <c r="AF9" s="539">
        <v>15</v>
      </c>
      <c r="AG9" s="291" cm="1">
        <f t="array" ref="AG9">_xlfn.IFS(Table9[[#This Row],[Existing Sectors
(50%)]]&gt;10, 4,Table9[[#This Row],[Existing Sectors
(50%)]]&lt;5, 0, TRUE, 2)</f>
        <v>4</v>
      </c>
      <c r="AH9" s="291">
        <f>Table9[[#This Row],[Existing Sectors Score]]*'Detailed Rubric V3'!$C$25</f>
        <v>2</v>
      </c>
      <c r="AI9" s="291">
        <v>15</v>
      </c>
      <c r="AJ9" s="291">
        <v>0</v>
      </c>
      <c r="AK9" s="291" cm="1">
        <f t="array" ref="AK9">_xlfn.IFS(Table9[[#This Row],[Potential New Sectors
(50%)]]&gt;5, 4, Table9[[#This Row],[Potential New Sectors
(50%)]]&lt;2,0, TRUE, 2)</f>
        <v>0</v>
      </c>
      <c r="AL9" s="291">
        <f>Table9[[#This Row],[Potential New Sectors Score]]*'Detailed Rubric V3'!$F$25</f>
        <v>0</v>
      </c>
      <c r="AM9" s="292">
        <f>(Table9[[#This Row],[Existing Sectors Weighted Score]]+Table9[[#This Row],[Potential New Sectors Weighted Score]])*'Detailed Rubric V3'!$C$23</f>
        <v>0.3</v>
      </c>
      <c r="AN9" s="540">
        <f>SUM(Table9[[#This Row],[1.1. Land Details (20% weightage)]],Table9[[#This Row],[1.2. BEZA Existing plans (15% weightage)]],Table9[[#This Row],[1.3. Sector Demand (15% weightage):]])</f>
        <v>1.34</v>
      </c>
      <c r="AO9" s="541">
        <f>_xlfn.RANK.EQ(Table9[[#This Row],[Level 1 Score]],$AN$3:$AN$103)</f>
        <v>13</v>
      </c>
      <c r="AP9" s="529">
        <v>8</v>
      </c>
      <c r="AQ9" s="529" cm="1">
        <f t="array" ref="AQ9">_xlfn.IFS(Table9[[#This Row],[National Highway Connectivity (km)
(15%)]]="", 0, Table9[[#This Row],[National Highway Connectivity (km)
(15%)]]&gt;50, 0, Table9[[#This Row],[National Highway Connectivity (km)
(15%)]]&lt;=25, 4, TRUE, 2)</f>
        <v>4</v>
      </c>
      <c r="AR9" s="529">
        <f>Table9[[#This Row],[National Highway Connectivity Score]]*'Detailed Rubric V3'!$C$35</f>
        <v>0.6</v>
      </c>
      <c r="AS9" s="529" t="s">
        <v>417</v>
      </c>
      <c r="AT9" s="529" cm="1">
        <f t="array" ref="AT9">_xlfn.IFS(Table9[[#This Row],[Connecting Road to Highway (km)
(15%)]]="", 0, Table9[[#This Row],[Connecting Road to Highway (km)
(15%)]]="Yes", 4, TRUE, 0)</f>
        <v>4</v>
      </c>
      <c r="AU9" s="529">
        <f>Table9[[#This Row],[Connecting Road to Highway Score]]*'Detailed Rubric V3'!$F$35</f>
        <v>0.6</v>
      </c>
      <c r="AV9" s="529">
        <v>276</v>
      </c>
      <c r="AW9" s="529" cm="1">
        <f t="array" ref="AW9">_xlfn.IFS(Table9[[#This Row],[Seaport Connectivity (km)
(30%)]]="",0, Table9[[#This Row],[Seaport Connectivity (km)
(30%)]]&gt;400, 0,Table9[[#This Row],[Seaport Connectivity (km)
(30%)]]&lt;=200,4, TRUE, 2)</f>
        <v>2</v>
      </c>
      <c r="AX9" s="529">
        <f>Table9[[#This Row],[Seaport Connectivity Score]]*'Detailed Rubric V3'!$I$35</f>
        <v>0.6</v>
      </c>
      <c r="AY9" s="529">
        <v>30</v>
      </c>
      <c r="AZ9" s="529" cm="1">
        <f t="array" ref="AZ9">_xlfn.IFS(Table9[[#This Row],[Airport Connectivity (km)
(10%)]]="", 0, Table9[[#This Row],[Airport Connectivity (km)
(10%)]]&gt;200, 0, Table9[[#This Row],[Airport Connectivity (km)
(10%)]]&lt;=100,4,TRUE, 2)</f>
        <v>4</v>
      </c>
      <c r="BA9" s="529">
        <f>Table9[[#This Row],[Airport Connectivity Score]]*'Detailed Rubric V3'!$C$41</f>
        <v>0.4</v>
      </c>
      <c r="BB9" s="529">
        <v>20</v>
      </c>
      <c r="BC9" s="529" cm="1">
        <f t="array" ref="BC9">_xlfn.IFS(Table9[[#This Row],[Railway Station (km)
(10%)]]="", 0, Table9[[#This Row],[Railway Station (km)
(10%)]]&gt;150, 0,Table9[[#This Row],[Railway Station (km)
(10%)]]&lt;=50,4, TRUE, 2)</f>
        <v>4</v>
      </c>
      <c r="BD9" s="529">
        <f>Table9[[#This Row],[Railway Station Score]]*'Detailed Rubric V3'!$F$41</f>
        <v>0.4</v>
      </c>
      <c r="BE9" s="529">
        <v>33</v>
      </c>
      <c r="BF9" s="529" cm="1">
        <f t="array" ref="BF9">_xlfn.IFS(Table9[[#This Row],[Inland waterway/ Land port (km)
(20%)]]="", 0, Table9[[#This Row],[Inland waterway/ Land port (km)
(20%)]]&gt;200, 0,Table9[[#This Row],[Inland waterway/ Land port (km)
(20%)]]&lt;=50,4, TRUE, 2)</f>
        <v>4</v>
      </c>
      <c r="BG9" s="529">
        <f>Table9[[#This Row],[Inland waterway/ Land port Score]]*'Detailed Rubric V3'!$I$41</f>
        <v>0.8</v>
      </c>
      <c r="BH9"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0.33999999999999997</v>
      </c>
      <c r="BI9" s="529">
        <v>12</v>
      </c>
      <c r="BJ9" s="529" cm="1">
        <f t="array" ref="BJ9">_xlfn.IFS(Table9[[#This Row],[Power Station (40%)]]="",0, Table9[[#This Row],[Power Station (40%)]]&gt;100, 0,Table9[[#This Row],[Power Station (40%)]]&lt;=50,4, TRUE, 2)</f>
        <v>4</v>
      </c>
      <c r="BK9" s="529">
        <f>Table9[[#This Row],[Power Station Score]]*'Detailed Rubric V3'!$C$53</f>
        <v>1.6</v>
      </c>
      <c r="BL9" s="529">
        <v>5</v>
      </c>
      <c r="BM9" s="529" cm="1">
        <f t="array" ref="BM9">IF(ISNUMBER(Table9[[#This Row],[Gas Station (20%)]]), _xlfn.IFS(Table9[[#This Row],[Gas Station (20%)]]="", 0, Table9[[#This Row],[Gas Station (20%)]]&gt;100, 0,Table9[[#This Row],[Gas Station (20%)]]&lt;=50,4, TRUE, 2), 0)</f>
        <v>4</v>
      </c>
      <c r="BN9" s="529">
        <f>Table9[[#This Row],[Gas Station Score]]*'Detailed Rubric V3'!$F$53</f>
        <v>0.8</v>
      </c>
      <c r="BO9" s="529">
        <v>0</v>
      </c>
      <c r="BP9" s="529" cm="1">
        <f t="array" ref="BP9">IF(ISNUMBER(Table9[[#This Row],[Source of Surface Water (40%)]]), _xlfn.IFS(Table9[[#This Row],[Source of Surface Water (40%)]]="", 0, Table9[[#This Row],[Source of Surface Water (40%)]]&gt;50, 0,Table9[[#This Row],[Source of Surface Water (40%)]]&lt;=20,4, TRUE, 2), 0)</f>
        <v>4</v>
      </c>
      <c r="BQ9" s="529">
        <f>Table9[[#This Row],[Source of Surface Water Score]]*'Detailed Rubric V3'!$I$53</f>
        <v>1.6</v>
      </c>
      <c r="BR9" s="529">
        <f>SUM(Table9[[#This Row],[Power Station Weighted Score]],Table9[[#This Row],[Gas Station Weighted Score]],Table9[[#This Row],[Source of Surface Water Weighted Score]])*'Detailed Rubric V3'!$C$51</f>
        <v>0.48</v>
      </c>
      <c r="BS9" s="529" t="s">
        <v>417</v>
      </c>
      <c r="BT9" s="529" cm="1">
        <f t="array" ref="BT9">_xlfn.IFS(Table9[[#This Row],[Other BEZA EZ (20%)]]="", 0, Table9[[#This Row],[Other BEZA EZ (20%)]]="Yes", 4, TRUE, 0)</f>
        <v>4</v>
      </c>
      <c r="BU9" s="529">
        <f>Table9[[#This Row],[Other BEZA EZ Score]]*'Detailed Rubric V3'!$C$66</f>
        <v>0.8</v>
      </c>
      <c r="BV9" s="529" t="s">
        <v>417</v>
      </c>
      <c r="BW9" s="529" cm="1">
        <f t="array" ref="BW9">_xlfn.IFS(Table9[[#This Row],[BEPZA/ BHPTA/ BSCIC (20%)]]="", 0, Table9[[#This Row],[BEPZA/ BHPTA/ BSCIC (20%)]]="Yes", 4, TRUE, 0)</f>
        <v>4</v>
      </c>
      <c r="BX9" s="529">
        <f>Table9[[#This Row],[BEPZA/ BHPTA/ BSCIC Score]]*'Detailed Rubric V3'!$F$66</f>
        <v>0.8</v>
      </c>
      <c r="BY9" s="529">
        <v>1718</v>
      </c>
      <c r="BZ9" s="529" cm="1">
        <f t="array" ref="BZ9">_xlfn.IFS(Table9[[#This Row],[Cluster Industries (from SMI) (20%)]]="", 0, Table9[[#This Row],[Cluster Industries (from SMI) (20%)]]&gt;100, 4, Table9[[#This Row],[Cluster Industries (from SMI) (20%)]]&lt;50, 0, TRUE, 2)</f>
        <v>4</v>
      </c>
      <c r="CA9" s="529">
        <f>Table9[[#This Row],[Cluster Industries (from SMI) Score]]*'Detailed Rubric V3'!$I$66</f>
        <v>0.8</v>
      </c>
      <c r="CB9" s="529" t="s">
        <v>417</v>
      </c>
      <c r="CC9" s="529" cm="1">
        <f t="array" ref="CC9">_xlfn.IFS(Table9[[#This Row],[Located on Industrial corridor (40%)]]="", 0, Table9[[#This Row],[Located on Industrial corridor (40%)]]="Yes", 4, TRUE, 0)</f>
        <v>4</v>
      </c>
      <c r="CD9" s="529">
        <f>Table9[[#This Row],[Located on Industrial corridor Score]]*'Detailed Rubric V3'!$L$66</f>
        <v>1.6</v>
      </c>
      <c r="CE9" s="529">
        <f>SUM(Table9[[#This Row],[Other BEZA EZ Weighted Score]],Table9[[#This Row],[BEPZA/ BHPTA/ BSCIC Weighted Score]],Table9[[#This Row],[Unorganized (from SMI) Weighted Score]],Table9[[#This Row],[Located on Industrial corridor Weighted Score]])*'Detailed Rubric V3'!$C$64</f>
        <v>0.4</v>
      </c>
      <c r="CF9" s="529" t="s">
        <v>418</v>
      </c>
      <c r="CG9" s="529" cm="1">
        <f t="array" ref="CG9">_xlfn.IFS(Table9[[#This Row],[Economic/ Social priority (laggered area) (100%)]]="", 0, Table9[[#This Row],[Economic/ Social priority (laggered area) (100%)]]="Yes", 4, TRUE, 0)</f>
        <v>0</v>
      </c>
      <c r="CH9" s="529">
        <f>Table9[[#This Row],[Economic/ Social priority (laggered area) Score]]*'Detailed Rubric V3'!$C$82</f>
        <v>0</v>
      </c>
      <c r="CI9" s="529" t="s">
        <v>418</v>
      </c>
      <c r="CJ9" s="529" cm="1">
        <f t="array" ref="CJ9">_xlfn.IFS(Table9[[#This Row],[Regional Tax incentive  (0%)]]="", 0, Table9[[#This Row],[Regional Tax incentive  (0%)]]="Yes", 4, TRUE, 0)</f>
        <v>0</v>
      </c>
      <c r="CK9" s="529">
        <f>Table9[[#This Row],[Regional Tax incentive Score]]*'Detailed Rubric V3'!$F$82</f>
        <v>0</v>
      </c>
      <c r="CL9" s="529">
        <f>SUM(Table9[[#This Row],[Economic/ Social priority (laagered area) Weighted Score]],Table9[[#This Row],[Regional Tax incentive  Weighted Score]])*'Detailed Rubric V3'!$C$80</f>
        <v>0</v>
      </c>
      <c r="CM9" s="529">
        <v>3683456</v>
      </c>
      <c r="CN9" s="529" cm="1">
        <f t="array" ref="CN9">_xlfn.IFS(Table9[[#This Row],[Employable population (40%) 2013]]="", 0, Table9[[#This Row],[Employable population (40%) 2013]]&gt;200000, 4, Table9[[#This Row],[Employable population (40%) 2013]]&lt;100000,0, TRUE, 2)</f>
        <v>4</v>
      </c>
      <c r="CO9" s="529">
        <f>Table9[[#This Row],[Employable population Score]]*'Detailed Rubric V3'!$C$92</f>
        <v>1.6</v>
      </c>
      <c r="CP9" s="529">
        <v>27</v>
      </c>
      <c r="CQ9" s="529" cm="1">
        <f t="array" ref="CQ9">_xlfn.IFS(Table9[[#This Row],[Housing (20%)]]="", 0, Table9[[#This Row],[Housing (20%)]]&gt;50, 0, Table9[[#This Row],[Housing (20%)]]&lt;25, 4, TRUE, 2)</f>
        <v>2</v>
      </c>
      <c r="CR9" s="529">
        <f>Table9[[#This Row],[Housing Score]]*'Detailed Rubric V3'!$F$92</f>
        <v>0.4</v>
      </c>
      <c r="CS9" s="529">
        <v>329</v>
      </c>
      <c r="CT9" s="529" cm="1">
        <f t="array" ref="CT9">_xlfn.IFS(Table9[[#This Row],[Hotels (10%)]]="", 0, Table9[[#This Row],[Hotels (10%)]]&gt;25, 4, Table9[[#This Row],[Hotels (10%)]]&lt;5, 0, TRUE, 2)</f>
        <v>4</v>
      </c>
      <c r="CU9" s="529">
        <f>Table9[[#This Row],[Hotels Score]]*'Detailed Rubric V3'!$I$92</f>
        <v>0.4</v>
      </c>
      <c r="CV9" s="529">
        <v>900</v>
      </c>
      <c r="CW9" s="529" cm="1">
        <f t="array" ref="CW9">_xlfn.IFS(Table9[[#This Row],[Health (Hospital) (15%)]]="", 0, Table9[[#This Row],[Health (Hospital) (15%)]]&gt;10, 4, Table9[[#This Row],[Health (Hospital) (15%)]]&lt;5, 0, TRUE, 2)</f>
        <v>4</v>
      </c>
      <c r="CX9" s="529">
        <f>Table9[[#This Row],[Health (Hospital) Score]]*'Detailed Rubric V3'!$L$92</f>
        <v>0.6</v>
      </c>
      <c r="CY9" s="529">
        <v>193</v>
      </c>
      <c r="CZ9" s="529" cm="1">
        <f t="array" ref="CZ9">_xlfn.IFS(Table9[[#This Row],[University/ Technical &amp; Vocational Institutions (15%)]]="", 0, Table9[[#This Row],[University/ Technical &amp; Vocational Institutions (15%)]]&gt;3, 4, Table9[[#This Row],[University/ Technical &amp; Vocational Institutions (15%)]]&lt;1, 0, TRUE, 2)</f>
        <v>4</v>
      </c>
      <c r="DA9" s="529">
        <f>Table9[[#This Row],[University/ Technical &amp; Vocational Institutions Score]]*'Detailed Rubric V3'!$O$92</f>
        <v>0.6</v>
      </c>
      <c r="DB9" s="529">
        <f>SUM(Table9[[#This Row],[Employable population Weighted Score]],Table9[[#This Row],[Housing Weighted Score]],Table9[[#This Row],[Hotels Weighted Score]],Table9[[#This Row],[Health (Hospital) Weighted Score]],Table9[[#This Row],[University/ Technical &amp; Vocational Institutions Weighted Score]])*'Detailed Rubric V3'!$C$90</f>
        <v>0.28800000000000003</v>
      </c>
      <c r="DC9" s="529" t="s">
        <v>417</v>
      </c>
      <c r="DD9" s="529" cm="1">
        <f t="array" ref="DD9">_xlfn.IFS(Table9[[#This Row],[Environment compliance (30%)]]="", 0, Table9[[#This Row],[Environment compliance (30%)]]="Yes", 4, TRUE, 0)</f>
        <v>4</v>
      </c>
      <c r="DE9" s="529">
        <f>Table9[[#This Row],[Environment compliance Score]]*'Detailed Rubric V3'!$C$104</f>
        <v>1.2</v>
      </c>
      <c r="DF9" s="529" t="s">
        <v>419</v>
      </c>
      <c r="DG9" s="529" cm="1">
        <f t="array" ref="DG9">_xlfn.IFS(Table9[[#This Row],[Flood Risk Index (30%)]]="", 0, Table9[[#This Row],[Flood Risk Index (30%)]]="Very Low", 4, Table9[[#This Row],[Flood Risk Index (30%)]]="Moderate &amp; Low", 2, TRUE, 0)</f>
        <v>2</v>
      </c>
      <c r="DH9" s="529">
        <f>Table9[[#This Row],[Flood Risk Index Score]]*'Detailed Rubric V3'!$F$104</f>
        <v>0.6</v>
      </c>
      <c r="DI9" s="529" t="s">
        <v>419</v>
      </c>
      <c r="DJ9" s="529" cm="1">
        <f t="array" ref="DJ9">_xlfn.IFS(Table9[[#This Row],[Earth Quake Risk Index (10%)]]="", 0, Table9[[#This Row],[Earth Quake Risk Index (10%)]]="Very Low", 4, Table9[[#This Row],[Earth Quake Risk Index (10%)]]="Moderate &amp; Low", 2, TRUE, 0)</f>
        <v>2</v>
      </c>
      <c r="DK9" s="529">
        <f>Table9[[#This Row],[Earth Quake Risk Index Score]]*'Detailed Rubric V3'!$I$104</f>
        <v>0.2</v>
      </c>
      <c r="DL9" s="529" t="s">
        <v>428</v>
      </c>
      <c r="DM9" s="529" cm="1">
        <f t="array" ref="DM9">_xlfn.IFS(Table9[[#This Row],[Sea Level Rise Risk Index (10%)]]="", 0, Table9[[#This Row],[Sea Level Rise Risk Index (10%)]]="Very Low", 4, Table9[[#This Row],[Sea Level Rise Risk Index (10%)]]="Moderate &amp; Low", 2, TRUE, 0)</f>
        <v>4</v>
      </c>
      <c r="DN9" s="529">
        <f>Table9[[#This Row],[Sea Level Rise  Risk Index Score]]*'Detailed Rubric V3'!$L$104</f>
        <v>0.4</v>
      </c>
      <c r="DO9" s="529" t="s">
        <v>419</v>
      </c>
      <c r="DP9" s="529" cm="1">
        <f t="array" ref="DP9">_xlfn.IFS(Table9[[#This Row],[Cyclone Risk Index (10%)]]="", 0, Table9[[#This Row],[Cyclone Risk Index (10%)]]="Very Low", 4, Table9[[#This Row],[Cyclone Risk Index (10%)]]="Moderate &amp; Low", 2, TRUE, 0)</f>
        <v>2</v>
      </c>
      <c r="DQ9" s="529">
        <f>Table9[[#This Row],[Cyclone Risk Index Score]]*'Detailed Rubric V3'!$O$104</f>
        <v>0.2</v>
      </c>
      <c r="DR9" s="529" t="s">
        <v>428</v>
      </c>
      <c r="DS9" s="529" cm="1">
        <f t="array" ref="DS9">_xlfn.IFS(Table9[[#This Row],[Storm Surge Risk Index (10%)]]="", 0, Table9[[#This Row],[Storm Surge Risk Index (10%)]]="Very Low", 4, Table9[[#This Row],[Storm Surge Risk Index (10%)]]="Moderate &amp; Low", 2, TRUE, 0)</f>
        <v>4</v>
      </c>
      <c r="DT9" s="529">
        <f>Table9[[#This Row],[Storm Surge Risk Index Score]]*'Detailed Rubric V3'!$R$104</f>
        <v>0.4</v>
      </c>
      <c r="DU9"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0.18</v>
      </c>
      <c r="DV9" s="533">
        <f>SUM(Table9[[#This Row],[2.1. Connectivity/ Logistics (10% weightage)]],Table9[[#This Row],[2.2. Utility (12% weightage)]],Table9[[#This Row],[2.3. Agglomeration effects (10% weightage)]],Table9[[#This Row],[2.4. Regional Policy (4% weightage)]],Table9[[#This Row],[2.5. Social (8% weightage)]],Table9[[#This Row],[2.6. Environment (6% weightage)]])</f>
        <v>1.6879999999999999</v>
      </c>
      <c r="DW9" s="308">
        <f>_xlfn.RANK.EQ(Table9[[#This Row],[Level 2 Score]],$DV$3:$DV$103)</f>
        <v>7</v>
      </c>
      <c r="DX9" s="533">
        <f>Table9[[#This Row],[Level 1 Score]]+Table9[[#This Row],[Level 2 Score]]</f>
        <v>3.028</v>
      </c>
      <c r="DY9" s="308">
        <f>_xlfn.RANK.EQ(Table9[[#This Row],[Total Score]],$DX$3:$DX$103)</f>
        <v>7</v>
      </c>
      <c r="DZ9" s="237" t="str">
        <f>IF(Table9[[#This Row],[Count of Blanks]]&lt;=2, "Yes", "No")</f>
        <v>Yes</v>
      </c>
      <c r="EA9" s="237">
        <f>COUNTBLANK(Table9[[#This Row],[Name]:[Total Score Rank]])</f>
        <v>0</v>
      </c>
      <c r="EB9" s="237"/>
    </row>
    <row r="10" spans="2:132" ht="27" x14ac:dyDescent="0.25">
      <c r="B10" s="220">
        <v>4</v>
      </c>
      <c r="C10" s="221" t="s">
        <v>148</v>
      </c>
      <c r="D10" s="220" t="s">
        <v>76</v>
      </c>
      <c r="E10" s="220" t="s">
        <v>77</v>
      </c>
      <c r="F10" s="220" t="s">
        <v>78</v>
      </c>
      <c r="G10" s="220" t="s">
        <v>70</v>
      </c>
      <c r="H10" s="525" t="s">
        <v>430</v>
      </c>
      <c r="I10" s="70" t="s">
        <v>426</v>
      </c>
      <c r="J10" s="227" t="s">
        <v>412</v>
      </c>
      <c r="K10" s="220">
        <f>IFERROR(VLOOKUP(Table9[[#This Row],[Land Availability (Grade)​
(50%)]],'Detailed Rubric V3'!$B$8:$C$11,2), 0)</f>
        <v>4</v>
      </c>
      <c r="L10" s="220">
        <f>IFERROR(Table9[[#This Row],[Land Availability (Grade)​ Score]]*'Detailed Rubric V3'!$C$6, "")</f>
        <v>2</v>
      </c>
      <c r="M10" s="222">
        <v>413</v>
      </c>
      <c r="N10" s="222" cm="1">
        <f t="array" ref="N10">_xlfn.IFS(Table9[[#This Row],[Land Size (Acres)
(15%)]]&lt;100,0,Table9[[#This Row],[Land Size (Acres)
(15%)]]&gt;500,4,TRUE,2)</f>
        <v>2</v>
      </c>
      <c r="O10" s="222">
        <f>Table9[[#This Row],[Land Size (Acres) Score]]*'Detailed Rubric V3'!$G$6</f>
        <v>0.3</v>
      </c>
      <c r="P10" s="526">
        <v>1500.87</v>
      </c>
      <c r="Q10" s="526">
        <f>IFERROR(Table9[[#This Row],[Site Filling Cost (Mn BDT)]]/Table9[[#This Row],[Land Size (Acres)
(15%)]],"")</f>
        <v>3.6340677966101693</v>
      </c>
      <c r="R10" s="526" cm="1">
        <f t="array" ref="R10">IF(Table9[[#This Row],[Name]]="Sitakundo Economic Zone", 4, _xlfn.IFS(Table9[[#This Row],[Site Filling Cost (Mn BDT)]]="",0,Table9[[#This Row],[Land Suitability
(Cost of Land Filling in Million BDT per acre)
(25%)]]&gt;5,0,Table9[[#This Row],[Land Suitability
(Cost of Land Filling in Million BDT per acre)
(25%)]]&lt;2,4,TRUE,2))</f>
        <v>2</v>
      </c>
      <c r="S10" s="526">
        <f>Table9[[#This Row],[Land Suitability for Construction Score]]*'Detailed Rubric V3'!$J$6</f>
        <v>0.5</v>
      </c>
      <c r="T10" s="526">
        <v>317.77</v>
      </c>
      <c r="U10" s="526">
        <f>IFERROR(Table9[[#This Row],[Embankment/Dyke Cost (Mn BDT)]]/Table9[[#This Row],[Land Size (Acres)
(15%)]], 0)</f>
        <v>0.76941888619854715</v>
      </c>
      <c r="V10" s="526" cm="1">
        <f t="array" ref="V10">IF(Table9[[#This Row],[Name]]="Sitakundo Economic Zone", 2, _xlfn.IFS(Table9[[#This Row],[Embankment/Dyke Cost (Mn BDT)]]="",0,Table9[[#This Row],[Cost of DRRI Infrastructure in million BDT per acre
(10%)]]&gt;5,0,Table9[[#This Row],[Cost of DRRI Infrastructure in million BDT per acre
(10%)]]&lt;2,4,TRUE,2))</f>
        <v>4</v>
      </c>
      <c r="W10" s="526">
        <f>Table9[[#This Row],[Requirement for Distaster Risk Reduction &amp; Resilience Infrastructure Score]]*'Detailed Rubric V3'!$M$6</f>
        <v>0.4</v>
      </c>
      <c r="X10"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0.64</v>
      </c>
      <c r="Y10" s="452" t="s">
        <v>436</v>
      </c>
      <c r="Z10" s="210">
        <f>IFERROR(VLOOKUP(Table9[[#This Row],[Zone Priority
(40%)]],'Detailed Rubric V3'!$B$18:$C$21, 2,FALSE), 0)</f>
        <v>0</v>
      </c>
      <c r="AA10" s="210">
        <f>IFERROR(Table9[[#This Row],[Zone Priority Score]]*'Detailed Rubric V3'!$C$16, 0)</f>
        <v>0</v>
      </c>
      <c r="AB10" s="237" t="s">
        <v>416</v>
      </c>
      <c r="AC10" s="237">
        <f>VLOOKUP(Table9[[#This Row],[Existing BEZA Report
(60%)]],'Detailed Rubric V3'!$E$18:$F$20,2,FALSE)</f>
        <v>4</v>
      </c>
      <c r="AD10" s="237">
        <f>Table9[[#This Row],[Existing BEZA Report Score]]*'Detailed Rubric V3'!F$16</f>
        <v>4</v>
      </c>
      <c r="AE10" s="237">
        <f>(Table9[[#This Row],[Zone Priority Weighted Score]]+Table9[[#This Row],[Existing BEZA Report Weighted Score]])*'Detailed Rubric V3'!$C$14</f>
        <v>0.6</v>
      </c>
      <c r="AF10" s="528">
        <v>18</v>
      </c>
      <c r="AG10" s="529" cm="1">
        <f t="array" ref="AG10">_xlfn.IFS(Table9[[#This Row],[Existing Sectors
(50%)]]&gt;10, 4,Table9[[#This Row],[Existing Sectors
(50%)]]&lt;5, 0, TRUE, 2)</f>
        <v>4</v>
      </c>
      <c r="AH10" s="529">
        <f>Table9[[#This Row],[Existing Sectors Score]]*'Detailed Rubric V3'!$C$25</f>
        <v>2</v>
      </c>
      <c r="AI10" s="529">
        <v>18</v>
      </c>
      <c r="AJ10" s="529">
        <v>0</v>
      </c>
      <c r="AK10" s="529" cm="1">
        <f t="array" ref="AK10">_xlfn.IFS(Table9[[#This Row],[Potential New Sectors
(50%)]]&gt;5, 4, Table9[[#This Row],[Potential New Sectors
(50%)]]&lt;2,0, TRUE, 2)</f>
        <v>0</v>
      </c>
      <c r="AL10" s="529">
        <f>Table9[[#This Row],[Potential New Sectors Score]]*'Detailed Rubric V3'!$F$25</f>
        <v>0</v>
      </c>
      <c r="AM10" s="232">
        <f>(Table9[[#This Row],[Existing Sectors Weighted Score]]+Table9[[#This Row],[Potential New Sectors Weighted Score]])*'Detailed Rubric V3'!$C$23</f>
        <v>0.3</v>
      </c>
      <c r="AN10" s="530">
        <f>SUM(Table9[[#This Row],[1.1. Land Details (20% weightage)]],Table9[[#This Row],[1.2. BEZA Existing plans (15% weightage)]],Table9[[#This Row],[1.3. Sector Demand (15% weightage):]])</f>
        <v>1.54</v>
      </c>
      <c r="AO10" s="531">
        <f>_xlfn.RANK.EQ(Table9[[#This Row],[Level 1 Score]],$AN$3:$AN$103)</f>
        <v>6</v>
      </c>
      <c r="AP10" s="743">
        <v>35</v>
      </c>
      <c r="AQ10" s="743" cm="1">
        <f t="array" ref="AQ10">_xlfn.IFS(Table9[[#This Row],[National Highway Connectivity (km)
(15%)]]="", 0, Table9[[#This Row],[National Highway Connectivity (km)
(15%)]]&gt;50, 0, Table9[[#This Row],[National Highway Connectivity (km)
(15%)]]&lt;=25, 4, TRUE, 2)</f>
        <v>2</v>
      </c>
      <c r="AR10" s="743">
        <f>Table9[[#This Row],[National Highway Connectivity Score]]*'Detailed Rubric V3'!$C$35</f>
        <v>0.3</v>
      </c>
      <c r="AS10" s="529" t="s">
        <v>418</v>
      </c>
      <c r="AT10" s="743" cm="1">
        <f t="array" ref="AT10">_xlfn.IFS(Table9[[#This Row],[Connecting Road to Highway (km)
(15%)]]="", 0, Table9[[#This Row],[Connecting Road to Highway (km)
(15%)]]="Yes", 4, TRUE, 0)</f>
        <v>0</v>
      </c>
      <c r="AU10" s="743">
        <f>Table9[[#This Row],[Connecting Road to Highway Score]]*'Detailed Rubric V3'!$F$35</f>
        <v>0</v>
      </c>
      <c r="AV10" s="743">
        <v>258</v>
      </c>
      <c r="AW10" s="743" cm="1">
        <f t="array" ref="AW10">_xlfn.IFS(Table9[[#This Row],[Seaport Connectivity (km)
(30%)]]="",0, Table9[[#This Row],[Seaport Connectivity (km)
(30%)]]&gt;400, 0,Table9[[#This Row],[Seaport Connectivity (km)
(30%)]]&lt;=200,4, TRUE, 2)</f>
        <v>2</v>
      </c>
      <c r="AX10" s="743">
        <f>Table9[[#This Row],[Seaport Connectivity Score]]*'Detailed Rubric V3'!$I$35</f>
        <v>0.6</v>
      </c>
      <c r="AY10" s="743">
        <v>43.3</v>
      </c>
      <c r="AZ10" s="743" cm="1">
        <f t="array" ref="AZ10">_xlfn.IFS(Table9[[#This Row],[Airport Connectivity (km)
(10%)]]="", 0, Table9[[#This Row],[Airport Connectivity (km)
(10%)]]&gt;200, 0, Table9[[#This Row],[Airport Connectivity (km)
(10%)]]&lt;=100,4,TRUE, 2)</f>
        <v>4</v>
      </c>
      <c r="BA10" s="743">
        <f>Table9[[#This Row],[Airport Connectivity Score]]*'Detailed Rubric V3'!$C$41</f>
        <v>0.4</v>
      </c>
      <c r="BB10" s="743">
        <v>33</v>
      </c>
      <c r="BC10" s="743" cm="1">
        <f t="array" ref="BC10">_xlfn.IFS(Table9[[#This Row],[Railway Station (km)
(10%)]]="", 0, Table9[[#This Row],[Railway Station (km)
(10%)]]&gt;150, 0,Table9[[#This Row],[Railway Station (km)
(10%)]]&lt;=50,4, TRUE, 2)</f>
        <v>4</v>
      </c>
      <c r="BD10" s="743">
        <f>Table9[[#This Row],[Railway Station Score]]*'Detailed Rubric V3'!$F$41</f>
        <v>0.4</v>
      </c>
      <c r="BE10" s="743">
        <v>53</v>
      </c>
      <c r="BF10" s="743" cm="1">
        <f t="array" ref="BF10">_xlfn.IFS(Table9[[#This Row],[Inland waterway/ Land port (km)
(20%)]]="", 0, Table9[[#This Row],[Inland waterway/ Land port (km)
(20%)]]&gt;200, 0,Table9[[#This Row],[Inland waterway/ Land port (km)
(20%)]]&lt;=50,4, TRUE, 2)</f>
        <v>2</v>
      </c>
      <c r="BG10" s="743">
        <f>Table9[[#This Row],[Inland waterway/ Land port Score]]*'Detailed Rubric V3'!$I$41</f>
        <v>0.4</v>
      </c>
      <c r="BH10" s="744">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0.20999999999999996</v>
      </c>
      <c r="BI10" s="743">
        <v>15</v>
      </c>
      <c r="BJ10" s="743" cm="1">
        <f t="array" ref="BJ10">_xlfn.IFS(Table9[[#This Row],[Power Station (40%)]]="",0, Table9[[#This Row],[Power Station (40%)]]&gt;100, 0,Table9[[#This Row],[Power Station (40%)]]&lt;=50,4, TRUE, 2)</f>
        <v>4</v>
      </c>
      <c r="BK10" s="743">
        <f>Table9[[#This Row],[Power Station Score]]*'Detailed Rubric V3'!$C$53</f>
        <v>1.6</v>
      </c>
      <c r="BL10" s="743">
        <v>37</v>
      </c>
      <c r="BM10" s="743" cm="1">
        <f t="array" ref="BM10">IF(ISNUMBER(Table9[[#This Row],[Gas Station (20%)]]), _xlfn.IFS(Table9[[#This Row],[Gas Station (20%)]]="", 0, Table9[[#This Row],[Gas Station (20%)]]&gt;100, 0,Table9[[#This Row],[Gas Station (20%)]]&lt;=50,4, TRUE, 2), 0)</f>
        <v>4</v>
      </c>
      <c r="BN10" s="743">
        <f>Table9[[#This Row],[Gas Station Score]]*'Detailed Rubric V3'!$F$53</f>
        <v>0.8</v>
      </c>
      <c r="BO10" s="743">
        <v>0</v>
      </c>
      <c r="BP10" s="743" cm="1">
        <f t="array" ref="BP10">IF(ISNUMBER(Table9[[#This Row],[Source of Surface Water (40%)]]), _xlfn.IFS(Table9[[#This Row],[Source of Surface Water (40%)]]="", 0, Table9[[#This Row],[Source of Surface Water (40%)]]&gt;50, 0,Table9[[#This Row],[Source of Surface Water (40%)]]&lt;=20,4, TRUE, 2), 0)</f>
        <v>4</v>
      </c>
      <c r="BQ10" s="743">
        <f>Table9[[#This Row],[Source of Surface Water Score]]*'Detailed Rubric V3'!$I$53</f>
        <v>1.6</v>
      </c>
      <c r="BR10" s="743">
        <f>SUM(Table9[[#This Row],[Power Station Weighted Score]],Table9[[#This Row],[Gas Station Weighted Score]],Table9[[#This Row],[Source of Surface Water Weighted Score]])*'Detailed Rubric V3'!$C$51</f>
        <v>0.48</v>
      </c>
      <c r="BS10" s="529" t="s">
        <v>417</v>
      </c>
      <c r="BT10" s="743" cm="1">
        <f t="array" ref="BT10">_xlfn.IFS(Table9[[#This Row],[Other BEZA EZ (20%)]]="", 0, Table9[[#This Row],[Other BEZA EZ (20%)]]="Yes", 4, TRUE, 0)</f>
        <v>4</v>
      </c>
      <c r="BU10" s="743">
        <f>Table9[[#This Row],[Other BEZA EZ Score]]*'Detailed Rubric V3'!$C$66</f>
        <v>0.8</v>
      </c>
      <c r="BV10" s="529" t="s">
        <v>417</v>
      </c>
      <c r="BW10" s="743" cm="1">
        <f t="array" ref="BW10">_xlfn.IFS(Table9[[#This Row],[BEPZA/ BHPTA/ BSCIC (20%)]]="", 0, Table9[[#This Row],[BEPZA/ BHPTA/ BSCIC (20%)]]="Yes", 4, TRUE, 0)</f>
        <v>4</v>
      </c>
      <c r="BX10" s="743">
        <f>Table9[[#This Row],[BEPZA/ BHPTA/ BSCIC Score]]*'Detailed Rubric V3'!$F$66</f>
        <v>0.8</v>
      </c>
      <c r="BY10" s="529">
        <v>606</v>
      </c>
      <c r="BZ10" s="743" cm="1">
        <f t="array" ref="BZ10">_xlfn.IFS(Table9[[#This Row],[Cluster Industries (from SMI) (20%)]]="", 0, Table9[[#This Row],[Cluster Industries (from SMI) (20%)]]&gt;100, 4, Table9[[#This Row],[Cluster Industries (from SMI) (20%)]]&lt;50, 0, TRUE, 2)</f>
        <v>4</v>
      </c>
      <c r="CA10" s="743">
        <f>Table9[[#This Row],[Cluster Industries (from SMI) Score]]*'Detailed Rubric V3'!$I$66</f>
        <v>0.8</v>
      </c>
      <c r="CB10" s="529" t="s">
        <v>417</v>
      </c>
      <c r="CC10" s="743" cm="1">
        <f t="array" ref="CC10">_xlfn.IFS(Table9[[#This Row],[Located on Industrial corridor (40%)]]="", 0, Table9[[#This Row],[Located on Industrial corridor (40%)]]="Yes", 4, TRUE, 0)</f>
        <v>4</v>
      </c>
      <c r="CD10" s="743">
        <f>Table9[[#This Row],[Located on Industrial corridor Score]]*'Detailed Rubric V3'!$L$66</f>
        <v>1.6</v>
      </c>
      <c r="CE10" s="743">
        <f>SUM(Table9[[#This Row],[Other BEZA EZ Weighted Score]],Table9[[#This Row],[BEPZA/ BHPTA/ BSCIC Weighted Score]],Table9[[#This Row],[Unorganized (from SMI) Weighted Score]],Table9[[#This Row],[Located on Industrial corridor Weighted Score]])*'Detailed Rubric V3'!$C$64</f>
        <v>0.4</v>
      </c>
      <c r="CF10" s="529" t="s">
        <v>418</v>
      </c>
      <c r="CG10" s="743" cm="1">
        <f t="array" ref="CG10">_xlfn.IFS(Table9[[#This Row],[Economic/ Social priority (laggered area) (100%)]]="", 0, Table9[[#This Row],[Economic/ Social priority (laggered area) (100%)]]="Yes", 4, TRUE, 0)</f>
        <v>0</v>
      </c>
      <c r="CH10" s="743">
        <f>Table9[[#This Row],[Economic/ Social priority (laggered area) Score]]*'Detailed Rubric V3'!$C$82</f>
        <v>0</v>
      </c>
      <c r="CI10" s="743" t="s">
        <v>418</v>
      </c>
      <c r="CJ10" s="743" cm="1">
        <f t="array" ref="CJ10">_xlfn.IFS(Table9[[#This Row],[Regional Tax incentive  (0%)]]="", 0, Table9[[#This Row],[Regional Tax incentive  (0%)]]="Yes", 4, TRUE, 0)</f>
        <v>0</v>
      </c>
      <c r="CK10" s="743">
        <f>Table9[[#This Row],[Regional Tax incentive Score]]*'Detailed Rubric V3'!$F$82</f>
        <v>0</v>
      </c>
      <c r="CL10" s="743">
        <f>SUM(Table9[[#This Row],[Economic/ Social priority (laagered area) Weighted Score]],Table9[[#This Row],[Regional Tax incentive  Weighted Score]])*'Detailed Rubric V3'!$C$80</f>
        <v>0</v>
      </c>
      <c r="CM10" s="529">
        <v>861792</v>
      </c>
      <c r="CN10" s="743" cm="1">
        <f t="array" ref="CN10">_xlfn.IFS(Table9[[#This Row],[Employable population (40%) 2013]]="", 0, Table9[[#This Row],[Employable population (40%) 2013]]&gt;200000, 4, Table9[[#This Row],[Employable population (40%) 2013]]&lt;100000,0, TRUE, 2)</f>
        <v>4</v>
      </c>
      <c r="CO10" s="743">
        <f>Table9[[#This Row],[Employable population Score]]*'Detailed Rubric V3'!$C$92</f>
        <v>1.6</v>
      </c>
      <c r="CP10" s="743">
        <v>14.3</v>
      </c>
      <c r="CQ10" s="743" cm="1">
        <f t="array" ref="CQ10">_xlfn.IFS(Table9[[#This Row],[Housing (20%)]]="", 0, Table9[[#This Row],[Housing (20%)]]&gt;50, 0, Table9[[#This Row],[Housing (20%)]]&lt;25, 4, TRUE, 2)</f>
        <v>4</v>
      </c>
      <c r="CR10" s="743">
        <f>Table9[[#This Row],[Housing Score]]*'Detailed Rubric V3'!$F$92</f>
        <v>0.8</v>
      </c>
      <c r="CS10" s="743">
        <v>218</v>
      </c>
      <c r="CT10" s="743" cm="1">
        <f t="array" ref="CT10">_xlfn.IFS(Table9[[#This Row],[Hotels (10%)]]="", 0, Table9[[#This Row],[Hotels (10%)]]&gt;25, 4, Table9[[#This Row],[Hotels (10%)]]&lt;5, 0, TRUE, 2)</f>
        <v>4</v>
      </c>
      <c r="CU10" s="743">
        <f>Table9[[#This Row],[Hotels Score]]*'Detailed Rubric V3'!$I$92</f>
        <v>0.4</v>
      </c>
      <c r="CV10" s="743">
        <v>144</v>
      </c>
      <c r="CW10" s="743" cm="1">
        <f t="array" ref="CW10">_xlfn.IFS(Table9[[#This Row],[Health (Hospital) (15%)]]="", 0, Table9[[#This Row],[Health (Hospital) (15%)]]&gt;10, 4, Table9[[#This Row],[Health (Hospital) (15%)]]&lt;5, 0, TRUE, 2)</f>
        <v>4</v>
      </c>
      <c r="CX10" s="743">
        <f>Table9[[#This Row],[Health (Hospital) Score]]*'Detailed Rubric V3'!$L$92</f>
        <v>0.6</v>
      </c>
      <c r="CY10" s="743">
        <v>76</v>
      </c>
      <c r="CZ10" s="743" cm="1">
        <f t="array" ref="CZ10">_xlfn.IFS(Table9[[#This Row],[University/ Technical &amp; Vocational Institutions (15%)]]="", 0, Table9[[#This Row],[University/ Technical &amp; Vocational Institutions (15%)]]&gt;3, 4, Table9[[#This Row],[University/ Technical &amp; Vocational Institutions (15%)]]&lt;1, 0, TRUE, 2)</f>
        <v>4</v>
      </c>
      <c r="DA10" s="743">
        <f>Table9[[#This Row],[University/ Technical &amp; Vocational Institutions Score]]*'Detailed Rubric V3'!$O$92</f>
        <v>0.6</v>
      </c>
      <c r="DB10" s="743">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10" s="529" t="s">
        <v>418</v>
      </c>
      <c r="DD10" s="743" cm="1">
        <f t="array" ref="DD10">_xlfn.IFS(Table9[[#This Row],[Environment compliance (30%)]]="", 0, Table9[[#This Row],[Environment compliance (30%)]]="Yes", 4, TRUE, 0)</f>
        <v>0</v>
      </c>
      <c r="DE10" s="743">
        <f>Table9[[#This Row],[Environment compliance Score]]*'Detailed Rubric V3'!$C$104</f>
        <v>0</v>
      </c>
      <c r="DF10" s="743" t="s">
        <v>421</v>
      </c>
      <c r="DG10" s="743" cm="1">
        <f t="array" ref="DG10">_xlfn.IFS(Table9[[#This Row],[Flood Risk Index (30%)]]="", 0, Table9[[#This Row],[Flood Risk Index (30%)]]="Very Low", 4, Table9[[#This Row],[Flood Risk Index (30%)]]="Moderate &amp; Low", 2, TRUE, 0)</f>
        <v>0</v>
      </c>
      <c r="DH10" s="743">
        <f>Table9[[#This Row],[Flood Risk Index Score]]*'Detailed Rubric V3'!$F$104</f>
        <v>0</v>
      </c>
      <c r="DI10" s="743" t="s">
        <v>421</v>
      </c>
      <c r="DJ10" s="743" cm="1">
        <f t="array" ref="DJ10">_xlfn.IFS(Table9[[#This Row],[Earth Quake Risk Index (10%)]]="", 0, Table9[[#This Row],[Earth Quake Risk Index (10%)]]="Very Low", 4, Table9[[#This Row],[Earth Quake Risk Index (10%)]]="Moderate &amp; Low", 2, TRUE, 0)</f>
        <v>0</v>
      </c>
      <c r="DK10" s="743">
        <f>Table9[[#This Row],[Earth Quake Risk Index Score]]*'Detailed Rubric V3'!$I$104</f>
        <v>0</v>
      </c>
      <c r="DL10" s="743" t="s">
        <v>428</v>
      </c>
      <c r="DM10" s="743" cm="1">
        <f t="array" ref="DM10">_xlfn.IFS(Table9[[#This Row],[Sea Level Rise Risk Index (10%)]]="", 0, Table9[[#This Row],[Sea Level Rise Risk Index (10%)]]="Very Low", 4, Table9[[#This Row],[Sea Level Rise Risk Index (10%)]]="Moderate &amp; Low", 2, TRUE, 0)</f>
        <v>4</v>
      </c>
      <c r="DN10" s="743">
        <f>Table9[[#This Row],[Sea Level Rise  Risk Index Score]]*'Detailed Rubric V3'!$L$104</f>
        <v>0.4</v>
      </c>
      <c r="DO10" s="743" t="s">
        <v>420</v>
      </c>
      <c r="DP10" s="743" cm="1">
        <f t="array" ref="DP10">_xlfn.IFS(Table9[[#This Row],[Cyclone Risk Index (10%)]]="", 0, Table9[[#This Row],[Cyclone Risk Index (10%)]]="Very Low", 4, Table9[[#This Row],[Cyclone Risk Index (10%)]]="Moderate &amp; Low", 2, TRUE, 0)</f>
        <v>0</v>
      </c>
      <c r="DQ10" s="743">
        <f>Table9[[#This Row],[Cyclone Risk Index Score]]*'Detailed Rubric V3'!$O$104</f>
        <v>0</v>
      </c>
      <c r="DR10" s="743" t="s">
        <v>428</v>
      </c>
      <c r="DS10" s="743" cm="1">
        <f t="array" ref="DS10">_xlfn.IFS(Table9[[#This Row],[Storm Surge Risk Index (10%)]]="", 0, Table9[[#This Row],[Storm Surge Risk Index (10%)]]="Very Low", 4, Table9[[#This Row],[Storm Surge Risk Index (10%)]]="Moderate &amp; Low", 2, TRUE, 0)</f>
        <v>4</v>
      </c>
      <c r="DT10" s="743">
        <f>Table9[[#This Row],[Storm Surge Risk Index Score]]*'Detailed Rubric V3'!$R$104</f>
        <v>0.4</v>
      </c>
      <c r="DU10" s="743">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4.8000000000000001E-2</v>
      </c>
      <c r="DV10" s="744">
        <f>SUM(Table9[[#This Row],[2.1. Connectivity/ Logistics (10% weightage)]],Table9[[#This Row],[2.2. Utility (12% weightage)]],Table9[[#This Row],[2.3. Agglomeration effects (10% weightage)]],Table9[[#This Row],[2.4. Regional Policy (4% weightage)]],Table9[[#This Row],[2.5. Social (8% weightage)]],Table9[[#This Row],[2.6. Environment (6% weightage)]])</f>
        <v>1.458</v>
      </c>
      <c r="DW10" s="743">
        <f>_xlfn.RANK.EQ(Table9[[#This Row],[Level 2 Score]],$DV$3:$DV$103)</f>
        <v>34</v>
      </c>
      <c r="DX10" s="745">
        <f>Table9[[#This Row],[Level 1 Score]]+Table9[[#This Row],[Level 2 Score]]</f>
        <v>2.9980000000000002</v>
      </c>
      <c r="DY10" s="746">
        <f>_xlfn.RANK.EQ(Table9[[#This Row],[Total Score]],$DX$3:$DX$103)</f>
        <v>9</v>
      </c>
      <c r="DZ10" s="237" t="str">
        <f>IF(Table9[[#This Row],[Count of Blanks]]&lt;=2, "Yes", "No")</f>
        <v>Yes</v>
      </c>
      <c r="EA10" s="237">
        <f>COUNTBLANK(Table9[[#This Row],[Name]:[Total Score Rank]])</f>
        <v>0</v>
      </c>
      <c r="EB10" s="237"/>
    </row>
    <row r="11" spans="2:132" ht="27" x14ac:dyDescent="0.25">
      <c r="B11" s="220">
        <v>38</v>
      </c>
      <c r="C11" s="721" t="s">
        <v>29</v>
      </c>
      <c r="D11" s="293" t="s">
        <v>76</v>
      </c>
      <c r="E11" s="293" t="s">
        <v>77</v>
      </c>
      <c r="F11" s="293" t="s">
        <v>89</v>
      </c>
      <c r="G11" s="293" t="s">
        <v>70</v>
      </c>
      <c r="H11" s="534" t="s">
        <v>431</v>
      </c>
      <c r="I11" s="70" t="s">
        <v>438</v>
      </c>
      <c r="J11" s="535" t="s">
        <v>435</v>
      </c>
      <c r="K11" s="293">
        <f>IFERROR(VLOOKUP(Table9[[#This Row],[Land Availability (Grade)​
(50%)]],'Detailed Rubric V3'!$B$8:$C$11,2), 0)</f>
        <v>2</v>
      </c>
      <c r="L11" s="293">
        <f>IFERROR(Table9[[#This Row],[Land Availability (Grade)​ Score]]*'Detailed Rubric V3'!$C$6, "")</f>
        <v>1</v>
      </c>
      <c r="M11" s="290">
        <v>276.12</v>
      </c>
      <c r="N11" s="290" cm="1">
        <f t="array" ref="N11">_xlfn.IFS(Table9[[#This Row],[Land Size (Acres)
(15%)]]&lt;100,0,Table9[[#This Row],[Land Size (Acres)
(15%)]]&gt;500,4,TRUE,2)</f>
        <v>2</v>
      </c>
      <c r="O11" s="290">
        <f>Table9[[#This Row],[Land Size (Acres) Score]]*'Detailed Rubric V3'!$G$6</f>
        <v>0.3</v>
      </c>
      <c r="P11" s="536">
        <v>605.70000000000005</v>
      </c>
      <c r="Q11" s="536">
        <f>IFERROR(Table9[[#This Row],[Site Filling Cost (Mn BDT)]]/Table9[[#This Row],[Land Size (Acres)
(15%)]],"")</f>
        <v>2.1936114732724903</v>
      </c>
      <c r="R11" s="536" cm="1">
        <f t="array" ref="R11">IF(Table9[[#This Row],[Name]]="Sitakundo Economic Zone", 4, _xlfn.IFS(Table9[[#This Row],[Site Filling Cost (Mn BDT)]]="",0,Table9[[#This Row],[Land Suitability
(Cost of Land Filling in Million BDT per acre)
(25%)]]&gt;5,0,Table9[[#This Row],[Land Suitability
(Cost of Land Filling in Million BDT per acre)
(25%)]]&lt;2,4,TRUE,2))</f>
        <v>2</v>
      </c>
      <c r="S11" s="536">
        <f>Table9[[#This Row],[Land Suitability for Construction Score]]*'Detailed Rubric V3'!$J$6</f>
        <v>0.5</v>
      </c>
      <c r="T11" s="536">
        <v>126.7</v>
      </c>
      <c r="U11" s="536">
        <f>IFERROR(Table9[[#This Row],[Embankment/Dyke Cost (Mn BDT)]]/Table9[[#This Row],[Land Size (Acres)
(15%)]], 0)</f>
        <v>0.45885846733304358</v>
      </c>
      <c r="V11" s="536" cm="1">
        <f t="array" ref="V11">IF(Table9[[#This Row],[Name]]="Sitakundo Economic Zone", 2, _xlfn.IFS(Table9[[#This Row],[Embankment/Dyke Cost (Mn BDT)]]="",0,Table9[[#This Row],[Cost of DRRI Infrastructure in million BDT per acre
(10%)]]&gt;5,0,Table9[[#This Row],[Cost of DRRI Infrastructure in million BDT per acre
(10%)]]&lt;2,4,TRUE,2))</f>
        <v>4</v>
      </c>
      <c r="W11" s="536">
        <f>Table9[[#This Row],[Requirement for Distaster Risk Reduction &amp; Resilience Infrastructure Score]]*'Detailed Rubric V3'!$M$6</f>
        <v>0.4</v>
      </c>
      <c r="X11" s="53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0.44000000000000006</v>
      </c>
      <c r="Y11" s="506" t="s">
        <v>436</v>
      </c>
      <c r="Z11" s="538">
        <f>IFERROR(VLOOKUP(Table9[[#This Row],[Zone Priority
(40%)]],'Detailed Rubric V3'!$B$18:$C$21, 2,FALSE), 0)</f>
        <v>0</v>
      </c>
      <c r="AA11" s="538">
        <f>IFERROR(Table9[[#This Row],[Zone Priority Score]]*'Detailed Rubric V3'!$C$16, 0)</f>
        <v>0</v>
      </c>
      <c r="AB11" s="291" t="s">
        <v>416</v>
      </c>
      <c r="AC11" s="291">
        <f>VLOOKUP(Table9[[#This Row],[Existing BEZA Report
(60%)]],'Detailed Rubric V3'!$E$18:$F$20,2,FALSE)</f>
        <v>4</v>
      </c>
      <c r="AD11" s="291">
        <f>Table9[[#This Row],[Existing BEZA Report Score]]*'Detailed Rubric V3'!F$16</f>
        <v>4</v>
      </c>
      <c r="AE11" s="291">
        <f>(Table9[[#This Row],[Zone Priority Weighted Score]]+Table9[[#This Row],[Existing BEZA Report Weighted Score]])*'Detailed Rubric V3'!$C$14</f>
        <v>0.6</v>
      </c>
      <c r="AF11" s="539">
        <v>18</v>
      </c>
      <c r="AG11" s="291" cm="1">
        <f t="array" ref="AG11">_xlfn.IFS(Table9[[#This Row],[Existing Sectors
(50%)]]&gt;10, 4,Table9[[#This Row],[Existing Sectors
(50%)]]&lt;5, 0, TRUE, 2)</f>
        <v>4</v>
      </c>
      <c r="AH11" s="291">
        <f>Table9[[#This Row],[Existing Sectors Score]]*'Detailed Rubric V3'!$C$25</f>
        <v>2</v>
      </c>
      <c r="AI11" s="291">
        <v>18</v>
      </c>
      <c r="AJ11" s="291">
        <v>0</v>
      </c>
      <c r="AK11" s="291" cm="1">
        <f t="array" ref="AK11">_xlfn.IFS(Table9[[#This Row],[Potential New Sectors
(50%)]]&gt;5, 4, Table9[[#This Row],[Potential New Sectors
(50%)]]&lt;2,0, TRUE, 2)</f>
        <v>0</v>
      </c>
      <c r="AL11" s="291">
        <f>Table9[[#This Row],[Potential New Sectors Score]]*'Detailed Rubric V3'!$F$25</f>
        <v>0</v>
      </c>
      <c r="AM11" s="292">
        <f>(Table9[[#This Row],[Existing Sectors Weighted Score]]+Table9[[#This Row],[Potential New Sectors Weighted Score]])*'Detailed Rubric V3'!$C$23</f>
        <v>0.3</v>
      </c>
      <c r="AN11" s="540">
        <f>SUM(Table9[[#This Row],[1.1. Land Details (20% weightage)]],Table9[[#This Row],[1.2. BEZA Existing plans (15% weightage)]],Table9[[#This Row],[1.3. Sector Demand (15% weightage):]])</f>
        <v>1.34</v>
      </c>
      <c r="AO11" s="541">
        <f>_xlfn.RANK.EQ(Table9[[#This Row],[Level 1 Score]],$AN$3:$AN$103)</f>
        <v>13</v>
      </c>
      <c r="AP11" s="529">
        <v>6</v>
      </c>
      <c r="AQ11" s="529" cm="1">
        <f t="array" ref="AQ11">_xlfn.IFS(Table9[[#This Row],[National Highway Connectivity (km)
(15%)]]="", 0, Table9[[#This Row],[National Highway Connectivity (km)
(15%)]]&gt;50, 0, Table9[[#This Row],[National Highway Connectivity (km)
(15%)]]&lt;=25, 4, TRUE, 2)</f>
        <v>4</v>
      </c>
      <c r="AR11" s="529">
        <f>Table9[[#This Row],[National Highway Connectivity Score]]*'Detailed Rubric V3'!$C$35</f>
        <v>0.6</v>
      </c>
      <c r="AS11" s="529" t="s">
        <v>417</v>
      </c>
      <c r="AT11" s="529" cm="1">
        <f t="array" ref="AT11">_xlfn.IFS(Table9[[#This Row],[Connecting Road to Highway (km)
(15%)]]="", 0, Table9[[#This Row],[Connecting Road to Highway (km)
(15%)]]="Yes", 4, TRUE, 0)</f>
        <v>4</v>
      </c>
      <c r="AU11" s="529">
        <f>Table9[[#This Row],[Connecting Road to Highway Score]]*'Detailed Rubric V3'!$F$35</f>
        <v>0.6</v>
      </c>
      <c r="AV11" s="529">
        <v>230</v>
      </c>
      <c r="AW11" s="529" cm="1">
        <f t="array" ref="AW11">_xlfn.IFS(Table9[[#This Row],[Seaport Connectivity (km)
(30%)]]="",0, Table9[[#This Row],[Seaport Connectivity (km)
(30%)]]&gt;400, 0,Table9[[#This Row],[Seaport Connectivity (km)
(30%)]]&lt;=200,4, TRUE, 2)</f>
        <v>2</v>
      </c>
      <c r="AX11" s="529">
        <f>Table9[[#This Row],[Seaport Connectivity Score]]*'Detailed Rubric V3'!$I$35</f>
        <v>0.6</v>
      </c>
      <c r="AY11" s="529">
        <v>36</v>
      </c>
      <c r="AZ11" s="529" cm="1">
        <f t="array" ref="AZ11">_xlfn.IFS(Table9[[#This Row],[Airport Connectivity (km)
(10%)]]="", 0, Table9[[#This Row],[Airport Connectivity (km)
(10%)]]&gt;200, 0, Table9[[#This Row],[Airport Connectivity (km)
(10%)]]&lt;=100,4,TRUE, 2)</f>
        <v>4</v>
      </c>
      <c r="BA11" s="529">
        <f>Table9[[#This Row],[Airport Connectivity Score]]*'Detailed Rubric V3'!$C$41</f>
        <v>0.4</v>
      </c>
      <c r="BB11" s="529">
        <v>24</v>
      </c>
      <c r="BC11" s="529" cm="1">
        <f t="array" ref="BC11">_xlfn.IFS(Table9[[#This Row],[Railway Station (km)
(10%)]]="", 0, Table9[[#This Row],[Railway Station (km)
(10%)]]&gt;150, 0,Table9[[#This Row],[Railway Station (km)
(10%)]]&lt;=50,4, TRUE, 2)</f>
        <v>4</v>
      </c>
      <c r="BD11" s="529">
        <f>Table9[[#This Row],[Railway Station Score]]*'Detailed Rubric V3'!$F$41</f>
        <v>0.4</v>
      </c>
      <c r="BE11" s="529">
        <v>3</v>
      </c>
      <c r="BF11" s="529" cm="1">
        <f t="array" ref="BF11">_xlfn.IFS(Table9[[#This Row],[Inland waterway/ Land port (km)
(20%)]]="", 0, Table9[[#This Row],[Inland waterway/ Land port (km)
(20%)]]&gt;200, 0,Table9[[#This Row],[Inland waterway/ Land port (km)
(20%)]]&lt;=50,4, TRUE, 2)</f>
        <v>4</v>
      </c>
      <c r="BG11" s="529">
        <f>Table9[[#This Row],[Inland waterway/ Land port Score]]*'Detailed Rubric V3'!$I$41</f>
        <v>0.8</v>
      </c>
      <c r="BH11"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0.33999999999999997</v>
      </c>
      <c r="BI11" s="529">
        <v>18</v>
      </c>
      <c r="BJ11" s="529" cm="1">
        <f t="array" ref="BJ11">_xlfn.IFS(Table9[[#This Row],[Power Station (40%)]]="",0, Table9[[#This Row],[Power Station (40%)]]&gt;100, 0,Table9[[#This Row],[Power Station (40%)]]&lt;=50,4, TRUE, 2)</f>
        <v>4</v>
      </c>
      <c r="BK11" s="529">
        <f>Table9[[#This Row],[Power Station Score]]*'Detailed Rubric V3'!$C$53</f>
        <v>1.6</v>
      </c>
      <c r="BL11" s="529">
        <v>11</v>
      </c>
      <c r="BM11" s="529" cm="1">
        <f t="array" ref="BM11">IF(ISNUMBER(Table9[[#This Row],[Gas Station (20%)]]), _xlfn.IFS(Table9[[#This Row],[Gas Station (20%)]]="", 0, Table9[[#This Row],[Gas Station (20%)]]&gt;100, 0,Table9[[#This Row],[Gas Station (20%)]]&lt;=50,4, TRUE, 2), 0)</f>
        <v>4</v>
      </c>
      <c r="BN11" s="529">
        <f>Table9[[#This Row],[Gas Station Score]]*'Detailed Rubric V3'!$F$53</f>
        <v>0.8</v>
      </c>
      <c r="BO11" s="529">
        <v>1</v>
      </c>
      <c r="BP11" s="529" cm="1">
        <f t="array" ref="BP11">IF(ISNUMBER(Table9[[#This Row],[Source of Surface Water (40%)]]), _xlfn.IFS(Table9[[#This Row],[Source of Surface Water (40%)]]="", 0, Table9[[#This Row],[Source of Surface Water (40%)]]&gt;50, 0,Table9[[#This Row],[Source of Surface Water (40%)]]&lt;=20,4, TRUE, 2), 0)</f>
        <v>4</v>
      </c>
      <c r="BQ11" s="529">
        <f>Table9[[#This Row],[Source of Surface Water Score]]*'Detailed Rubric V3'!$I$53</f>
        <v>1.6</v>
      </c>
      <c r="BR11" s="529">
        <f>SUM(Table9[[#This Row],[Power Station Weighted Score]],Table9[[#This Row],[Gas Station Weighted Score]],Table9[[#This Row],[Source of Surface Water Weighted Score]])*'Detailed Rubric V3'!$C$51</f>
        <v>0.48</v>
      </c>
      <c r="BS11" s="529" t="s">
        <v>417</v>
      </c>
      <c r="BT11" s="529" cm="1">
        <f t="array" ref="BT11">_xlfn.IFS(Table9[[#This Row],[Other BEZA EZ (20%)]]="", 0, Table9[[#This Row],[Other BEZA EZ (20%)]]="Yes", 4, TRUE, 0)</f>
        <v>4</v>
      </c>
      <c r="BU11" s="529">
        <f>Table9[[#This Row],[Other BEZA EZ Score]]*'Detailed Rubric V3'!$C$66</f>
        <v>0.8</v>
      </c>
      <c r="BV11" s="529" t="s">
        <v>417</v>
      </c>
      <c r="BW11" s="529" cm="1">
        <f t="array" ref="BW11">_xlfn.IFS(Table9[[#This Row],[BEPZA/ BHPTA/ BSCIC (20%)]]="", 0, Table9[[#This Row],[BEPZA/ BHPTA/ BSCIC (20%)]]="Yes", 4, TRUE, 0)</f>
        <v>4</v>
      </c>
      <c r="BX11" s="529">
        <f>Table9[[#This Row],[BEPZA/ BHPTA/ BSCIC Score]]*'Detailed Rubric V3'!$F$66</f>
        <v>0.8</v>
      </c>
      <c r="BY11" s="529">
        <v>606</v>
      </c>
      <c r="BZ11" s="529" cm="1">
        <f t="array" ref="BZ11">_xlfn.IFS(Table9[[#This Row],[Cluster Industries (from SMI) (20%)]]="", 0, Table9[[#This Row],[Cluster Industries (from SMI) (20%)]]&gt;100, 4, Table9[[#This Row],[Cluster Industries (from SMI) (20%)]]&lt;50, 0, TRUE, 2)</f>
        <v>4</v>
      </c>
      <c r="CA11" s="529">
        <f>Table9[[#This Row],[Cluster Industries (from SMI) Score]]*'Detailed Rubric V3'!$I$66</f>
        <v>0.8</v>
      </c>
      <c r="CB11" s="529" t="s">
        <v>417</v>
      </c>
      <c r="CC11" s="529" cm="1">
        <f t="array" ref="CC11">_xlfn.IFS(Table9[[#This Row],[Located on Industrial corridor (40%)]]="", 0, Table9[[#This Row],[Located on Industrial corridor (40%)]]="Yes", 4, TRUE, 0)</f>
        <v>4</v>
      </c>
      <c r="CD11" s="529">
        <f>Table9[[#This Row],[Located on Industrial corridor Score]]*'Detailed Rubric V3'!$L$66</f>
        <v>1.6</v>
      </c>
      <c r="CE11" s="529">
        <f>SUM(Table9[[#This Row],[Other BEZA EZ Weighted Score]],Table9[[#This Row],[BEPZA/ BHPTA/ BSCIC Weighted Score]],Table9[[#This Row],[Unorganized (from SMI) Weighted Score]],Table9[[#This Row],[Located on Industrial corridor Weighted Score]])*'Detailed Rubric V3'!$C$64</f>
        <v>0.4</v>
      </c>
      <c r="CF11" s="529" t="s">
        <v>418</v>
      </c>
      <c r="CG11" s="529" cm="1">
        <f t="array" ref="CG11">_xlfn.IFS(Table9[[#This Row],[Economic/ Social priority (laggered area) (100%)]]="", 0, Table9[[#This Row],[Economic/ Social priority (laggered area) (100%)]]="Yes", 4, TRUE, 0)</f>
        <v>0</v>
      </c>
      <c r="CH11" s="529">
        <f>Table9[[#This Row],[Economic/ Social priority (laggered area) Score]]*'Detailed Rubric V3'!$C$82</f>
        <v>0</v>
      </c>
      <c r="CI11" s="529" t="s">
        <v>418</v>
      </c>
      <c r="CJ11" s="529" cm="1">
        <f t="array" ref="CJ11">_xlfn.IFS(Table9[[#This Row],[Regional Tax incentive  (0%)]]="", 0, Table9[[#This Row],[Regional Tax incentive  (0%)]]="Yes", 4, TRUE, 0)</f>
        <v>0</v>
      </c>
      <c r="CK11" s="529">
        <f>Table9[[#This Row],[Regional Tax incentive Score]]*'Detailed Rubric V3'!$F$82</f>
        <v>0</v>
      </c>
      <c r="CL11" s="529">
        <f>SUM(Table9[[#This Row],[Economic/ Social priority (laagered area) Weighted Score]],Table9[[#This Row],[Regional Tax incentive  Weighted Score]])*'Detailed Rubric V3'!$C$80</f>
        <v>0</v>
      </c>
      <c r="CM11" s="529">
        <v>861792</v>
      </c>
      <c r="CN11" s="529" cm="1">
        <f t="array" ref="CN11">_xlfn.IFS(Table9[[#This Row],[Employable population (40%) 2013]]="", 0, Table9[[#This Row],[Employable population (40%) 2013]]&gt;200000, 4, Table9[[#This Row],[Employable population (40%) 2013]]&lt;100000,0, TRUE, 2)</f>
        <v>4</v>
      </c>
      <c r="CO11" s="529">
        <f>Table9[[#This Row],[Employable population Score]]*'Detailed Rubric V3'!$C$92</f>
        <v>1.6</v>
      </c>
      <c r="CP11" s="529">
        <v>26</v>
      </c>
      <c r="CQ11" s="529" cm="1">
        <f t="array" ref="CQ11">_xlfn.IFS(Table9[[#This Row],[Housing (20%)]]="", 0, Table9[[#This Row],[Housing (20%)]]&gt;50, 0, Table9[[#This Row],[Housing (20%)]]&lt;25, 4, TRUE, 2)</f>
        <v>2</v>
      </c>
      <c r="CR11" s="529">
        <f>Table9[[#This Row],[Housing Score]]*'Detailed Rubric V3'!$F$92</f>
        <v>0.4</v>
      </c>
      <c r="CS11" s="529">
        <v>218</v>
      </c>
      <c r="CT11" s="529" cm="1">
        <f t="array" ref="CT11">_xlfn.IFS(Table9[[#This Row],[Hotels (10%)]]="", 0, Table9[[#This Row],[Hotels (10%)]]&gt;25, 4, Table9[[#This Row],[Hotels (10%)]]&lt;5, 0, TRUE, 2)</f>
        <v>4</v>
      </c>
      <c r="CU11" s="529">
        <f>Table9[[#This Row],[Hotels Score]]*'Detailed Rubric V3'!$I$92</f>
        <v>0.4</v>
      </c>
      <c r="CV11" s="529">
        <v>144</v>
      </c>
      <c r="CW11" s="529" cm="1">
        <f t="array" ref="CW11">_xlfn.IFS(Table9[[#This Row],[Health (Hospital) (15%)]]="", 0, Table9[[#This Row],[Health (Hospital) (15%)]]&gt;10, 4, Table9[[#This Row],[Health (Hospital) (15%)]]&lt;5, 0, TRUE, 2)</f>
        <v>4</v>
      </c>
      <c r="CX11" s="529">
        <f>Table9[[#This Row],[Health (Hospital) Score]]*'Detailed Rubric V3'!$L$92</f>
        <v>0.6</v>
      </c>
      <c r="CY11" s="529">
        <v>78</v>
      </c>
      <c r="CZ11" s="529" cm="1">
        <f t="array" ref="CZ11">_xlfn.IFS(Table9[[#This Row],[University/ Technical &amp; Vocational Institutions (15%)]]="", 0, Table9[[#This Row],[University/ Technical &amp; Vocational Institutions (15%)]]&gt;3, 4, Table9[[#This Row],[University/ Technical &amp; Vocational Institutions (15%)]]&lt;1, 0, TRUE, 2)</f>
        <v>4</v>
      </c>
      <c r="DA11" s="529">
        <f>Table9[[#This Row],[University/ Technical &amp; Vocational Institutions Score]]*'Detailed Rubric V3'!$O$92</f>
        <v>0.6</v>
      </c>
      <c r="DB11" s="529">
        <f>SUM(Table9[[#This Row],[Employable population Weighted Score]],Table9[[#This Row],[Housing Weighted Score]],Table9[[#This Row],[Hotels Weighted Score]],Table9[[#This Row],[Health (Hospital) Weighted Score]],Table9[[#This Row],[University/ Technical &amp; Vocational Institutions Weighted Score]])*'Detailed Rubric V3'!$C$90</f>
        <v>0.28800000000000003</v>
      </c>
      <c r="DC11" s="529" t="s">
        <v>417</v>
      </c>
      <c r="DD11" s="529" cm="1">
        <f t="array" ref="DD11">_xlfn.IFS(Table9[[#This Row],[Environment compliance (30%)]]="", 0, Table9[[#This Row],[Environment compliance (30%)]]="Yes", 4, TRUE, 0)</f>
        <v>4</v>
      </c>
      <c r="DE11" s="529">
        <f>Table9[[#This Row],[Environment compliance Score]]*'Detailed Rubric V3'!$C$104</f>
        <v>1.2</v>
      </c>
      <c r="DF11" s="529" t="s">
        <v>421</v>
      </c>
      <c r="DG11" s="529" cm="1">
        <f t="array" ref="DG11">_xlfn.IFS(Table9[[#This Row],[Flood Risk Index (30%)]]="", 0, Table9[[#This Row],[Flood Risk Index (30%)]]="Very Low", 4, Table9[[#This Row],[Flood Risk Index (30%)]]="Moderate &amp; Low", 2, TRUE, 0)</f>
        <v>0</v>
      </c>
      <c r="DH11" s="529">
        <f>Table9[[#This Row],[Flood Risk Index Score]]*'Detailed Rubric V3'!$F$104</f>
        <v>0</v>
      </c>
      <c r="DI11" s="529" t="s">
        <v>421</v>
      </c>
      <c r="DJ11" s="529" cm="1">
        <f t="array" ref="DJ11">_xlfn.IFS(Table9[[#This Row],[Earth Quake Risk Index (10%)]]="", 0, Table9[[#This Row],[Earth Quake Risk Index (10%)]]="Very Low", 4, Table9[[#This Row],[Earth Quake Risk Index (10%)]]="Moderate &amp; Low", 2, TRUE, 0)</f>
        <v>0</v>
      </c>
      <c r="DK11" s="529">
        <f>Table9[[#This Row],[Earth Quake Risk Index Score]]*'Detailed Rubric V3'!$I$104</f>
        <v>0</v>
      </c>
      <c r="DL11" s="529" t="s">
        <v>428</v>
      </c>
      <c r="DM11" s="529" cm="1">
        <f t="array" ref="DM11">_xlfn.IFS(Table9[[#This Row],[Sea Level Rise Risk Index (10%)]]="", 0, Table9[[#This Row],[Sea Level Rise Risk Index (10%)]]="Very Low", 4, Table9[[#This Row],[Sea Level Rise Risk Index (10%)]]="Moderate &amp; Low", 2, TRUE, 0)</f>
        <v>4</v>
      </c>
      <c r="DN11" s="529">
        <f>Table9[[#This Row],[Sea Level Rise  Risk Index Score]]*'Detailed Rubric V3'!$L$104</f>
        <v>0.4</v>
      </c>
      <c r="DO11" s="529" t="s">
        <v>420</v>
      </c>
      <c r="DP11" s="529" cm="1">
        <f t="array" ref="DP11">_xlfn.IFS(Table9[[#This Row],[Cyclone Risk Index (10%)]]="", 0, Table9[[#This Row],[Cyclone Risk Index (10%)]]="Very Low", 4, Table9[[#This Row],[Cyclone Risk Index (10%)]]="Moderate &amp; Low", 2, TRUE, 0)</f>
        <v>0</v>
      </c>
      <c r="DQ11" s="529">
        <f>Table9[[#This Row],[Cyclone Risk Index Score]]*'Detailed Rubric V3'!$O$104</f>
        <v>0</v>
      </c>
      <c r="DR11" s="529" t="s">
        <v>428</v>
      </c>
      <c r="DS11" s="529" cm="1">
        <f t="array" ref="DS11">_xlfn.IFS(Table9[[#This Row],[Storm Surge Risk Index (10%)]]="", 0, Table9[[#This Row],[Storm Surge Risk Index (10%)]]="Very Low", 4, Table9[[#This Row],[Storm Surge Risk Index (10%)]]="Moderate &amp; Low", 2, TRUE, 0)</f>
        <v>4</v>
      </c>
      <c r="DT11" s="529">
        <f>Table9[[#This Row],[Storm Surge Risk Index Score]]*'Detailed Rubric V3'!$R$104</f>
        <v>0.4</v>
      </c>
      <c r="DU11"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0.12</v>
      </c>
      <c r="DV11" s="533">
        <f>SUM(Table9[[#This Row],[2.1. Connectivity/ Logistics (10% weightage)]],Table9[[#This Row],[2.2. Utility (12% weightage)]],Table9[[#This Row],[2.3. Agglomeration effects (10% weightage)]],Table9[[#This Row],[2.4. Regional Policy (4% weightage)]],Table9[[#This Row],[2.5. Social (8% weightage)]],Table9[[#This Row],[2.6. Environment (6% weightage)]])</f>
        <v>1.6280000000000001</v>
      </c>
      <c r="DW11" s="308">
        <f>_xlfn.RANK.EQ(Table9[[#This Row],[Level 2 Score]],$DV$3:$DV$103)</f>
        <v>12</v>
      </c>
      <c r="DX11" s="533">
        <f>Table9[[#This Row],[Level 1 Score]]+Table9[[#This Row],[Level 2 Score]]</f>
        <v>2.968</v>
      </c>
      <c r="DY11" s="308">
        <f>_xlfn.RANK.EQ(Table9[[#This Row],[Total Score]],$DX$3:$DX$103)</f>
        <v>11</v>
      </c>
      <c r="DZ11" s="237" t="str">
        <f>IF(Table9[[#This Row],[Count of Blanks]]&lt;=2, "Yes", "No")</f>
        <v>Yes</v>
      </c>
      <c r="EA11" s="237">
        <f>COUNTBLANK(Table9[[#This Row],[Name]:[Total Score Rank]])</f>
        <v>0</v>
      </c>
      <c r="EB11" s="237"/>
    </row>
    <row r="12" spans="2:132" x14ac:dyDescent="0.25">
      <c r="B12" s="220">
        <v>67</v>
      </c>
      <c r="C12" s="221" t="s">
        <v>25</v>
      </c>
      <c r="D12" s="220" t="s">
        <v>84</v>
      </c>
      <c r="E12" s="220" t="s">
        <v>85</v>
      </c>
      <c r="F12" s="220" t="s">
        <v>86</v>
      </c>
      <c r="G12" s="220" t="s">
        <v>79</v>
      </c>
      <c r="H12" s="525" t="s">
        <v>431</v>
      </c>
      <c r="I12" s="70" t="s">
        <v>432</v>
      </c>
      <c r="J12" s="227" t="s">
        <v>412</v>
      </c>
      <c r="K12" s="220">
        <f>IFERROR(VLOOKUP(Table9[[#This Row],[Land Availability (Grade)​
(50%)]],'Detailed Rubric V3'!$B$8:$C$11,2), 0)</f>
        <v>4</v>
      </c>
      <c r="L12" s="220">
        <f>IFERROR(Table9[[#This Row],[Land Availability (Grade)​ Score]]*'Detailed Rubric V3'!$C$6, "")</f>
        <v>2</v>
      </c>
      <c r="M12" s="222">
        <v>382.07209999999998</v>
      </c>
      <c r="N12" s="222" cm="1">
        <f t="array" ref="N12">_xlfn.IFS(Table9[[#This Row],[Land Size (Acres)
(15%)]]&lt;100,0,Table9[[#This Row],[Land Size (Acres)
(15%)]]&gt;500,4,TRUE,2)</f>
        <v>2</v>
      </c>
      <c r="O12" s="222">
        <f>Table9[[#This Row],[Land Size (Acres) Score]]*'Detailed Rubric V3'!$G$6</f>
        <v>0.3</v>
      </c>
      <c r="P12" s="526">
        <v>876</v>
      </c>
      <c r="Q12" s="526">
        <f>IFERROR(Table9[[#This Row],[Site Filling Cost (Mn BDT)]]/Table9[[#This Row],[Land Size (Acres)
(15%)]],"")</f>
        <v>2.2927609736486909</v>
      </c>
      <c r="R12" s="526" cm="1">
        <f t="array" ref="R12">IF(Table9[[#This Row],[Name]]="Sitakundo Economic Zone", 4, _xlfn.IFS(Table9[[#This Row],[Site Filling Cost (Mn BDT)]]="",0,Table9[[#This Row],[Land Suitability
(Cost of Land Filling in Million BDT per acre)
(25%)]]&gt;5,0,Table9[[#This Row],[Land Suitability
(Cost of Land Filling in Million BDT per acre)
(25%)]]&lt;2,4,TRUE,2))</f>
        <v>2</v>
      </c>
      <c r="S12" s="526">
        <f>Table9[[#This Row],[Land Suitability for Construction Score]]*'Detailed Rubric V3'!$J$6</f>
        <v>0.5</v>
      </c>
      <c r="T12" s="526">
        <v>751</v>
      </c>
      <c r="U12" s="526">
        <f>IFERROR(Table9[[#This Row],[Embankment/Dyke Cost (Mn BDT)]]/Table9[[#This Row],[Land Size (Acres)
(15%)]], 0)</f>
        <v>1.9655975927056701</v>
      </c>
      <c r="V12" s="526" cm="1">
        <f t="array" ref="V12">IF(Table9[[#This Row],[Name]]="Sitakundo Economic Zone", 2, _xlfn.IFS(Table9[[#This Row],[Embankment/Dyke Cost (Mn BDT)]]="",0,Table9[[#This Row],[Cost of DRRI Infrastructure in million BDT per acre
(10%)]]&gt;5,0,Table9[[#This Row],[Cost of DRRI Infrastructure in million BDT per acre
(10%)]]&lt;2,4,TRUE,2))</f>
        <v>4</v>
      </c>
      <c r="W12" s="526">
        <f>Table9[[#This Row],[Requirement for Distaster Risk Reduction &amp; Resilience Infrastructure Score]]*'Detailed Rubric V3'!$M$6</f>
        <v>0.4</v>
      </c>
      <c r="X12"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0.64</v>
      </c>
      <c r="Y12" s="227" t="s">
        <v>415</v>
      </c>
      <c r="Z12" s="210">
        <f>IFERROR(VLOOKUP(Table9[[#This Row],[Zone Priority
(40%)]],'Detailed Rubric V3'!$B$18:$C$21, 2,FALSE), 0)</f>
        <v>4</v>
      </c>
      <c r="AA12" s="210">
        <f>IFERROR(Table9[[#This Row],[Zone Priority Score]]*'Detailed Rubric V3'!$C$16, 0)</f>
        <v>0</v>
      </c>
      <c r="AB12" s="237" t="s">
        <v>416</v>
      </c>
      <c r="AC12" s="237">
        <f>VLOOKUP(Table9[[#This Row],[Existing BEZA Report
(60%)]],'Detailed Rubric V3'!$E$18:$F$20,2,FALSE)</f>
        <v>4</v>
      </c>
      <c r="AD12" s="237">
        <f>Table9[[#This Row],[Existing BEZA Report Score]]*'Detailed Rubric V3'!F$16</f>
        <v>4</v>
      </c>
      <c r="AE12" s="237">
        <f>(Table9[[#This Row],[Zone Priority Weighted Score]]+Table9[[#This Row],[Existing BEZA Report Weighted Score]])*'Detailed Rubric V3'!$C$14</f>
        <v>0.6</v>
      </c>
      <c r="AF12" s="528">
        <v>1</v>
      </c>
      <c r="AG12" s="529" cm="1">
        <f t="array" ref="AG12">_xlfn.IFS(Table9[[#This Row],[Existing Sectors
(50%)]]&gt;10, 4,Table9[[#This Row],[Existing Sectors
(50%)]]&lt;5, 0, TRUE, 2)</f>
        <v>0</v>
      </c>
      <c r="AH12" s="529">
        <f>Table9[[#This Row],[Existing Sectors Score]]*'Detailed Rubric V3'!$C$25</f>
        <v>0</v>
      </c>
      <c r="AI12" s="529">
        <v>1</v>
      </c>
      <c r="AJ12" s="529">
        <v>0</v>
      </c>
      <c r="AK12" s="529" cm="1">
        <f t="array" ref="AK12">_xlfn.IFS(Table9[[#This Row],[Potential New Sectors
(50%)]]&gt;5, 4, Table9[[#This Row],[Potential New Sectors
(50%)]]&lt;2,0, TRUE, 2)</f>
        <v>0</v>
      </c>
      <c r="AL12" s="529">
        <f>Table9[[#This Row],[Potential New Sectors Score]]*'Detailed Rubric V3'!$F$25</f>
        <v>0</v>
      </c>
      <c r="AM12" s="232">
        <f>(Table9[[#This Row],[Existing Sectors Weighted Score]]+Table9[[#This Row],[Potential New Sectors Weighted Score]])*'Detailed Rubric V3'!$C$23</f>
        <v>0</v>
      </c>
      <c r="AN12" s="530">
        <f>SUM(Table9[[#This Row],[1.1. Land Details (20% weightage)]],Table9[[#This Row],[1.2. BEZA Existing plans (15% weightage)]],Table9[[#This Row],[1.3. Sector Demand (15% weightage):]])</f>
        <v>1.24</v>
      </c>
      <c r="AO12" s="531">
        <f>_xlfn.RANK.EQ(Table9[[#This Row],[Level 1 Score]],$AN$3:$AN$103)</f>
        <v>15</v>
      </c>
      <c r="AP12" s="529">
        <v>1</v>
      </c>
      <c r="AQ12" s="529" cm="1">
        <f t="array" ref="AQ12">_xlfn.IFS(Table9[[#This Row],[National Highway Connectivity (km)
(15%)]]="", 0, Table9[[#This Row],[National Highway Connectivity (km)
(15%)]]&gt;50, 0, Table9[[#This Row],[National Highway Connectivity (km)
(15%)]]&lt;=25, 4, TRUE, 2)</f>
        <v>4</v>
      </c>
      <c r="AR12" s="529">
        <f>Table9[[#This Row],[National Highway Connectivity Score]]*'Detailed Rubric V3'!$C$35</f>
        <v>0.6</v>
      </c>
      <c r="AS12" s="529" t="s">
        <v>417</v>
      </c>
      <c r="AT12" s="529" cm="1">
        <f t="array" ref="AT12">_xlfn.IFS(Table9[[#This Row],[Connecting Road to Highway (km)
(15%)]]="", 0, Table9[[#This Row],[Connecting Road to Highway (km)
(15%)]]="Yes", 4, TRUE, 0)</f>
        <v>4</v>
      </c>
      <c r="AU12" s="529">
        <f>Table9[[#This Row],[Connecting Road to Highway Score]]*'Detailed Rubric V3'!$F$35</f>
        <v>0.6</v>
      </c>
      <c r="AV12" s="529">
        <v>110</v>
      </c>
      <c r="AW12" s="529" cm="1">
        <f t="array" ref="AW12">_xlfn.IFS(Table9[[#This Row],[Seaport Connectivity (km)
(30%)]]="",0, Table9[[#This Row],[Seaport Connectivity (km)
(30%)]]&gt;400, 0,Table9[[#This Row],[Seaport Connectivity (km)
(30%)]]&lt;=200,4, TRUE, 2)</f>
        <v>4</v>
      </c>
      <c r="AX12" s="529">
        <f>Table9[[#This Row],[Seaport Connectivity Score]]*'Detailed Rubric V3'!$I$35</f>
        <v>1.2</v>
      </c>
      <c r="AY12" s="529">
        <v>120</v>
      </c>
      <c r="AZ12" s="529" cm="1">
        <f t="array" ref="AZ12">_xlfn.IFS(Table9[[#This Row],[Airport Connectivity (km)
(10%)]]="", 0, Table9[[#This Row],[Airport Connectivity (km)
(10%)]]&gt;200, 0, Table9[[#This Row],[Airport Connectivity (km)
(10%)]]&lt;=100,4,TRUE, 2)</f>
        <v>2</v>
      </c>
      <c r="BA12" s="529">
        <f>Table9[[#This Row],[Airport Connectivity Score]]*'Detailed Rubric V3'!$C$41</f>
        <v>0.2</v>
      </c>
      <c r="BB12" s="529">
        <v>7</v>
      </c>
      <c r="BC12" s="529" cm="1">
        <f t="array" ref="BC12">_xlfn.IFS(Table9[[#This Row],[Railway Station (km)
(10%)]]="", 0, Table9[[#This Row],[Railway Station (km)
(10%)]]&gt;150, 0,Table9[[#This Row],[Railway Station (km)
(10%)]]&lt;=50,4, TRUE, 2)</f>
        <v>4</v>
      </c>
      <c r="BD12" s="529">
        <f>Table9[[#This Row],[Railway Station Score]]*'Detailed Rubric V3'!$F$41</f>
        <v>0.4</v>
      </c>
      <c r="BE12" s="529">
        <v>100</v>
      </c>
      <c r="BF12" s="529" cm="1">
        <f t="array" ref="BF12">_xlfn.IFS(Table9[[#This Row],[Inland waterway/ Land port (km)
(20%)]]="", 0, Table9[[#This Row],[Inland waterway/ Land port (km)
(20%)]]&gt;200, 0,Table9[[#This Row],[Inland waterway/ Land port (km)
(20%)]]&lt;=50,4, TRUE, 2)</f>
        <v>2</v>
      </c>
      <c r="BG12" s="529">
        <f>Table9[[#This Row],[Inland waterway/ Land port Score]]*'Detailed Rubric V3'!$I$41</f>
        <v>0.4</v>
      </c>
      <c r="BH12"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0.34</v>
      </c>
      <c r="BI12" s="529">
        <v>2</v>
      </c>
      <c r="BJ12" s="529" cm="1">
        <f t="array" ref="BJ12">_xlfn.IFS(Table9[[#This Row],[Power Station (40%)]]="",0, Table9[[#This Row],[Power Station (40%)]]&gt;100, 0,Table9[[#This Row],[Power Station (40%)]]&lt;=50,4, TRUE, 2)</f>
        <v>4</v>
      </c>
      <c r="BK12" s="529">
        <f>Table9[[#This Row],[Power Station Score]]*'Detailed Rubric V3'!$C$53</f>
        <v>1.6</v>
      </c>
      <c r="BL12" s="614">
        <v>9.4</v>
      </c>
      <c r="BM12" s="529" cm="1">
        <f t="array" ref="BM12">IF(ISNUMBER(Table9[[#This Row],[Gas Station (20%)]]), _xlfn.IFS(Table9[[#This Row],[Gas Station (20%)]]="", 0, Table9[[#This Row],[Gas Station (20%)]]&gt;100, 0,Table9[[#This Row],[Gas Station (20%)]]&lt;=50,4, TRUE, 2), 0)</f>
        <v>4</v>
      </c>
      <c r="BN12" s="529">
        <f>Table9[[#This Row],[Gas Station Score]]*'Detailed Rubric V3'!$F$53</f>
        <v>0.8</v>
      </c>
      <c r="BO12" s="529">
        <v>0</v>
      </c>
      <c r="BP12" s="529" cm="1">
        <f t="array" ref="BP12">IF(ISNUMBER(Table9[[#This Row],[Source of Surface Water (40%)]]), _xlfn.IFS(Table9[[#This Row],[Source of Surface Water (40%)]]="", 0, Table9[[#This Row],[Source of Surface Water (40%)]]&gt;50, 0,Table9[[#This Row],[Source of Surface Water (40%)]]&lt;=20,4, TRUE, 2), 0)</f>
        <v>4</v>
      </c>
      <c r="BQ12" s="529">
        <f>Table9[[#This Row],[Source of Surface Water Score]]*'Detailed Rubric V3'!$I$53</f>
        <v>1.6</v>
      </c>
      <c r="BR12" s="529">
        <f>SUM(Table9[[#This Row],[Power Station Weighted Score]],Table9[[#This Row],[Gas Station Weighted Score]],Table9[[#This Row],[Source of Surface Water Weighted Score]])*'Detailed Rubric V3'!$C$51</f>
        <v>0.48</v>
      </c>
      <c r="BS12" s="529" t="s">
        <v>418</v>
      </c>
      <c r="BT12" s="529" cm="1">
        <f t="array" ref="BT12">_xlfn.IFS(Table9[[#This Row],[Other BEZA EZ (20%)]]="", 0, Table9[[#This Row],[Other BEZA EZ (20%)]]="Yes", 4, TRUE, 0)</f>
        <v>0</v>
      </c>
      <c r="BU12" s="529">
        <f>Table9[[#This Row],[Other BEZA EZ Score]]*'Detailed Rubric V3'!$C$66</f>
        <v>0</v>
      </c>
      <c r="BV12" s="529" t="s">
        <v>417</v>
      </c>
      <c r="BW12" s="529" cm="1">
        <f t="array" ref="BW12">_xlfn.IFS(Table9[[#This Row],[BEPZA/ BHPTA/ BSCIC (20%)]]="", 0, Table9[[#This Row],[BEPZA/ BHPTA/ BSCIC (20%)]]="Yes", 4, TRUE, 0)</f>
        <v>4</v>
      </c>
      <c r="BX12" s="529">
        <f>Table9[[#This Row],[BEPZA/ BHPTA/ BSCIC Score]]*'Detailed Rubric V3'!$F$66</f>
        <v>0.8</v>
      </c>
      <c r="BY12" s="529">
        <v>99</v>
      </c>
      <c r="BZ12" s="529" cm="1">
        <f t="array" ref="BZ12">_xlfn.IFS(Table9[[#This Row],[Cluster Industries (from SMI) (20%)]]="", 0, Table9[[#This Row],[Cluster Industries (from SMI) (20%)]]&gt;100, 4, Table9[[#This Row],[Cluster Industries (from SMI) (20%)]]&lt;50, 0, TRUE, 2)</f>
        <v>2</v>
      </c>
      <c r="CA12" s="529">
        <f>Table9[[#This Row],[Cluster Industries (from SMI) Score]]*'Detailed Rubric V3'!$I$66</f>
        <v>0.4</v>
      </c>
      <c r="CB12" s="529" t="s">
        <v>417</v>
      </c>
      <c r="CC12" s="529" cm="1">
        <f t="array" ref="CC12">_xlfn.IFS(Table9[[#This Row],[Located on Industrial corridor (40%)]]="", 0, Table9[[#This Row],[Located on Industrial corridor (40%)]]="Yes", 4, TRUE, 0)</f>
        <v>4</v>
      </c>
      <c r="CD12" s="529">
        <f>Table9[[#This Row],[Located on Industrial corridor Score]]*'Detailed Rubric V3'!$L$66</f>
        <v>1.6</v>
      </c>
      <c r="CE12" s="529">
        <f>SUM(Table9[[#This Row],[Other BEZA EZ Weighted Score]],Table9[[#This Row],[BEPZA/ BHPTA/ BSCIC Weighted Score]],Table9[[#This Row],[Unorganized (from SMI) Weighted Score]],Table9[[#This Row],[Located on Industrial corridor Weighted Score]])*'Detailed Rubric V3'!$C$64</f>
        <v>0.28000000000000003</v>
      </c>
      <c r="CF12" s="529" t="s">
        <v>417</v>
      </c>
      <c r="CG12" s="529" cm="1">
        <f t="array" ref="CG12">_xlfn.IFS(Table9[[#This Row],[Economic/ Social priority (laggered area) (100%)]]="", 0, Table9[[#This Row],[Economic/ Social priority (laggered area) (100%)]]="Yes", 4, TRUE, 0)</f>
        <v>4</v>
      </c>
      <c r="CH12" s="529">
        <f>Table9[[#This Row],[Economic/ Social priority (laggered area) Score]]*'Detailed Rubric V3'!$C$82</f>
        <v>4</v>
      </c>
      <c r="CI12" s="529" t="s">
        <v>417</v>
      </c>
      <c r="CJ12" s="529" cm="1">
        <f t="array" ref="CJ12">_xlfn.IFS(Table9[[#This Row],[Regional Tax incentive  (0%)]]="", 0, Table9[[#This Row],[Regional Tax incentive  (0%)]]="Yes", 4, TRUE, 0)</f>
        <v>4</v>
      </c>
      <c r="CK12" s="529">
        <f>Table9[[#This Row],[Regional Tax incentive Score]]*'Detailed Rubric V3'!$F$82</f>
        <v>0</v>
      </c>
      <c r="CL12" s="529">
        <f>SUM(Table9[[#This Row],[Economic/ Social priority (laagered area) Weighted Score]],Table9[[#This Row],[Regional Tax incentive  Weighted Score]])*'Detailed Rubric V3'!$C$80</f>
        <v>0.16</v>
      </c>
      <c r="CM12" s="529">
        <v>275486</v>
      </c>
      <c r="CN12" s="529" cm="1">
        <f t="array" ref="CN12">_xlfn.IFS(Table9[[#This Row],[Employable population (40%) 2013]]="", 0, Table9[[#This Row],[Employable population (40%) 2013]]&gt;200000, 4, Table9[[#This Row],[Employable population (40%) 2013]]&lt;100000,0, TRUE, 2)</f>
        <v>4</v>
      </c>
      <c r="CO12" s="529">
        <f>Table9[[#This Row],[Employable population Score]]*'Detailed Rubric V3'!$C$92</f>
        <v>1.6</v>
      </c>
      <c r="CP12" s="529">
        <v>20</v>
      </c>
      <c r="CQ12" s="529" cm="1">
        <f t="array" ref="CQ12">_xlfn.IFS(Table9[[#This Row],[Housing (20%)]]="", 0, Table9[[#This Row],[Housing (20%)]]&gt;50, 0, Table9[[#This Row],[Housing (20%)]]&lt;25, 4, TRUE, 2)</f>
        <v>4</v>
      </c>
      <c r="CR12" s="529">
        <f>Table9[[#This Row],[Housing Score]]*'Detailed Rubric V3'!$F$92</f>
        <v>0.8</v>
      </c>
      <c r="CS12" s="529">
        <v>10</v>
      </c>
      <c r="CT12" s="529" cm="1">
        <f t="array" ref="CT12">_xlfn.IFS(Table9[[#This Row],[Hotels (10%)]]="", 0, Table9[[#This Row],[Hotels (10%)]]&gt;25, 4, Table9[[#This Row],[Hotels (10%)]]&lt;5, 0, TRUE, 2)</f>
        <v>2</v>
      </c>
      <c r="CU12" s="529">
        <f>Table9[[#This Row],[Hotels Score]]*'Detailed Rubric V3'!$I$92</f>
        <v>0.2</v>
      </c>
      <c r="CV12" s="529">
        <v>100</v>
      </c>
      <c r="CW12" s="529" cm="1">
        <f t="array" ref="CW12">_xlfn.IFS(Table9[[#This Row],[Health (Hospital) (15%)]]="", 0, Table9[[#This Row],[Health (Hospital) (15%)]]&gt;10, 4, Table9[[#This Row],[Health (Hospital) (15%)]]&lt;5, 0, TRUE, 2)</f>
        <v>4</v>
      </c>
      <c r="CX12" s="529">
        <f>Table9[[#This Row],[Health (Hospital) Score]]*'Detailed Rubric V3'!$L$92</f>
        <v>0.6</v>
      </c>
      <c r="CY12" s="529">
        <v>9</v>
      </c>
      <c r="CZ12" s="529" cm="1">
        <f t="array" ref="CZ12">_xlfn.IFS(Table9[[#This Row],[University/ Technical &amp; Vocational Institutions (15%)]]="", 0, Table9[[#This Row],[University/ Technical &amp; Vocational Institutions (15%)]]&gt;3, 4, Table9[[#This Row],[University/ Technical &amp; Vocational Institutions (15%)]]&lt;1, 0, TRUE, 2)</f>
        <v>4</v>
      </c>
      <c r="DA12" s="529">
        <f>Table9[[#This Row],[University/ Technical &amp; Vocational Institutions Score]]*'Detailed Rubric V3'!$O$92</f>
        <v>0.6</v>
      </c>
      <c r="DB12" s="529">
        <f>SUM(Table9[[#This Row],[Employable population Weighted Score]],Table9[[#This Row],[Housing Weighted Score]],Table9[[#This Row],[Hotels Weighted Score]],Table9[[#This Row],[Health (Hospital) Weighted Score]],Table9[[#This Row],[University/ Technical &amp; Vocational Institutions Weighted Score]])*'Detailed Rubric V3'!$C$90</f>
        <v>0.30400000000000005</v>
      </c>
      <c r="DC12" s="529" t="s">
        <v>418</v>
      </c>
      <c r="DD12" s="529" cm="1">
        <f t="array" ref="DD12">_xlfn.IFS(Table9[[#This Row],[Environment compliance (30%)]]="", 0, Table9[[#This Row],[Environment compliance (30%)]]="Yes", 4, TRUE, 0)</f>
        <v>0</v>
      </c>
      <c r="DE12" s="529">
        <f>Table9[[#This Row],[Environment compliance Score]]*'Detailed Rubric V3'!$C$104</f>
        <v>0</v>
      </c>
      <c r="DF12" s="529" t="s">
        <v>428</v>
      </c>
      <c r="DG12" s="529" cm="1">
        <f t="array" ref="DG12">_xlfn.IFS(Table9[[#This Row],[Flood Risk Index (30%)]]="", 0, Table9[[#This Row],[Flood Risk Index (30%)]]="Very Low", 4, Table9[[#This Row],[Flood Risk Index (30%)]]="Moderate &amp; Low", 2, TRUE, 0)</f>
        <v>4</v>
      </c>
      <c r="DH12" s="529">
        <f>Table9[[#This Row],[Flood Risk Index Score]]*'Detailed Rubric V3'!$F$104</f>
        <v>1.2</v>
      </c>
      <c r="DI12" s="529" t="s">
        <v>419</v>
      </c>
      <c r="DJ12" s="529" cm="1">
        <f t="array" ref="DJ12">_xlfn.IFS(Table9[[#This Row],[Earth Quake Risk Index (10%)]]="", 0, Table9[[#This Row],[Earth Quake Risk Index (10%)]]="Very Low", 4, Table9[[#This Row],[Earth Quake Risk Index (10%)]]="Moderate &amp; Low", 2, TRUE, 0)</f>
        <v>2</v>
      </c>
      <c r="DK12" s="529">
        <f>Table9[[#This Row],[Earth Quake Risk Index Score]]*'Detailed Rubric V3'!$I$104</f>
        <v>0.2</v>
      </c>
      <c r="DL12" s="529" t="s">
        <v>428</v>
      </c>
      <c r="DM12" s="529" cm="1">
        <f t="array" ref="DM12">_xlfn.IFS(Table9[[#This Row],[Sea Level Rise Risk Index (10%)]]="", 0, Table9[[#This Row],[Sea Level Rise Risk Index (10%)]]="Very Low", 4, Table9[[#This Row],[Sea Level Rise Risk Index (10%)]]="Moderate &amp; Low", 2, TRUE, 0)</f>
        <v>4</v>
      </c>
      <c r="DN12" s="529">
        <f>Table9[[#This Row],[Sea Level Rise  Risk Index Score]]*'Detailed Rubric V3'!$L$104</f>
        <v>0.4</v>
      </c>
      <c r="DO12" s="529" t="s">
        <v>420</v>
      </c>
      <c r="DP12" s="529" cm="1">
        <f t="array" ref="DP12">_xlfn.IFS(Table9[[#This Row],[Cyclone Risk Index (10%)]]="", 0, Table9[[#This Row],[Cyclone Risk Index (10%)]]="Very Low", 4, Table9[[#This Row],[Cyclone Risk Index (10%)]]="Moderate &amp; Low", 2, TRUE, 0)</f>
        <v>0</v>
      </c>
      <c r="DQ12" s="529">
        <f>Table9[[#This Row],[Cyclone Risk Index Score]]*'Detailed Rubric V3'!$O$104</f>
        <v>0</v>
      </c>
      <c r="DR12" s="529" t="s">
        <v>428</v>
      </c>
      <c r="DS12" s="529" cm="1">
        <f t="array" ref="DS12">_xlfn.IFS(Table9[[#This Row],[Storm Surge Risk Index (10%)]]="", 0, Table9[[#This Row],[Storm Surge Risk Index (10%)]]="Very Low", 4, Table9[[#This Row],[Storm Surge Risk Index (10%)]]="Moderate &amp; Low", 2, TRUE, 0)</f>
        <v>4</v>
      </c>
      <c r="DT12" s="529">
        <f>Table9[[#This Row],[Storm Surge Risk Index Score]]*'Detailed Rubric V3'!$R$104</f>
        <v>0.4</v>
      </c>
      <c r="DU12"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0.13199999999999998</v>
      </c>
      <c r="DV12" s="533">
        <f>SUM(Table9[[#This Row],[2.1. Connectivity/ Logistics (10% weightage)]],Table9[[#This Row],[2.2. Utility (12% weightage)]],Table9[[#This Row],[2.3. Agglomeration effects (10% weightage)]],Table9[[#This Row],[2.4. Regional Policy (4% weightage)]],Table9[[#This Row],[2.5. Social (8% weightage)]],Table9[[#This Row],[2.6. Environment (6% weightage)]])</f>
        <v>1.696</v>
      </c>
      <c r="DW12" s="232">
        <f>_xlfn.RANK.EQ(Table9[[#This Row],[Level 2 Score]],$DV$3:$DV$103)</f>
        <v>6</v>
      </c>
      <c r="DX12" s="533">
        <f>Table9[[#This Row],[Level 1 Score]]+Table9[[#This Row],[Level 2 Score]]</f>
        <v>2.9359999999999999</v>
      </c>
      <c r="DY12" s="336">
        <f>_xlfn.RANK.EQ(Table9[[#This Row],[Total Score]],$DX$3:$DX$103)</f>
        <v>12</v>
      </c>
      <c r="DZ12" s="237" t="str">
        <f>IF(Table9[[#This Row],[Count of Blanks]]&lt;=2, "Yes", "No")</f>
        <v>Yes</v>
      </c>
      <c r="EA12" s="237">
        <f>COUNTBLANK(Table9[[#This Row],[Name]:[Total Score Rank]])</f>
        <v>0</v>
      </c>
      <c r="EB12" s="613" t="s">
        <v>417</v>
      </c>
    </row>
    <row r="13" spans="2:132" ht="27" x14ac:dyDescent="0.25">
      <c r="B13" s="220">
        <v>65</v>
      </c>
      <c r="C13" s="221" t="s">
        <v>23</v>
      </c>
      <c r="D13" s="220" t="s">
        <v>68</v>
      </c>
      <c r="E13" s="220" t="s">
        <v>68</v>
      </c>
      <c r="F13" s="220" t="s">
        <v>81</v>
      </c>
      <c r="G13" s="220" t="s">
        <v>79</v>
      </c>
      <c r="H13" s="525" t="s">
        <v>410</v>
      </c>
      <c r="I13" s="70" t="s">
        <v>429</v>
      </c>
      <c r="J13" s="227" t="s">
        <v>412</v>
      </c>
      <c r="K13" s="220">
        <f>IFERROR(VLOOKUP(Table9[[#This Row],[Land Availability (Grade)​
(50%)]],'Detailed Rubric V3'!$B$8:$C$11,2), 0)</f>
        <v>4</v>
      </c>
      <c r="L13" s="220">
        <f>IFERROR(Table9[[#This Row],[Land Availability (Grade)​ Score]]*'Detailed Rubric V3'!$C$6, "")</f>
        <v>2</v>
      </c>
      <c r="M13" s="222">
        <v>805.86649999999997</v>
      </c>
      <c r="N13" s="222" cm="1">
        <f t="array" ref="N13">_xlfn.IFS(Table9[[#This Row],[Land Size (Acres)
(15%)]]&lt;100,0,Table9[[#This Row],[Land Size (Acres)
(15%)]]&gt;500,4,TRUE,2)</f>
        <v>4</v>
      </c>
      <c r="O13" s="222">
        <f>Table9[[#This Row],[Land Size (Acres) Score]]*'Detailed Rubric V3'!$G$6</f>
        <v>0.6</v>
      </c>
      <c r="P13" s="592">
        <v>2718.7</v>
      </c>
      <c r="Q13" s="526">
        <f>IFERROR(Table9[[#This Row],[Site Filling Cost (Mn BDT)]]/Table9[[#This Row],[Land Size (Acres)
(15%)]],"")</f>
        <v>3.3736357076513293</v>
      </c>
      <c r="R13" s="526" cm="1">
        <f t="array" ref="R13">IF(Table9[[#This Row],[Name]]="Sitakundo Economic Zone", 4, _xlfn.IFS(Table9[[#This Row],[Site Filling Cost (Mn BDT)]]="",0,Table9[[#This Row],[Land Suitability
(Cost of Land Filling in Million BDT per acre)
(25%)]]&gt;5,0,Table9[[#This Row],[Land Suitability
(Cost of Land Filling in Million BDT per acre)
(25%)]]&lt;2,4,TRUE,2))</f>
        <v>2</v>
      </c>
      <c r="S13" s="526">
        <f>Table9[[#This Row],[Land Suitability for Construction Score]]*'Detailed Rubric V3'!$J$6</f>
        <v>0.5</v>
      </c>
      <c r="T13" s="526"/>
      <c r="U13" s="526">
        <f>IFERROR(Table9[[#This Row],[Embankment/Dyke Cost (Mn BDT)]]/Table9[[#This Row],[Land Size (Acres)
(15%)]], 0)</f>
        <v>0</v>
      </c>
      <c r="V13" s="526" cm="1">
        <f t="array" ref="V13">IF(Table9[[#This Row],[Name]]="Sitakundo Economic Zone", 2, _xlfn.IFS(Table9[[#This Row],[Embankment/Dyke Cost (Mn BDT)]]="",0,Table9[[#This Row],[Cost of DRRI Infrastructure in million BDT per acre
(10%)]]&gt;5,0,Table9[[#This Row],[Cost of DRRI Infrastructure in million BDT per acre
(10%)]]&lt;2,4,TRUE,2))</f>
        <v>0</v>
      </c>
      <c r="W13" s="526">
        <f>Table9[[#This Row],[Requirement for Distaster Risk Reduction &amp; Resilience Infrastructure Score]]*'Detailed Rubric V3'!$M$6</f>
        <v>0</v>
      </c>
      <c r="X13"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0.62000000000000011</v>
      </c>
      <c r="Y13" s="227" t="s">
        <v>415</v>
      </c>
      <c r="Z13" s="210">
        <f>IFERROR(VLOOKUP(Table9[[#This Row],[Zone Priority
(40%)]],'Detailed Rubric V3'!$B$18:$C$21, 2,FALSE), 0)</f>
        <v>4</v>
      </c>
      <c r="AA13" s="210">
        <f>IFERROR(Table9[[#This Row],[Zone Priority Score]]*'Detailed Rubric V3'!$C$16, 0)</f>
        <v>0</v>
      </c>
      <c r="AB13" s="237" t="s">
        <v>416</v>
      </c>
      <c r="AC13" s="237">
        <f>VLOOKUP(Table9[[#This Row],[Existing BEZA Report
(60%)]],'Detailed Rubric V3'!$E$18:$F$20,2,FALSE)</f>
        <v>4</v>
      </c>
      <c r="AD13" s="237">
        <f>Table9[[#This Row],[Existing BEZA Report Score]]*'Detailed Rubric V3'!F$16</f>
        <v>4</v>
      </c>
      <c r="AE13" s="237">
        <f>(Table9[[#This Row],[Zone Priority Weighted Score]]+Table9[[#This Row],[Existing BEZA Report Weighted Score]])*'Detailed Rubric V3'!$C$14</f>
        <v>0.6</v>
      </c>
      <c r="AF13" s="528">
        <v>19</v>
      </c>
      <c r="AG13" s="529" cm="1">
        <f t="array" ref="AG13">_xlfn.IFS(Table9[[#This Row],[Existing Sectors
(50%)]]&gt;10, 4,Table9[[#This Row],[Existing Sectors
(50%)]]&lt;5, 0, TRUE, 2)</f>
        <v>4</v>
      </c>
      <c r="AH13" s="529">
        <f>Table9[[#This Row],[Existing Sectors Score]]*'Detailed Rubric V3'!$C$25</f>
        <v>2</v>
      </c>
      <c r="AI13" s="529">
        <v>19</v>
      </c>
      <c r="AJ13" s="529">
        <v>0</v>
      </c>
      <c r="AK13" s="529" cm="1">
        <f t="array" ref="AK13">_xlfn.IFS(Table9[[#This Row],[Potential New Sectors
(50%)]]&gt;5, 4, Table9[[#This Row],[Potential New Sectors
(50%)]]&lt;2,0, TRUE, 2)</f>
        <v>0</v>
      </c>
      <c r="AL13" s="529">
        <f>Table9[[#This Row],[Potential New Sectors Score]]*'Detailed Rubric V3'!$F$25</f>
        <v>0</v>
      </c>
      <c r="AM13" s="232">
        <f>(Table9[[#This Row],[Existing Sectors Weighted Score]]+Table9[[#This Row],[Potential New Sectors Weighted Score]])*'Detailed Rubric V3'!$C$23</f>
        <v>0.3</v>
      </c>
      <c r="AN13" s="530">
        <f>SUM(Table9[[#This Row],[1.1. Land Details (20% weightage)]],Table9[[#This Row],[1.2. BEZA Existing plans (15% weightage)]],Table9[[#This Row],[1.3. Sector Demand (15% weightage):]])</f>
        <v>1.5200000000000002</v>
      </c>
      <c r="AO13" s="531">
        <f>_xlfn.RANK.EQ(Table9[[#This Row],[Level 1 Score]],$AN$3:$AN$103)</f>
        <v>7</v>
      </c>
      <c r="AP13" s="529">
        <v>23</v>
      </c>
      <c r="AQ13" s="529" cm="1">
        <f t="array" ref="AQ13">_xlfn.IFS(Table9[[#This Row],[National Highway Connectivity (km)
(15%)]]="", 0, Table9[[#This Row],[National Highway Connectivity (km)
(15%)]]&gt;50, 0, Table9[[#This Row],[National Highway Connectivity (km)
(15%)]]&lt;=25, 4, TRUE, 2)</f>
        <v>4</v>
      </c>
      <c r="AR13" s="529">
        <f>Table9[[#This Row],[National Highway Connectivity Score]]*'Detailed Rubric V3'!$C$35</f>
        <v>0.6</v>
      </c>
      <c r="AS13" s="848" t="s">
        <v>417</v>
      </c>
      <c r="AT13" s="529" cm="1">
        <f t="array" ref="AT13">_xlfn.IFS(Table9[[#This Row],[Connecting Road to Highway (km)
(15%)]]="", 0, Table9[[#This Row],[Connecting Road to Highway (km)
(15%)]]="Yes", 4, TRUE, 0)</f>
        <v>4</v>
      </c>
      <c r="AU13" s="529">
        <f>Table9[[#This Row],[Connecting Road to Highway Score]]*'Detailed Rubric V3'!$F$35</f>
        <v>0.6</v>
      </c>
      <c r="AV13" s="529">
        <v>39</v>
      </c>
      <c r="AW13" s="529" cm="1">
        <f t="array" ref="AW13">_xlfn.IFS(Table9[[#This Row],[Seaport Connectivity (km)
(30%)]]="",0, Table9[[#This Row],[Seaport Connectivity (km)
(30%)]]&gt;400, 0,Table9[[#This Row],[Seaport Connectivity (km)
(30%)]]&lt;=200,4, TRUE, 2)</f>
        <v>4</v>
      </c>
      <c r="AX13" s="529">
        <f>Table9[[#This Row],[Seaport Connectivity Score]]*'Detailed Rubric V3'!$I$35</f>
        <v>1.2</v>
      </c>
      <c r="AY13" s="529">
        <v>46</v>
      </c>
      <c r="AZ13" s="529" cm="1">
        <f t="array" ref="AZ13">_xlfn.IFS(Table9[[#This Row],[Airport Connectivity (km)
(10%)]]="", 0, Table9[[#This Row],[Airport Connectivity (km)
(10%)]]&gt;200, 0, Table9[[#This Row],[Airport Connectivity (km)
(10%)]]&lt;=100,4,TRUE, 2)</f>
        <v>4</v>
      </c>
      <c r="BA13" s="529">
        <f>Table9[[#This Row],[Airport Connectivity Score]]*'Detailed Rubric V3'!$C$41</f>
        <v>0.4</v>
      </c>
      <c r="BB13" s="529">
        <v>32</v>
      </c>
      <c r="BC13" s="529" cm="1">
        <f t="array" ref="BC13">_xlfn.IFS(Table9[[#This Row],[Railway Station (km)
(10%)]]="", 0, Table9[[#This Row],[Railway Station (km)
(10%)]]&gt;150, 0,Table9[[#This Row],[Railway Station (km)
(10%)]]&lt;=50,4, TRUE, 2)</f>
        <v>4</v>
      </c>
      <c r="BD13" s="529">
        <f>Table9[[#This Row],[Railway Station Score]]*'Detailed Rubric V3'!$F$41</f>
        <v>0.4</v>
      </c>
      <c r="BE13" s="529">
        <v>39</v>
      </c>
      <c r="BF13" s="529" cm="1">
        <f t="array" ref="BF13">_xlfn.IFS(Table9[[#This Row],[Inland waterway/ Land port (km)
(20%)]]="", 0, Table9[[#This Row],[Inland waterway/ Land port (km)
(20%)]]&gt;200, 0,Table9[[#This Row],[Inland waterway/ Land port (km)
(20%)]]&lt;=50,4, TRUE, 2)</f>
        <v>4</v>
      </c>
      <c r="BG13" s="529">
        <f>Table9[[#This Row],[Inland waterway/ Land port Score]]*'Detailed Rubric V3'!$I$41</f>
        <v>0.8</v>
      </c>
      <c r="BH13"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0.4</v>
      </c>
      <c r="BI13" s="529">
        <v>10</v>
      </c>
      <c r="BJ13" s="529" cm="1">
        <f t="array" ref="BJ13">_xlfn.IFS(Table9[[#This Row],[Power Station (40%)]]="",0, Table9[[#This Row],[Power Station (40%)]]&gt;100, 0,Table9[[#This Row],[Power Station (40%)]]&lt;=50,4, TRUE, 2)</f>
        <v>4</v>
      </c>
      <c r="BK13" s="529">
        <f>Table9[[#This Row],[Power Station Score]]*'Detailed Rubric V3'!$C$53</f>
        <v>1.6</v>
      </c>
      <c r="BL13" s="529">
        <v>2</v>
      </c>
      <c r="BM13" s="529" cm="1">
        <f t="array" ref="BM13">IF(ISNUMBER(Table9[[#This Row],[Gas Station (20%)]]), _xlfn.IFS(Table9[[#This Row],[Gas Station (20%)]]="", 0, Table9[[#This Row],[Gas Station (20%)]]&gt;100, 0,Table9[[#This Row],[Gas Station (20%)]]&lt;=50,4, TRUE, 2), 0)</f>
        <v>4</v>
      </c>
      <c r="BN13" s="529">
        <f>Table9[[#This Row],[Gas Station Score]]*'Detailed Rubric V3'!$F$53</f>
        <v>0.8</v>
      </c>
      <c r="BO13" s="529" t="s">
        <v>425</v>
      </c>
      <c r="BP13" s="529" cm="1">
        <f t="array" ref="BP13">IF(ISNUMBER(Table9[[#This Row],[Source of Surface Water (40%)]]), _xlfn.IFS(Table9[[#This Row],[Source of Surface Water (40%)]]="", 0, Table9[[#This Row],[Source of Surface Water (40%)]]&gt;50, 0,Table9[[#This Row],[Source of Surface Water (40%)]]&lt;=20,4, TRUE, 2), 0)</f>
        <v>0</v>
      </c>
      <c r="BQ13" s="529">
        <f>Table9[[#This Row],[Source of Surface Water Score]]*'Detailed Rubric V3'!$I$53</f>
        <v>0</v>
      </c>
      <c r="BR13" s="529">
        <f>SUM(Table9[[#This Row],[Power Station Weighted Score]],Table9[[#This Row],[Gas Station Weighted Score]],Table9[[#This Row],[Source of Surface Water Weighted Score]])*'Detailed Rubric V3'!$C$51</f>
        <v>0.28800000000000003</v>
      </c>
      <c r="BS13" s="529" t="s">
        <v>417</v>
      </c>
      <c r="BT13" s="529" cm="1">
        <f t="array" ref="BT13">_xlfn.IFS(Table9[[#This Row],[Other BEZA EZ (20%)]]="", 0, Table9[[#This Row],[Other BEZA EZ (20%)]]="Yes", 4, TRUE, 0)</f>
        <v>4</v>
      </c>
      <c r="BU13" s="529">
        <f>Table9[[#This Row],[Other BEZA EZ Score]]*'Detailed Rubric V3'!$C$66</f>
        <v>0.8</v>
      </c>
      <c r="BV13" s="529" t="s">
        <v>417</v>
      </c>
      <c r="BW13" s="529" cm="1">
        <f t="array" ref="BW13">_xlfn.IFS(Table9[[#This Row],[BEPZA/ BHPTA/ BSCIC (20%)]]="", 0, Table9[[#This Row],[BEPZA/ BHPTA/ BSCIC (20%)]]="Yes", 4, TRUE, 0)</f>
        <v>4</v>
      </c>
      <c r="BX13" s="529">
        <f>Table9[[#This Row],[BEPZA/ BHPTA/ BSCIC Score]]*'Detailed Rubric V3'!$F$66</f>
        <v>0.8</v>
      </c>
      <c r="BY13" s="529">
        <v>568</v>
      </c>
      <c r="BZ13" s="529" cm="1">
        <f t="array" ref="BZ13">_xlfn.IFS(Table9[[#This Row],[Cluster Industries (from SMI) (20%)]]="", 0, Table9[[#This Row],[Cluster Industries (from SMI) (20%)]]&gt;100, 4, Table9[[#This Row],[Cluster Industries (from SMI) (20%)]]&lt;50, 0, TRUE, 2)</f>
        <v>4</v>
      </c>
      <c r="CA13" s="529">
        <f>Table9[[#This Row],[Cluster Industries (from SMI) Score]]*'Detailed Rubric V3'!$I$66</f>
        <v>0.8</v>
      </c>
      <c r="CB13" s="529" t="s">
        <v>417</v>
      </c>
      <c r="CC13" s="529" cm="1">
        <f t="array" ref="CC13">_xlfn.IFS(Table9[[#This Row],[Located on Industrial corridor (40%)]]="", 0, Table9[[#This Row],[Located on Industrial corridor (40%)]]="Yes", 4, TRUE, 0)</f>
        <v>4</v>
      </c>
      <c r="CD13" s="529">
        <f>Table9[[#This Row],[Located on Industrial corridor Score]]*'Detailed Rubric V3'!$L$66</f>
        <v>1.6</v>
      </c>
      <c r="CE13" s="529">
        <f>SUM(Table9[[#This Row],[Other BEZA EZ Weighted Score]],Table9[[#This Row],[BEPZA/ BHPTA/ BSCIC Weighted Score]],Table9[[#This Row],[Unorganized (from SMI) Weighted Score]],Table9[[#This Row],[Located on Industrial corridor Weighted Score]])*'Detailed Rubric V3'!$C$64</f>
        <v>0.4</v>
      </c>
      <c r="CF13" s="529" t="s">
        <v>418</v>
      </c>
      <c r="CG13" s="529" cm="1">
        <f t="array" ref="CG13">_xlfn.IFS(Table9[[#This Row],[Economic/ Social priority (laggered area) (100%)]]="", 0, Table9[[#This Row],[Economic/ Social priority (laggered area) (100%)]]="Yes", 4, TRUE, 0)</f>
        <v>0</v>
      </c>
      <c r="CH13" s="529">
        <f>Table9[[#This Row],[Economic/ Social priority (laggered area) Score]]*'Detailed Rubric V3'!$C$82</f>
        <v>0</v>
      </c>
      <c r="CI13" s="529" t="s">
        <v>418</v>
      </c>
      <c r="CJ13" s="529" cm="1">
        <f t="array" ref="CJ13">_xlfn.IFS(Table9[[#This Row],[Regional Tax incentive  (0%)]]="", 0, Table9[[#This Row],[Regional Tax incentive  (0%)]]="Yes", 4, TRUE, 0)</f>
        <v>0</v>
      </c>
      <c r="CK13" s="529">
        <f>Table9[[#This Row],[Regional Tax incentive Score]]*'Detailed Rubric V3'!$F$82</f>
        <v>0</v>
      </c>
      <c r="CL13" s="529">
        <f>SUM(Table9[[#This Row],[Economic/ Social priority (laagered area) Weighted Score]],Table9[[#This Row],[Regional Tax incentive  Weighted Score]])*'Detailed Rubric V3'!$C$80</f>
        <v>0</v>
      </c>
      <c r="CM13" s="529">
        <v>1968862</v>
      </c>
      <c r="CN13" s="529" cm="1">
        <f t="array" ref="CN13">_xlfn.IFS(Table9[[#This Row],[Employable population (40%) 2013]]="", 0, Table9[[#This Row],[Employable population (40%) 2013]]&gt;200000, 4, Table9[[#This Row],[Employable population (40%) 2013]]&lt;100000,0, TRUE, 2)</f>
        <v>4</v>
      </c>
      <c r="CO13" s="529">
        <f>Table9[[#This Row],[Employable population Score]]*'Detailed Rubric V3'!$C$92</f>
        <v>1.6</v>
      </c>
      <c r="CP13" s="529">
        <v>20</v>
      </c>
      <c r="CQ13" s="529" cm="1">
        <f t="array" ref="CQ13">_xlfn.IFS(Table9[[#This Row],[Housing (20%)]]="", 0, Table9[[#This Row],[Housing (20%)]]&gt;50, 0, Table9[[#This Row],[Housing (20%)]]&lt;25, 4, TRUE, 2)</f>
        <v>4</v>
      </c>
      <c r="CR13" s="529">
        <f>Table9[[#This Row],[Housing Score]]*'Detailed Rubric V3'!$F$92</f>
        <v>0.8</v>
      </c>
      <c r="CS13" s="529">
        <v>76</v>
      </c>
      <c r="CT13" s="529" cm="1">
        <f t="array" ref="CT13">_xlfn.IFS(Table9[[#This Row],[Hotels (10%)]]="", 0, Table9[[#This Row],[Hotels (10%)]]&gt;25, 4, Table9[[#This Row],[Hotels (10%)]]&lt;5, 0, TRUE, 2)</f>
        <v>4</v>
      </c>
      <c r="CU13" s="529">
        <f>Table9[[#This Row],[Hotels Score]]*'Detailed Rubric V3'!$I$92</f>
        <v>0.4</v>
      </c>
      <c r="CV13" s="529">
        <v>217</v>
      </c>
      <c r="CW13" s="529" cm="1">
        <f t="array" ref="CW13">_xlfn.IFS(Table9[[#This Row],[Health (Hospital) (15%)]]="", 0, Table9[[#This Row],[Health (Hospital) (15%)]]&gt;10, 4, Table9[[#This Row],[Health (Hospital) (15%)]]&lt;5, 0, TRUE, 2)</f>
        <v>4</v>
      </c>
      <c r="CX13" s="529">
        <f>Table9[[#This Row],[Health (Hospital) Score]]*'Detailed Rubric V3'!$L$92</f>
        <v>0.6</v>
      </c>
      <c r="CY13" s="529">
        <v>34</v>
      </c>
      <c r="CZ13" s="529" cm="1">
        <f t="array" ref="CZ13">_xlfn.IFS(Table9[[#This Row],[University/ Technical &amp; Vocational Institutions (15%)]]="", 0, Table9[[#This Row],[University/ Technical &amp; Vocational Institutions (15%)]]&gt;3, 4, Table9[[#This Row],[University/ Technical &amp; Vocational Institutions (15%)]]&lt;1, 0, TRUE, 2)</f>
        <v>4</v>
      </c>
      <c r="DA13" s="529">
        <f>Table9[[#This Row],[University/ Technical &amp; Vocational Institutions Score]]*'Detailed Rubric V3'!$O$92</f>
        <v>0.6</v>
      </c>
      <c r="DB13"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13" s="529" t="s">
        <v>418</v>
      </c>
      <c r="DD13" s="529" cm="1">
        <f t="array" ref="DD13">_xlfn.IFS(Table9[[#This Row],[Environment compliance (30%)]]="", 0, Table9[[#This Row],[Environment compliance (30%)]]="Yes", 4, TRUE, 0)</f>
        <v>0</v>
      </c>
      <c r="DE13" s="529">
        <f>Table9[[#This Row],[Environment compliance Score]]*'Detailed Rubric V3'!$C$104</f>
        <v>0</v>
      </c>
      <c r="DF13" s="529" t="s">
        <v>419</v>
      </c>
      <c r="DG13" s="529" cm="1">
        <f t="array" ref="DG13">_xlfn.IFS(Table9[[#This Row],[Flood Risk Index (30%)]]="", 0, Table9[[#This Row],[Flood Risk Index (30%)]]="Very Low", 4, Table9[[#This Row],[Flood Risk Index (30%)]]="Moderate &amp; Low", 2, TRUE, 0)</f>
        <v>2</v>
      </c>
      <c r="DH13" s="529">
        <f>Table9[[#This Row],[Flood Risk Index Score]]*'Detailed Rubric V3'!$F$104</f>
        <v>0.6</v>
      </c>
      <c r="DI13" s="529" t="s">
        <v>419</v>
      </c>
      <c r="DJ13" s="529" cm="1">
        <f t="array" ref="DJ13">_xlfn.IFS(Table9[[#This Row],[Earth Quake Risk Index (10%)]]="", 0, Table9[[#This Row],[Earth Quake Risk Index (10%)]]="Very Low", 4, Table9[[#This Row],[Earth Quake Risk Index (10%)]]="Moderate &amp; Low", 2, TRUE, 0)</f>
        <v>2</v>
      </c>
      <c r="DK13" s="529">
        <f>Table9[[#This Row],[Earth Quake Risk Index Score]]*'Detailed Rubric V3'!$I$104</f>
        <v>0.2</v>
      </c>
      <c r="DL13" s="529" t="s">
        <v>419</v>
      </c>
      <c r="DM13" s="529" cm="1">
        <f t="array" ref="DM13">_xlfn.IFS(Table9[[#This Row],[Sea Level Rise Risk Index (10%)]]="", 0, Table9[[#This Row],[Sea Level Rise Risk Index (10%)]]="Very Low", 4, Table9[[#This Row],[Sea Level Rise Risk Index (10%)]]="Moderate &amp; Low", 2, TRUE, 0)</f>
        <v>2</v>
      </c>
      <c r="DN13" s="529">
        <f>Table9[[#This Row],[Sea Level Rise  Risk Index Score]]*'Detailed Rubric V3'!$L$104</f>
        <v>0.2</v>
      </c>
      <c r="DO13" s="529" t="s">
        <v>420</v>
      </c>
      <c r="DP13" s="529" cm="1">
        <f t="array" ref="DP13">_xlfn.IFS(Table9[[#This Row],[Cyclone Risk Index (10%)]]="", 0, Table9[[#This Row],[Cyclone Risk Index (10%)]]="Very Low", 4, Table9[[#This Row],[Cyclone Risk Index (10%)]]="Moderate &amp; Low", 2, TRUE, 0)</f>
        <v>0</v>
      </c>
      <c r="DQ13" s="529">
        <f>Table9[[#This Row],[Cyclone Risk Index Score]]*'Detailed Rubric V3'!$O$104</f>
        <v>0</v>
      </c>
      <c r="DR13" s="529" t="s">
        <v>421</v>
      </c>
      <c r="DS13" s="529" cm="1">
        <f t="array" ref="DS13">_xlfn.IFS(Table9[[#This Row],[Storm Surge Risk Index (10%)]]="", 0, Table9[[#This Row],[Storm Surge Risk Index (10%)]]="Very Low", 4, Table9[[#This Row],[Storm Surge Risk Index (10%)]]="Moderate &amp; Low", 2, TRUE, 0)</f>
        <v>0</v>
      </c>
      <c r="DT13" s="529">
        <f>Table9[[#This Row],[Storm Surge Risk Index Score]]*'Detailed Rubric V3'!$R$104</f>
        <v>0</v>
      </c>
      <c r="DU13"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13" s="533">
        <f>SUM(Table9[[#This Row],[2.1. Connectivity/ Logistics (10% weightage)]],Table9[[#This Row],[2.2. Utility (12% weightage)]],Table9[[#This Row],[2.3. Agglomeration effects (10% weightage)]],Table9[[#This Row],[2.4. Regional Policy (4% weightage)]],Table9[[#This Row],[2.5. Social (8% weightage)]],Table9[[#This Row],[2.6. Environment (6% weightage)]])</f>
        <v>1.4680000000000002</v>
      </c>
      <c r="DW13" s="232">
        <f>_xlfn.RANK.EQ(Table9[[#This Row],[Level 2 Score]],$DV$3:$DV$103)</f>
        <v>32</v>
      </c>
      <c r="DX13" s="533">
        <f>Table9[[#This Row],[Level 1 Score]]+Table9[[#This Row],[Level 2 Score]]</f>
        <v>2.9880000000000004</v>
      </c>
      <c r="DY13" s="232">
        <f>_xlfn.RANK.EQ(Table9[[#This Row],[Total Score]],$DX$3:$DX$103)</f>
        <v>10</v>
      </c>
      <c r="DZ13" s="237" t="str">
        <f>IF(Table9[[#This Row],[Count of Blanks]]&lt;=2, "Yes", "No")</f>
        <v>Yes</v>
      </c>
      <c r="EA13" s="237">
        <f>COUNTBLANK(Table9[[#This Row],[Name]:[Total Score Rank]])</f>
        <v>1</v>
      </c>
      <c r="EB13" s="237"/>
    </row>
    <row r="14" spans="2:132" ht="27" x14ac:dyDescent="0.25">
      <c r="B14" s="220">
        <v>42</v>
      </c>
      <c r="C14" s="334" t="s">
        <v>22</v>
      </c>
      <c r="D14" s="220" t="s">
        <v>76</v>
      </c>
      <c r="E14" s="220" t="s">
        <v>76</v>
      </c>
      <c r="F14" s="220" t="s">
        <v>80</v>
      </c>
      <c r="G14" s="220" t="s">
        <v>70</v>
      </c>
      <c r="H14" s="525" t="s">
        <v>422</v>
      </c>
      <c r="I14" s="70" t="s">
        <v>455</v>
      </c>
      <c r="J14" s="535" t="s">
        <v>444</v>
      </c>
      <c r="K14" s="220">
        <f>IFERROR(VLOOKUP(Table9[[#This Row],[Land Availability (Grade)​
(50%)]],'Detailed Rubric V3'!$B$8:$C$11,2), 0)</f>
        <v>0</v>
      </c>
      <c r="L14" s="220">
        <f>IFERROR(Table9[[#This Row],[Land Availability (Grade)​ Score]]*'Detailed Rubric V3'!$C$6, "")</f>
        <v>0</v>
      </c>
      <c r="M14" s="222">
        <v>880.04200000000003</v>
      </c>
      <c r="N14" s="222" cm="1">
        <f t="array" ref="N14">_xlfn.IFS(Table9[[#This Row],[Land Size (Acres)
(15%)]]&lt;100,0,Table9[[#This Row],[Land Size (Acres)
(15%)]]&gt;500,4,TRUE,2)</f>
        <v>4</v>
      </c>
      <c r="O14" s="222">
        <f>Table9[[#This Row],[Land Size (Acres) Score]]*'Detailed Rubric V3'!$G$6</f>
        <v>0.6</v>
      </c>
      <c r="P14" s="526">
        <v>1905.6</v>
      </c>
      <c r="Q14" s="526">
        <f>IFERROR(Table9[[#This Row],[Site Filling Cost (Mn BDT)]]/Table9[[#This Row],[Land Size (Acres)
(15%)]],"")</f>
        <v>2.1653511991473131</v>
      </c>
      <c r="R14" s="526" cm="1">
        <f t="array" ref="R14">IF(Table9[[#This Row],[Name]]="Sitakundo Economic Zone", 4, _xlfn.IFS(Table9[[#This Row],[Site Filling Cost (Mn BDT)]]="",0,Table9[[#This Row],[Land Suitability
(Cost of Land Filling in Million BDT per acre)
(25%)]]&gt;5,0,Table9[[#This Row],[Land Suitability
(Cost of Land Filling in Million BDT per acre)
(25%)]]&lt;2,4,TRUE,2))</f>
        <v>2</v>
      </c>
      <c r="S14" s="526">
        <f>Table9[[#This Row],[Land Suitability for Construction Score]]*'Detailed Rubric V3'!$J$6</f>
        <v>0.5</v>
      </c>
      <c r="T14" s="526">
        <v>1427.2</v>
      </c>
      <c r="U14" s="526">
        <f>IFERROR(Table9[[#This Row],[Embankment/Dyke Cost (Mn BDT)]]/Table9[[#This Row],[Land Size (Acres)
(15%)]], 0)</f>
        <v>1.6217407805536554</v>
      </c>
      <c r="V14" s="526" cm="1">
        <f t="array" ref="V14">IF(Table9[[#This Row],[Name]]="Sitakundo Economic Zone", 2, _xlfn.IFS(Table9[[#This Row],[Embankment/Dyke Cost (Mn BDT)]]="",0,Table9[[#This Row],[Cost of DRRI Infrastructure in million BDT per acre
(10%)]]&gt;5,0,Table9[[#This Row],[Cost of DRRI Infrastructure in million BDT per acre
(10%)]]&lt;2,4,TRUE,2))</f>
        <v>4</v>
      </c>
      <c r="W14" s="526">
        <f>Table9[[#This Row],[Requirement for Distaster Risk Reduction &amp; Resilience Infrastructure Score]]*'Detailed Rubric V3'!$M$6</f>
        <v>0.4</v>
      </c>
      <c r="X14"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0.30000000000000004</v>
      </c>
      <c r="Y14" s="452" t="s">
        <v>415</v>
      </c>
      <c r="Z14" s="210">
        <f>IFERROR(VLOOKUP(Table9[[#This Row],[Zone Priority
(40%)]],'Detailed Rubric V3'!$B$18:$C$21, 2,FALSE), 0)</f>
        <v>4</v>
      </c>
      <c r="AA14" s="210">
        <f>IFERROR(Table9[[#This Row],[Zone Priority Score]]*'Detailed Rubric V3'!$C$16, 0)</f>
        <v>0</v>
      </c>
      <c r="AB14" s="237" t="s">
        <v>416</v>
      </c>
      <c r="AC14" s="237">
        <f>VLOOKUP(Table9[[#This Row],[Existing BEZA Report
(60%)]],'Detailed Rubric V3'!$E$18:$F$20,2,FALSE)</f>
        <v>4</v>
      </c>
      <c r="AD14" s="237">
        <f>Table9[[#This Row],[Existing BEZA Report Score]]*'Detailed Rubric V3'!F$16</f>
        <v>4</v>
      </c>
      <c r="AE14" s="237">
        <f>(Table9[[#This Row],[Zone Priority Weighted Score]]+Table9[[#This Row],[Existing BEZA Report Weighted Score]])*'Detailed Rubric V3'!$C$14</f>
        <v>0.6</v>
      </c>
      <c r="AF14" s="528">
        <v>15</v>
      </c>
      <c r="AG14" s="529" cm="1">
        <f t="array" ref="AG14">_xlfn.IFS(Table9[[#This Row],[Existing Sectors
(50%)]]&gt;10, 4,Table9[[#This Row],[Existing Sectors
(50%)]]&lt;5, 0, TRUE, 2)</f>
        <v>4</v>
      </c>
      <c r="AH14" s="529">
        <f>Table9[[#This Row],[Existing Sectors Score]]*'Detailed Rubric V3'!$C$25</f>
        <v>2</v>
      </c>
      <c r="AI14" s="529">
        <v>15</v>
      </c>
      <c r="AJ14" s="529">
        <v>0</v>
      </c>
      <c r="AK14" s="529" cm="1">
        <f t="array" ref="AK14">_xlfn.IFS(Table9[[#This Row],[Potential New Sectors
(50%)]]&gt;5, 4, Table9[[#This Row],[Potential New Sectors
(50%)]]&lt;2,0, TRUE, 2)</f>
        <v>0</v>
      </c>
      <c r="AL14" s="529">
        <f>Table9[[#This Row],[Potential New Sectors Score]]*'Detailed Rubric V3'!$F$25</f>
        <v>0</v>
      </c>
      <c r="AM14" s="232">
        <f>(Table9[[#This Row],[Existing Sectors Weighted Score]]+Table9[[#This Row],[Potential New Sectors Weighted Score]])*'Detailed Rubric V3'!$C$23</f>
        <v>0.3</v>
      </c>
      <c r="AN14" s="530">
        <f>SUM(Table9[[#This Row],[1.1. Land Details (20% weightage)]],Table9[[#This Row],[1.2. BEZA Existing plans (15% weightage)]],Table9[[#This Row],[1.3. Sector Demand (15% weightage):]])</f>
        <v>1.2</v>
      </c>
      <c r="AO14" s="531">
        <f>_xlfn.RANK.EQ(Table9[[#This Row],[Level 1 Score]],$AN$3:$AN$103)</f>
        <v>17</v>
      </c>
      <c r="AP14" s="529">
        <v>13</v>
      </c>
      <c r="AQ14" s="529" cm="1">
        <f t="array" ref="AQ14">_xlfn.IFS(Table9[[#This Row],[National Highway Connectivity (km)
(15%)]]="", 0, Table9[[#This Row],[National Highway Connectivity (km)
(15%)]]&gt;50, 0, Table9[[#This Row],[National Highway Connectivity (km)
(15%)]]&lt;=25, 4, TRUE, 2)</f>
        <v>4</v>
      </c>
      <c r="AR14" s="529">
        <f>Table9[[#This Row],[National Highway Connectivity Score]]*'Detailed Rubric V3'!$C$35</f>
        <v>0.6</v>
      </c>
      <c r="AS14" s="529" t="s">
        <v>417</v>
      </c>
      <c r="AT14" s="529" cm="1">
        <f t="array" ref="AT14">_xlfn.IFS(Table9[[#This Row],[Connecting Road to Highway (km)
(15%)]]="", 0, Table9[[#This Row],[Connecting Road to Highway (km)
(15%)]]="Yes", 4, TRUE, 0)</f>
        <v>4</v>
      </c>
      <c r="AU14" s="529">
        <f>Table9[[#This Row],[Connecting Road to Highway Score]]*'Detailed Rubric V3'!$F$35</f>
        <v>0.6</v>
      </c>
      <c r="AV14" s="529">
        <v>256</v>
      </c>
      <c r="AW14" s="529" cm="1">
        <f t="array" ref="AW14">_xlfn.IFS(Table9[[#This Row],[Seaport Connectivity (km)
(30%)]]="",0, Table9[[#This Row],[Seaport Connectivity (km)
(30%)]]&gt;400, 0,Table9[[#This Row],[Seaport Connectivity (km)
(30%)]]&lt;=200,4, TRUE, 2)</f>
        <v>2</v>
      </c>
      <c r="AX14" s="529">
        <f>Table9[[#This Row],[Seaport Connectivity Score]]*'Detailed Rubric V3'!$I$35</f>
        <v>0.6</v>
      </c>
      <c r="AY14" s="529">
        <v>39</v>
      </c>
      <c r="AZ14" s="529" cm="1">
        <f t="array" ref="AZ14">_xlfn.IFS(Table9[[#This Row],[Airport Connectivity (km)
(10%)]]="", 0, Table9[[#This Row],[Airport Connectivity (km)
(10%)]]&gt;200, 0, Table9[[#This Row],[Airport Connectivity (km)
(10%)]]&lt;=100,4,TRUE, 2)</f>
        <v>4</v>
      </c>
      <c r="BA14" s="529">
        <f>Table9[[#This Row],[Airport Connectivity Score]]*'Detailed Rubric V3'!$C$41</f>
        <v>0.4</v>
      </c>
      <c r="BB14" s="529">
        <v>23</v>
      </c>
      <c r="BC14" s="529" cm="1">
        <f t="array" ref="BC14">_xlfn.IFS(Table9[[#This Row],[Railway Station (km)
(10%)]]="", 0, Table9[[#This Row],[Railway Station (km)
(10%)]]&gt;150, 0,Table9[[#This Row],[Railway Station (km)
(10%)]]&lt;=50,4, TRUE, 2)</f>
        <v>4</v>
      </c>
      <c r="BD14" s="529">
        <f>Table9[[#This Row],[Railway Station Score]]*'Detailed Rubric V3'!$F$41</f>
        <v>0.4</v>
      </c>
      <c r="BE14" s="529">
        <v>38</v>
      </c>
      <c r="BF14" s="529" cm="1">
        <f t="array" ref="BF14">_xlfn.IFS(Table9[[#This Row],[Inland waterway/ Land port (km)
(20%)]]="", 0, Table9[[#This Row],[Inland waterway/ Land port (km)
(20%)]]&gt;200, 0,Table9[[#This Row],[Inland waterway/ Land port (km)
(20%)]]&lt;=50,4, TRUE, 2)</f>
        <v>4</v>
      </c>
      <c r="BG14" s="529">
        <f>Table9[[#This Row],[Inland waterway/ Land port Score]]*'Detailed Rubric V3'!$I$41</f>
        <v>0.8</v>
      </c>
      <c r="BH14"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0.33999999999999997</v>
      </c>
      <c r="BI14" s="529">
        <v>6</v>
      </c>
      <c r="BJ14" s="529" cm="1">
        <f t="array" ref="BJ14">_xlfn.IFS(Table9[[#This Row],[Power Station (40%)]]="",0, Table9[[#This Row],[Power Station (40%)]]&gt;100, 0,Table9[[#This Row],[Power Station (40%)]]&lt;=50,4, TRUE, 2)</f>
        <v>4</v>
      </c>
      <c r="BK14" s="529">
        <f>Table9[[#This Row],[Power Station Score]]*'Detailed Rubric V3'!$C$53</f>
        <v>1.6</v>
      </c>
      <c r="BL14" s="529">
        <v>4</v>
      </c>
      <c r="BM14" s="529" cm="1">
        <f t="array" ref="BM14">IF(ISNUMBER(Table9[[#This Row],[Gas Station (20%)]]), _xlfn.IFS(Table9[[#This Row],[Gas Station (20%)]]="", 0, Table9[[#This Row],[Gas Station (20%)]]&gt;100, 0,Table9[[#This Row],[Gas Station (20%)]]&lt;=50,4, TRUE, 2), 0)</f>
        <v>4</v>
      </c>
      <c r="BN14" s="529">
        <f>Table9[[#This Row],[Gas Station Score]]*'Detailed Rubric V3'!$F$53</f>
        <v>0.8</v>
      </c>
      <c r="BO14" s="529">
        <v>10</v>
      </c>
      <c r="BP14" s="529" cm="1">
        <f t="array" ref="BP14">IF(ISNUMBER(Table9[[#This Row],[Source of Surface Water (40%)]]), _xlfn.IFS(Table9[[#This Row],[Source of Surface Water (40%)]]="", 0, Table9[[#This Row],[Source of Surface Water (40%)]]&gt;50, 0,Table9[[#This Row],[Source of Surface Water (40%)]]&lt;=20,4, TRUE, 2), 0)</f>
        <v>4</v>
      </c>
      <c r="BQ14" s="529">
        <f>Table9[[#This Row],[Source of Surface Water Score]]*'Detailed Rubric V3'!$I$53</f>
        <v>1.6</v>
      </c>
      <c r="BR14" s="529">
        <f>SUM(Table9[[#This Row],[Power Station Weighted Score]],Table9[[#This Row],[Gas Station Weighted Score]],Table9[[#This Row],[Source of Surface Water Weighted Score]])*'Detailed Rubric V3'!$C$51</f>
        <v>0.48</v>
      </c>
      <c r="BS14" s="529" t="s">
        <v>417</v>
      </c>
      <c r="BT14" s="529" cm="1">
        <f t="array" ref="BT14">_xlfn.IFS(Table9[[#This Row],[Other BEZA EZ (20%)]]="", 0, Table9[[#This Row],[Other BEZA EZ (20%)]]="Yes", 4, TRUE, 0)</f>
        <v>4</v>
      </c>
      <c r="BU14" s="529">
        <f>Table9[[#This Row],[Other BEZA EZ Score]]*'Detailed Rubric V3'!$C$66</f>
        <v>0.8</v>
      </c>
      <c r="BV14" s="529" t="s">
        <v>417</v>
      </c>
      <c r="BW14" s="529" cm="1">
        <f t="array" ref="BW14">_xlfn.IFS(Table9[[#This Row],[BEPZA/ BHPTA/ BSCIC (20%)]]="", 0, Table9[[#This Row],[BEPZA/ BHPTA/ BSCIC (20%)]]="Yes", 4, TRUE, 0)</f>
        <v>4</v>
      </c>
      <c r="BX14" s="529">
        <f>Table9[[#This Row],[BEPZA/ BHPTA/ BSCIC Score]]*'Detailed Rubric V3'!$F$66</f>
        <v>0.8</v>
      </c>
      <c r="BY14" s="529">
        <v>1718</v>
      </c>
      <c r="BZ14" s="529" cm="1">
        <f t="array" ref="BZ14">_xlfn.IFS(Table9[[#This Row],[Cluster Industries (from SMI) (20%)]]="", 0, Table9[[#This Row],[Cluster Industries (from SMI) (20%)]]&gt;100, 4, Table9[[#This Row],[Cluster Industries (from SMI) (20%)]]&lt;50, 0, TRUE, 2)</f>
        <v>4</v>
      </c>
      <c r="CA14" s="529">
        <f>Table9[[#This Row],[Cluster Industries (from SMI) Score]]*'Detailed Rubric V3'!$I$66</f>
        <v>0.8</v>
      </c>
      <c r="CB14" s="529" t="s">
        <v>417</v>
      </c>
      <c r="CC14" s="529" cm="1">
        <f t="array" ref="CC14">_xlfn.IFS(Table9[[#This Row],[Located on Industrial corridor (40%)]]="", 0, Table9[[#This Row],[Located on Industrial corridor (40%)]]="Yes", 4, TRUE, 0)</f>
        <v>4</v>
      </c>
      <c r="CD14" s="529">
        <f>Table9[[#This Row],[Located on Industrial corridor Score]]*'Detailed Rubric V3'!$L$66</f>
        <v>1.6</v>
      </c>
      <c r="CE14" s="529">
        <f>SUM(Table9[[#This Row],[Other BEZA EZ Weighted Score]],Table9[[#This Row],[BEPZA/ BHPTA/ BSCIC Weighted Score]],Table9[[#This Row],[Unorganized (from SMI) Weighted Score]],Table9[[#This Row],[Located on Industrial corridor Weighted Score]])*'Detailed Rubric V3'!$C$64</f>
        <v>0.4</v>
      </c>
      <c r="CF14" s="529" t="s">
        <v>418</v>
      </c>
      <c r="CG14" s="529" cm="1">
        <f t="array" ref="CG14">_xlfn.IFS(Table9[[#This Row],[Economic/ Social priority (laggered area) (100%)]]="", 0, Table9[[#This Row],[Economic/ Social priority (laggered area) (100%)]]="Yes", 4, TRUE, 0)</f>
        <v>0</v>
      </c>
      <c r="CH14" s="529">
        <f>Table9[[#This Row],[Economic/ Social priority (laggered area) Score]]*'Detailed Rubric V3'!$C$82</f>
        <v>0</v>
      </c>
      <c r="CI14" s="529" t="s">
        <v>418</v>
      </c>
      <c r="CJ14" s="529" cm="1">
        <f t="array" ref="CJ14">_xlfn.IFS(Table9[[#This Row],[Regional Tax incentive  (0%)]]="", 0, Table9[[#This Row],[Regional Tax incentive  (0%)]]="Yes", 4, TRUE, 0)</f>
        <v>0</v>
      </c>
      <c r="CK14" s="529">
        <f>Table9[[#This Row],[Regional Tax incentive Score]]*'Detailed Rubric V3'!$F$82</f>
        <v>0</v>
      </c>
      <c r="CL14" s="529">
        <f>SUM(Table9[[#This Row],[Economic/ Social priority (laagered area) Weighted Score]],Table9[[#This Row],[Regional Tax incentive  Weighted Score]])*'Detailed Rubric V3'!$C$80</f>
        <v>0</v>
      </c>
      <c r="CM14" s="529">
        <v>3683456</v>
      </c>
      <c r="CN14" s="529" cm="1">
        <f t="array" ref="CN14">_xlfn.IFS(Table9[[#This Row],[Employable population (40%) 2013]]="", 0, Table9[[#This Row],[Employable population (40%) 2013]]&gt;200000, 4, Table9[[#This Row],[Employable population (40%) 2013]]&lt;100000,0, TRUE, 2)</f>
        <v>4</v>
      </c>
      <c r="CO14" s="529">
        <f>Table9[[#This Row],[Employable population Score]]*'Detailed Rubric V3'!$C$92</f>
        <v>1.6</v>
      </c>
      <c r="CP14" s="529">
        <v>39</v>
      </c>
      <c r="CQ14" s="529" cm="1">
        <f t="array" ref="CQ14">_xlfn.IFS(Table9[[#This Row],[Housing (20%)]]="", 0, Table9[[#This Row],[Housing (20%)]]&gt;50, 0, Table9[[#This Row],[Housing (20%)]]&lt;25, 4, TRUE, 2)</f>
        <v>2</v>
      </c>
      <c r="CR14" s="529">
        <f>Table9[[#This Row],[Housing Score]]*'Detailed Rubric V3'!$F$92</f>
        <v>0.4</v>
      </c>
      <c r="CS14" s="529">
        <v>329</v>
      </c>
      <c r="CT14" s="529" cm="1">
        <f t="array" ref="CT14">_xlfn.IFS(Table9[[#This Row],[Hotels (10%)]]="", 0, Table9[[#This Row],[Hotels (10%)]]&gt;25, 4, Table9[[#This Row],[Hotels (10%)]]&lt;5, 0, TRUE, 2)</f>
        <v>4</v>
      </c>
      <c r="CU14" s="529">
        <f>Table9[[#This Row],[Hotels Score]]*'Detailed Rubric V3'!$I$92</f>
        <v>0.4</v>
      </c>
      <c r="CV14" s="529">
        <v>900</v>
      </c>
      <c r="CW14" s="529" cm="1">
        <f t="array" ref="CW14">_xlfn.IFS(Table9[[#This Row],[Health (Hospital) (15%)]]="", 0, Table9[[#This Row],[Health (Hospital) (15%)]]&gt;10, 4, Table9[[#This Row],[Health (Hospital) (15%)]]&lt;5, 0, TRUE, 2)</f>
        <v>4</v>
      </c>
      <c r="CX14" s="529">
        <f>Table9[[#This Row],[Health (Hospital) Score]]*'Detailed Rubric V3'!$L$92</f>
        <v>0.6</v>
      </c>
      <c r="CY14" s="529">
        <f>123+70</f>
        <v>193</v>
      </c>
      <c r="CZ14" s="529" cm="1">
        <f t="array" ref="CZ14">_xlfn.IFS(Table9[[#This Row],[University/ Technical &amp; Vocational Institutions (15%)]]="", 0, Table9[[#This Row],[University/ Technical &amp; Vocational Institutions (15%)]]&gt;3, 4, Table9[[#This Row],[University/ Technical &amp; Vocational Institutions (15%)]]&lt;1, 0, TRUE, 2)</f>
        <v>4</v>
      </c>
      <c r="DA14" s="529">
        <f>Table9[[#This Row],[University/ Technical &amp; Vocational Institutions Score]]*'Detailed Rubric V3'!$O$92</f>
        <v>0.6</v>
      </c>
      <c r="DB14" s="529">
        <f>SUM(Table9[[#This Row],[Employable population Weighted Score]],Table9[[#This Row],[Housing Weighted Score]],Table9[[#This Row],[Hotels Weighted Score]],Table9[[#This Row],[Health (Hospital) Weighted Score]],Table9[[#This Row],[University/ Technical &amp; Vocational Institutions Weighted Score]])*'Detailed Rubric V3'!$C$90</f>
        <v>0.28800000000000003</v>
      </c>
      <c r="DC14" s="529" t="s">
        <v>418</v>
      </c>
      <c r="DD14" s="529" cm="1">
        <f t="array" ref="DD14">_xlfn.IFS(Table9[[#This Row],[Environment compliance (30%)]]="", 0, Table9[[#This Row],[Environment compliance (30%)]]="Yes", 4, TRUE, 0)</f>
        <v>0</v>
      </c>
      <c r="DE14" s="529">
        <f>Table9[[#This Row],[Environment compliance Score]]*'Detailed Rubric V3'!$C$104</f>
        <v>0</v>
      </c>
      <c r="DF14" s="529" t="s">
        <v>419</v>
      </c>
      <c r="DG14" s="529" cm="1">
        <f t="array" ref="DG14">_xlfn.IFS(Table9[[#This Row],[Flood Risk Index (30%)]]="", 0, Table9[[#This Row],[Flood Risk Index (30%)]]="Very Low", 4, Table9[[#This Row],[Flood Risk Index (30%)]]="Moderate &amp; Low", 2, TRUE, 0)</f>
        <v>2</v>
      </c>
      <c r="DH14" s="529">
        <f>Table9[[#This Row],[Flood Risk Index Score]]*'Detailed Rubric V3'!$F$104</f>
        <v>0.6</v>
      </c>
      <c r="DI14" s="529" t="s">
        <v>419</v>
      </c>
      <c r="DJ14" s="529" cm="1">
        <f t="array" ref="DJ14">_xlfn.IFS(Table9[[#This Row],[Earth Quake Risk Index (10%)]]="", 0, Table9[[#This Row],[Earth Quake Risk Index (10%)]]="Very Low", 4, Table9[[#This Row],[Earth Quake Risk Index (10%)]]="Moderate &amp; Low", 2, TRUE, 0)</f>
        <v>2</v>
      </c>
      <c r="DK14" s="529">
        <f>Table9[[#This Row],[Earth Quake Risk Index Score]]*'Detailed Rubric V3'!$I$104</f>
        <v>0.2</v>
      </c>
      <c r="DL14" s="529" t="s">
        <v>428</v>
      </c>
      <c r="DM14" s="529" cm="1">
        <f t="array" ref="DM14">_xlfn.IFS(Table9[[#This Row],[Sea Level Rise Risk Index (10%)]]="", 0, Table9[[#This Row],[Sea Level Rise Risk Index (10%)]]="Very Low", 4, Table9[[#This Row],[Sea Level Rise Risk Index (10%)]]="Moderate &amp; Low", 2, TRUE, 0)</f>
        <v>4</v>
      </c>
      <c r="DN14" s="529">
        <f>Table9[[#This Row],[Sea Level Rise  Risk Index Score]]*'Detailed Rubric V3'!$L$104</f>
        <v>0.4</v>
      </c>
      <c r="DO14" s="529" t="s">
        <v>419</v>
      </c>
      <c r="DP14" s="529" cm="1">
        <f t="array" ref="DP14">_xlfn.IFS(Table9[[#This Row],[Cyclone Risk Index (10%)]]="", 0, Table9[[#This Row],[Cyclone Risk Index (10%)]]="Very Low", 4, Table9[[#This Row],[Cyclone Risk Index (10%)]]="Moderate &amp; Low", 2, TRUE, 0)</f>
        <v>2</v>
      </c>
      <c r="DQ14" s="529">
        <f>Table9[[#This Row],[Cyclone Risk Index Score]]*'Detailed Rubric V3'!$O$104</f>
        <v>0.2</v>
      </c>
      <c r="DR14" s="529" t="s">
        <v>428</v>
      </c>
      <c r="DS14" s="529" cm="1">
        <f t="array" ref="DS14">_xlfn.IFS(Table9[[#This Row],[Storm Surge Risk Index (10%)]]="", 0, Table9[[#This Row],[Storm Surge Risk Index (10%)]]="Very Low", 4, Table9[[#This Row],[Storm Surge Risk Index (10%)]]="Moderate &amp; Low", 2, TRUE, 0)</f>
        <v>4</v>
      </c>
      <c r="DT14" s="529">
        <f>Table9[[#This Row],[Storm Surge Risk Index Score]]*'Detailed Rubric V3'!$R$104</f>
        <v>0.4</v>
      </c>
      <c r="DU14"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14" s="533">
        <f>SUM(Table9[[#This Row],[2.1. Connectivity/ Logistics (10% weightage)]],Table9[[#This Row],[2.2. Utility (12% weightage)]],Table9[[#This Row],[2.3. Agglomeration effects (10% weightage)]],Table9[[#This Row],[2.4. Regional Policy (4% weightage)]],Table9[[#This Row],[2.5. Social (8% weightage)]],Table9[[#This Row],[2.6. Environment (6% weightage)]])</f>
        <v>1.6160000000000001</v>
      </c>
      <c r="DW14" s="232">
        <f>_xlfn.RANK.EQ(Table9[[#This Row],[Level 2 Score]],$DV$3:$DV$103)</f>
        <v>14</v>
      </c>
      <c r="DX14" s="533">
        <f>Table9[[#This Row],[Level 1 Score]]+Table9[[#This Row],[Level 2 Score]]</f>
        <v>2.8159999999999998</v>
      </c>
      <c r="DY14" s="308">
        <f>_xlfn.RANK.EQ(Table9[[#This Row],[Total Score]],$DX$3:$DX$103)</f>
        <v>13</v>
      </c>
      <c r="DZ14" s="237" t="str">
        <f>IF(Table9[[#This Row],[Count of Blanks]]&lt;=2, "Yes", "No")</f>
        <v>Yes</v>
      </c>
      <c r="EA14" s="237">
        <f>COUNTBLANK(Table9[[#This Row],[Name]:[Total Score Rank]])</f>
        <v>0</v>
      </c>
      <c r="EB14" s="613" t="s">
        <v>417</v>
      </c>
    </row>
    <row r="15" spans="2:132" ht="27" x14ac:dyDescent="0.25">
      <c r="B15" s="220">
        <v>9</v>
      </c>
      <c r="C15" s="221" t="s">
        <v>140</v>
      </c>
      <c r="D15" s="220" t="s">
        <v>68</v>
      </c>
      <c r="E15" s="220" t="s">
        <v>90</v>
      </c>
      <c r="F15" s="220" t="s">
        <v>141</v>
      </c>
      <c r="G15" s="220" t="s">
        <v>70</v>
      </c>
      <c r="H15" s="525" t="s">
        <v>431</v>
      </c>
      <c r="I15" s="70" t="s">
        <v>439</v>
      </c>
      <c r="J15" s="227" t="s">
        <v>412</v>
      </c>
      <c r="K15" s="220">
        <f>IFERROR(VLOOKUP(Table9[[#This Row],[Land Availability (Grade)​
(50%)]],'Detailed Rubric V3'!$B$8:$C$11,2), 0)</f>
        <v>4</v>
      </c>
      <c r="L15" s="220">
        <f>IFERROR(Table9[[#This Row],[Land Availability (Grade)​ Score]]*'Detailed Rubric V3'!$C$6, "")</f>
        <v>2</v>
      </c>
      <c r="M15" s="222">
        <v>8005.01</v>
      </c>
      <c r="N15" s="222" cm="1">
        <f t="array" ref="N15">_xlfn.IFS(Table9[[#This Row],[Land Size (Acres)
(15%)]]&lt;100,0,Table9[[#This Row],[Land Size (Acres)
(15%)]]&gt;500,4,TRUE,2)</f>
        <v>4</v>
      </c>
      <c r="O15" s="222">
        <f>Table9[[#This Row],[Land Size (Acres) Score]]*'Detailed Rubric V3'!$G$6</f>
        <v>0.6</v>
      </c>
      <c r="P15" s="724">
        <v>0</v>
      </c>
      <c r="Q15" s="526">
        <f>IFERROR(Table9[[#This Row],[Site Filling Cost (Mn BDT)]]/Table9[[#This Row],[Land Size (Acres)
(15%)]],"")</f>
        <v>0</v>
      </c>
      <c r="R15" s="526" cm="1">
        <f t="array" ref="R15">IF(Table9[[#This Row],[Name]]="Sitakundo Economic Zone", 4, _xlfn.IFS(Table9[[#This Row],[Site Filling Cost (Mn BDT)]]="",0,Table9[[#This Row],[Land Suitability
(Cost of Land Filling in Million BDT per acre)
(25%)]]&gt;5,0,Table9[[#This Row],[Land Suitability
(Cost of Land Filling in Million BDT per acre)
(25%)]]&lt;2,4,TRUE,2))</f>
        <v>4</v>
      </c>
      <c r="S15" s="526">
        <f>Table9[[#This Row],[Land Suitability for Construction Score]]*'Detailed Rubric V3'!$J$6</f>
        <v>1</v>
      </c>
      <c r="T15" s="724">
        <v>160</v>
      </c>
      <c r="U15" s="725">
        <f>Table9[[#This Row],[Embankment/Dyke Cost (Mn BDT)]]/Table9[[#This Row],[Land Size (Acres)
(15%)]]</f>
        <v>1.9987482838872157E-2</v>
      </c>
      <c r="V15" s="526" cm="1">
        <f t="array" ref="V15">IF(Table9[[#This Row],[Name]]="Sitakundo Economic Zone", 2, _xlfn.IFS(Table9[[#This Row],[Embankment/Dyke Cost (Mn BDT)]]="",0,Table9[[#This Row],[Cost of DRRI Infrastructure in million BDT per acre
(10%)]]&gt;5,0,Table9[[#This Row],[Cost of DRRI Infrastructure in million BDT per acre
(10%)]]&lt;2,4,TRUE,2))</f>
        <v>4</v>
      </c>
      <c r="W15" s="526">
        <f>Table9[[#This Row],[Requirement for Distaster Risk Reduction &amp; Resilience Infrastructure Score]]*'Detailed Rubric V3'!$M$6</f>
        <v>0.4</v>
      </c>
      <c r="X15"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0.8</v>
      </c>
      <c r="Y15" s="227" t="s">
        <v>415</v>
      </c>
      <c r="Z15" s="210">
        <f>IFERROR(VLOOKUP(Table9[[#This Row],[Zone Priority
(40%)]],'Detailed Rubric V3'!$B$18:$C$21, 2,FALSE), 0)</f>
        <v>4</v>
      </c>
      <c r="AA15" s="210">
        <f>IFERROR(Table9[[#This Row],[Zone Priority Score]]*'Detailed Rubric V3'!$C$16, 0)</f>
        <v>0</v>
      </c>
      <c r="AB15" s="237" t="s">
        <v>416</v>
      </c>
      <c r="AC15" s="237">
        <f>VLOOKUP(Table9[[#This Row],[Existing BEZA Report
(60%)]],'Detailed Rubric V3'!$E$18:$F$20,2,FALSE)</f>
        <v>4</v>
      </c>
      <c r="AD15" s="237">
        <f>Table9[[#This Row],[Existing BEZA Report Score]]*'Detailed Rubric V3'!F$16</f>
        <v>4</v>
      </c>
      <c r="AE15" s="237">
        <f>(Table9[[#This Row],[Zone Priority Weighted Score]]+Table9[[#This Row],[Existing BEZA Report Weighted Score]])*'Detailed Rubric V3'!$C$14</f>
        <v>0.6</v>
      </c>
      <c r="AF15" s="528">
        <v>0</v>
      </c>
      <c r="AG15" s="529" cm="1">
        <f t="array" ref="AG15">_xlfn.IFS(Table9[[#This Row],[Existing Sectors
(50%)]]&gt;10, 4,Table9[[#This Row],[Existing Sectors
(50%)]]&lt;5, 0, TRUE, 2)</f>
        <v>0</v>
      </c>
      <c r="AH15" s="529">
        <f>Table9[[#This Row],[Existing Sectors Score]]*'Detailed Rubric V3'!$C$25</f>
        <v>0</v>
      </c>
      <c r="AI15" s="529">
        <v>0</v>
      </c>
      <c r="AJ15" s="529">
        <v>0</v>
      </c>
      <c r="AK15" s="529" cm="1">
        <f t="array" ref="AK15">_xlfn.IFS(Table9[[#This Row],[Potential New Sectors
(50%)]]&gt;5, 4, Table9[[#This Row],[Potential New Sectors
(50%)]]&lt;2,0, TRUE, 2)</f>
        <v>0</v>
      </c>
      <c r="AL15" s="529">
        <f>Table9[[#This Row],[Potential New Sectors Score]]*'Detailed Rubric V3'!$F$25</f>
        <v>0</v>
      </c>
      <c r="AM15" s="232">
        <f>(Table9[[#This Row],[Existing Sectors Weighted Score]]+Table9[[#This Row],[Potential New Sectors Weighted Score]])*'Detailed Rubric V3'!$C$23</f>
        <v>0</v>
      </c>
      <c r="AN15" s="530">
        <f>SUM(Table9[[#This Row],[1.1. Land Details (20% weightage)]],Table9[[#This Row],[1.2. BEZA Existing plans (15% weightage)]],Table9[[#This Row],[1.3. Sector Demand (15% weightage):]])</f>
        <v>1.4</v>
      </c>
      <c r="AO15" s="531">
        <f>_xlfn.RANK.EQ(Table9[[#This Row],[Level 1 Score]],$AN$3:$AN$103)</f>
        <v>9</v>
      </c>
      <c r="AP15" s="726">
        <v>30</v>
      </c>
      <c r="AQ15" s="726" cm="1">
        <f t="array" ref="AQ15">_xlfn.IFS(Table9[[#This Row],[National Highway Connectivity (km)
(15%)]]="", 0, Table9[[#This Row],[National Highway Connectivity (km)
(15%)]]&gt;50, 0, Table9[[#This Row],[National Highway Connectivity (km)
(15%)]]&lt;=25, 4, TRUE, 2)</f>
        <v>2</v>
      </c>
      <c r="AR15" s="726">
        <f>Table9[[#This Row],[National Highway Connectivity Score]]*'Detailed Rubric V3'!$C$35</f>
        <v>0.3</v>
      </c>
      <c r="AS15" s="726" t="s">
        <v>417</v>
      </c>
      <c r="AT15" s="726" cm="1">
        <f t="array" ref="AT15">_xlfn.IFS(Table9[[#This Row],[Connecting Road to Highway (km)
(15%)]]="", 0, Table9[[#This Row],[Connecting Road to Highway (km)
(15%)]]="Yes", 4, TRUE, 0)</f>
        <v>4</v>
      </c>
      <c r="AU15" s="726">
        <f>Table9[[#This Row],[Connecting Road to Highway Score]]*'Detailed Rubric V3'!$F$35</f>
        <v>0.6</v>
      </c>
      <c r="AV15" s="726">
        <v>149</v>
      </c>
      <c r="AW15" s="726" cm="1">
        <f t="array" ref="AW15">_xlfn.IFS(Table9[[#This Row],[Seaport Connectivity (km)
(30%)]]="",0, Table9[[#This Row],[Seaport Connectivity (km)
(30%)]]&gt;400, 0,Table9[[#This Row],[Seaport Connectivity (km)
(30%)]]&lt;=200,4, TRUE, 2)</f>
        <v>4</v>
      </c>
      <c r="AX15" s="726">
        <f>Table9[[#This Row],[Seaport Connectivity Score]]*'Detailed Rubric V3'!$I$35</f>
        <v>1.2</v>
      </c>
      <c r="AY15" s="726">
        <v>237</v>
      </c>
      <c r="AZ15" s="726" cm="1">
        <f t="array" ref="AZ15">_xlfn.IFS(Table9[[#This Row],[Airport Connectivity (km)
(10%)]]="", 0, Table9[[#This Row],[Airport Connectivity (km)
(10%)]]&gt;200, 0, Table9[[#This Row],[Airport Connectivity (km)
(10%)]]&lt;=100,4,TRUE, 2)</f>
        <v>0</v>
      </c>
      <c r="BA15" s="726">
        <f>Table9[[#This Row],[Airport Connectivity Score]]*'Detailed Rubric V3'!$C$41</f>
        <v>0</v>
      </c>
      <c r="BB15" s="726" t="s">
        <v>460</v>
      </c>
      <c r="BC15" s="726" cm="1">
        <f t="array" ref="BC15">_xlfn.IFS(Table9[[#This Row],[Railway Station (km)
(10%)]]="", 0, Table9[[#This Row],[Railway Station (km)
(10%)]]&gt;150, 0,Table9[[#This Row],[Railway Station (km)
(10%)]]&lt;=50,4, TRUE, 2)</f>
        <v>0</v>
      </c>
      <c r="BD15" s="726">
        <f>Table9[[#This Row],[Railway Station Score]]*'Detailed Rubric V3'!$F$41</f>
        <v>0</v>
      </c>
      <c r="BE15" s="726">
        <v>15</v>
      </c>
      <c r="BF15" s="726" cm="1">
        <f t="array" ref="BF15">_xlfn.IFS(Table9[[#This Row],[Inland waterway/ Land port (km)
(20%)]]="", 0, Table9[[#This Row],[Inland waterway/ Land port (km)
(20%)]]&gt;200, 0,Table9[[#This Row],[Inland waterway/ Land port (km)
(20%)]]&lt;=50,4, TRUE, 2)</f>
        <v>4</v>
      </c>
      <c r="BG15" s="726">
        <f>Table9[[#This Row],[Inland waterway/ Land port Score]]*'Detailed Rubric V3'!$I$41</f>
        <v>0.8</v>
      </c>
      <c r="BH15" s="727">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0.28999999999999998</v>
      </c>
      <c r="BI15" s="726">
        <v>25</v>
      </c>
      <c r="BJ15" s="726" cm="1">
        <f t="array" ref="BJ15">_xlfn.IFS(Table9[[#This Row],[Power Station (40%)]]="",0, Table9[[#This Row],[Power Station (40%)]]&gt;100, 0,Table9[[#This Row],[Power Station (40%)]]&lt;=50,4, TRUE, 2)</f>
        <v>4</v>
      </c>
      <c r="BK15" s="726">
        <f>Table9[[#This Row],[Power Station Score]]*'Detailed Rubric V3'!$C$53</f>
        <v>1.6</v>
      </c>
      <c r="BL15" s="726" t="s">
        <v>433</v>
      </c>
      <c r="BM15" s="726" cm="1">
        <f t="array" ref="BM15">IF(ISNUMBER(Table9[[#This Row],[Gas Station (20%)]]), _xlfn.IFS(Table9[[#This Row],[Gas Station (20%)]]="", 0, Table9[[#This Row],[Gas Station (20%)]]&gt;100, 0,Table9[[#This Row],[Gas Station (20%)]]&lt;=50,4, TRUE, 2), 0)</f>
        <v>0</v>
      </c>
      <c r="BN15" s="726">
        <f>Table9[[#This Row],[Gas Station Score]]*'Detailed Rubric V3'!$F$53</f>
        <v>0</v>
      </c>
      <c r="BO15" s="726">
        <v>0.5</v>
      </c>
      <c r="BP15" s="726" cm="1">
        <f t="array" ref="BP15">IF(ISNUMBER(Table9[[#This Row],[Source of Surface Water (40%)]]), _xlfn.IFS(Table9[[#This Row],[Source of Surface Water (40%)]]="", 0, Table9[[#This Row],[Source of Surface Water (40%)]]&gt;50, 0,Table9[[#This Row],[Source of Surface Water (40%)]]&lt;=20,4, TRUE, 2), 0)</f>
        <v>4</v>
      </c>
      <c r="BQ15" s="726">
        <f>Table9[[#This Row],[Source of Surface Water Score]]*'Detailed Rubric V3'!$I$53</f>
        <v>1.6</v>
      </c>
      <c r="BR15" s="726">
        <f>SUM(Table9[[#This Row],[Power Station Weighted Score]],Table9[[#This Row],[Gas Station Weighted Score]],Table9[[#This Row],[Source of Surface Water Weighted Score]])*'Detailed Rubric V3'!$C$51</f>
        <v>0.38400000000000001</v>
      </c>
      <c r="BS15" s="726" t="s">
        <v>417</v>
      </c>
      <c r="BT15" s="726" cm="1">
        <f t="array" ref="BT15">_xlfn.IFS(Table9[[#This Row],[Other BEZA EZ (20%)]]="", 0, Table9[[#This Row],[Other BEZA EZ (20%)]]="Yes", 4, TRUE, 0)</f>
        <v>4</v>
      </c>
      <c r="BU15" s="726">
        <f>Table9[[#This Row],[Other BEZA EZ Score]]*'Detailed Rubric V3'!$C$66</f>
        <v>0.8</v>
      </c>
      <c r="BV15" s="726" t="s">
        <v>417</v>
      </c>
      <c r="BW15" s="726" cm="1">
        <f t="array" ref="BW15">_xlfn.IFS(Table9[[#This Row],[BEPZA/ BHPTA/ BSCIC (20%)]]="", 0, Table9[[#This Row],[BEPZA/ BHPTA/ BSCIC (20%)]]="Yes", 4, TRUE, 0)</f>
        <v>4</v>
      </c>
      <c r="BX15" s="726">
        <f>Table9[[#This Row],[BEPZA/ BHPTA/ BSCIC Score]]*'Detailed Rubric V3'!$F$66</f>
        <v>0.8</v>
      </c>
      <c r="BY15" s="726">
        <v>56</v>
      </c>
      <c r="BZ15" s="726" cm="1">
        <f t="array" ref="BZ15">_xlfn.IFS(Table9[[#This Row],[Cluster Industries (from SMI) (20%)]]="", 0, Table9[[#This Row],[Cluster Industries (from SMI) (20%)]]&gt;100, 4, Table9[[#This Row],[Cluster Industries (from SMI) (20%)]]&lt;50, 0, TRUE, 2)</f>
        <v>2</v>
      </c>
      <c r="CA15" s="726">
        <f>Table9[[#This Row],[Cluster Industries (from SMI) Score]]*'Detailed Rubric V3'!$I$66</f>
        <v>0.4</v>
      </c>
      <c r="CB15" s="726" t="s">
        <v>418</v>
      </c>
      <c r="CC15" s="726" cm="1">
        <f t="array" ref="CC15">_xlfn.IFS(Table9[[#This Row],[Located on Industrial corridor (40%)]]="", 0, Table9[[#This Row],[Located on Industrial corridor (40%)]]="Yes", 4, TRUE, 0)</f>
        <v>0</v>
      </c>
      <c r="CD15" s="726">
        <f>Table9[[#This Row],[Located on Industrial corridor Score]]*'Detailed Rubric V3'!$L$66</f>
        <v>0</v>
      </c>
      <c r="CE15" s="726">
        <f>SUM(Table9[[#This Row],[Other BEZA EZ Weighted Score]],Table9[[#This Row],[BEPZA/ BHPTA/ BSCIC Weighted Score]],Table9[[#This Row],[Unorganized (from SMI) Weighted Score]],Table9[[#This Row],[Located on Industrial corridor Weighted Score]])*'Detailed Rubric V3'!$C$64</f>
        <v>0.2</v>
      </c>
      <c r="CF15" s="726" t="s">
        <v>417</v>
      </c>
      <c r="CG15" s="726" cm="1">
        <f t="array" ref="CG15">_xlfn.IFS(Table9[[#This Row],[Economic/ Social priority (laggered area) (100%)]]="", 0, Table9[[#This Row],[Economic/ Social priority (laggered area) (100%)]]="Yes", 4, TRUE, 0)</f>
        <v>4</v>
      </c>
      <c r="CH15" s="726">
        <f>Table9[[#This Row],[Economic/ Social priority (laggered area) Score]]*'Detailed Rubric V3'!$C$82</f>
        <v>4</v>
      </c>
      <c r="CI15" s="726" t="s">
        <v>417</v>
      </c>
      <c r="CJ15" s="726" cm="1">
        <f t="array" ref="CJ15">_xlfn.IFS(Table9[[#This Row],[Regional Tax incentive  (0%)]]="", 0, Table9[[#This Row],[Regional Tax incentive  (0%)]]="Yes", 4, TRUE, 0)</f>
        <v>4</v>
      </c>
      <c r="CK15" s="726">
        <f>Table9[[#This Row],[Regional Tax incentive Score]]*'Detailed Rubric V3'!$F$82</f>
        <v>0</v>
      </c>
      <c r="CL15" s="726">
        <f>SUM(Table9[[#This Row],[Economic/ Social priority (laagered area) Weighted Score]],Table9[[#This Row],[Regional Tax incentive  Weighted Score]])*'Detailed Rubric V3'!$C$80</f>
        <v>0.16</v>
      </c>
      <c r="CM15" s="726">
        <v>314753</v>
      </c>
      <c r="CN15" s="726" cm="1">
        <f t="array" ref="CN15">_xlfn.IFS(Table9[[#This Row],[Employable population (40%) 2013]]="", 0, Table9[[#This Row],[Employable population (40%) 2013]]&gt;200000, 4, Table9[[#This Row],[Employable population (40%) 2013]]&lt;100000,0, TRUE, 2)</f>
        <v>4</v>
      </c>
      <c r="CO15" s="726">
        <f>Table9[[#This Row],[Employable population Score]]*'Detailed Rubric V3'!$C$92</f>
        <v>1.6</v>
      </c>
      <c r="CP15" s="726">
        <v>19.5</v>
      </c>
      <c r="CQ15" s="726" cm="1">
        <f t="array" ref="CQ15">_xlfn.IFS(Table9[[#This Row],[Housing (20%)]]="", 0, Table9[[#This Row],[Housing (20%)]]&gt;50, 0, Table9[[#This Row],[Housing (20%)]]&lt;25, 4, TRUE, 2)</f>
        <v>4</v>
      </c>
      <c r="CR15" s="726">
        <f>Table9[[#This Row],[Housing Score]]*'Detailed Rubric V3'!$F$92</f>
        <v>0.8</v>
      </c>
      <c r="CS15" s="726">
        <v>76</v>
      </c>
      <c r="CT15" s="726" cm="1">
        <f t="array" ref="CT15">_xlfn.IFS(Table9[[#This Row],[Hotels (10%)]]="", 0, Table9[[#This Row],[Hotels (10%)]]&gt;25, 4, Table9[[#This Row],[Hotels (10%)]]&lt;5, 0, TRUE, 2)</f>
        <v>4</v>
      </c>
      <c r="CU15" s="726">
        <f>Table9[[#This Row],[Hotels Score]]*'Detailed Rubric V3'!$I$92</f>
        <v>0.4</v>
      </c>
      <c r="CV15" s="726">
        <v>88</v>
      </c>
      <c r="CW15" s="726" cm="1">
        <f t="array" ref="CW15">_xlfn.IFS(Table9[[#This Row],[Health (Hospital) (15%)]]="", 0, Table9[[#This Row],[Health (Hospital) (15%)]]&gt;10, 4, Table9[[#This Row],[Health (Hospital) (15%)]]&lt;5, 0, TRUE, 2)</f>
        <v>4</v>
      </c>
      <c r="CX15" s="726">
        <f>Table9[[#This Row],[Health (Hospital) Score]]*'Detailed Rubric V3'!$L$92</f>
        <v>0.6</v>
      </c>
      <c r="CY15" s="726">
        <v>34</v>
      </c>
      <c r="CZ15" s="726" cm="1">
        <f t="array" ref="CZ15">_xlfn.IFS(Table9[[#This Row],[University/ Technical &amp; Vocational Institutions (15%)]]="", 0, Table9[[#This Row],[University/ Technical &amp; Vocational Institutions (15%)]]&gt;3, 4, Table9[[#This Row],[University/ Technical &amp; Vocational Institutions (15%)]]&lt;1, 0, TRUE, 2)</f>
        <v>4</v>
      </c>
      <c r="DA15" s="726">
        <f>Table9[[#This Row],[University/ Technical &amp; Vocational Institutions Score]]*'Detailed Rubric V3'!$O$92</f>
        <v>0.6</v>
      </c>
      <c r="DB15" s="726">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15" s="726" t="s">
        <v>418</v>
      </c>
      <c r="DD15" s="726" cm="1">
        <f t="array" ref="DD15">_xlfn.IFS(Table9[[#This Row],[Environment compliance (30%)]]="", 0, Table9[[#This Row],[Environment compliance (30%)]]="Yes", 4, TRUE, 0)</f>
        <v>0</v>
      </c>
      <c r="DE15" s="726">
        <f>Table9[[#This Row],[Environment compliance Score]]*'Detailed Rubric V3'!$C$104</f>
        <v>0</v>
      </c>
      <c r="DF15" s="726" t="s">
        <v>421</v>
      </c>
      <c r="DG15" s="726" cm="1">
        <f t="array" ref="DG15">_xlfn.IFS(Table9[[#This Row],[Flood Risk Index (30%)]]="", 0, Table9[[#This Row],[Flood Risk Index (30%)]]="Very Low", 4, Table9[[#This Row],[Flood Risk Index (30%)]]="Moderate &amp; Low", 2, TRUE, 0)</f>
        <v>0</v>
      </c>
      <c r="DH15" s="726">
        <f>Table9[[#This Row],[Flood Risk Index Score]]*'Detailed Rubric V3'!$F$104</f>
        <v>0</v>
      </c>
      <c r="DI15" s="726" t="s">
        <v>421</v>
      </c>
      <c r="DJ15" s="726" cm="1">
        <f t="array" ref="DJ15">_xlfn.IFS(Table9[[#This Row],[Earth Quake Risk Index (10%)]]="", 0, Table9[[#This Row],[Earth Quake Risk Index (10%)]]="Very Low", 4, Table9[[#This Row],[Earth Quake Risk Index (10%)]]="Moderate &amp; Low", 2, TRUE, 0)</f>
        <v>0</v>
      </c>
      <c r="DK15" s="726">
        <f>Table9[[#This Row],[Earth Quake Risk Index Score]]*'Detailed Rubric V3'!$I$104</f>
        <v>0</v>
      </c>
      <c r="DL15" s="726" t="s">
        <v>419</v>
      </c>
      <c r="DM15" s="726" cm="1">
        <f t="array" ref="DM15">_xlfn.IFS(Table9[[#This Row],[Sea Level Rise Risk Index (10%)]]="", 0, Table9[[#This Row],[Sea Level Rise Risk Index (10%)]]="Very Low", 4, Table9[[#This Row],[Sea Level Rise Risk Index (10%)]]="Moderate &amp; Low", 2, TRUE, 0)</f>
        <v>2</v>
      </c>
      <c r="DN15" s="726">
        <f>Table9[[#This Row],[Sea Level Rise  Risk Index Score]]*'Detailed Rubric V3'!$L$104</f>
        <v>0.2</v>
      </c>
      <c r="DO15" s="726" t="s">
        <v>420</v>
      </c>
      <c r="DP15" s="726" cm="1">
        <f t="array" ref="DP15">_xlfn.IFS(Table9[[#This Row],[Cyclone Risk Index (10%)]]="", 0, Table9[[#This Row],[Cyclone Risk Index (10%)]]="Very Low", 4, Table9[[#This Row],[Cyclone Risk Index (10%)]]="Moderate &amp; Low", 2, TRUE, 0)</f>
        <v>0</v>
      </c>
      <c r="DQ15" s="726">
        <f>Table9[[#This Row],[Cyclone Risk Index Score]]*'Detailed Rubric V3'!$O$104</f>
        <v>0</v>
      </c>
      <c r="DR15" s="726" t="s">
        <v>419</v>
      </c>
      <c r="DS15" s="726" cm="1">
        <f t="array" ref="DS15">_xlfn.IFS(Table9[[#This Row],[Storm Surge Risk Index (10%)]]="", 0, Table9[[#This Row],[Storm Surge Risk Index (10%)]]="Very Low", 4, Table9[[#This Row],[Storm Surge Risk Index (10%)]]="Moderate &amp; Low", 2, TRUE, 0)</f>
        <v>2</v>
      </c>
      <c r="DT15" s="726">
        <f>Table9[[#This Row],[Storm Surge Risk Index Score]]*'Detailed Rubric V3'!$R$104</f>
        <v>0.2</v>
      </c>
      <c r="DU15" s="726">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2.4E-2</v>
      </c>
      <c r="DV15" s="727">
        <f>SUM(Table9[[#This Row],[2.1. Connectivity/ Logistics (10% weightage)]],Table9[[#This Row],[2.2. Utility (12% weightage)]],Table9[[#This Row],[2.3. Agglomeration effects (10% weightage)]],Table9[[#This Row],[2.4. Regional Policy (4% weightage)]],Table9[[#This Row],[2.5. Social (8% weightage)]],Table9[[#This Row],[2.6. Environment (6% weightage)]])</f>
        <v>1.3779999999999999</v>
      </c>
      <c r="DW15" s="726">
        <f>_xlfn.RANK.EQ(Table9[[#This Row],[Level 2 Score]],$DV$3:$DV$103)</f>
        <v>40</v>
      </c>
      <c r="DX15" s="728">
        <f>Table9[[#This Row],[Level 1 Score]]+Table9[[#This Row],[Level 2 Score]]</f>
        <v>2.7779999999999996</v>
      </c>
      <c r="DY15" s="723">
        <f>_xlfn.RANK.EQ(Table9[[#This Row],[Total Score]],$DX$3:$DX$103)</f>
        <v>15</v>
      </c>
      <c r="DZ15" s="237" t="str">
        <f>IF(Table9[[#This Row],[Count of Blanks]]&lt;=2, "Yes", "No")</f>
        <v>Yes</v>
      </c>
      <c r="EA15" s="237">
        <f>COUNTBLANK(Table9[[#This Row],[Name]:[Total Score Rank]])</f>
        <v>0</v>
      </c>
      <c r="EB15" s="237"/>
    </row>
    <row r="16" spans="2:132" ht="27" x14ac:dyDescent="0.25">
      <c r="B16" s="220">
        <v>33</v>
      </c>
      <c r="C16" s="334" t="s">
        <v>30</v>
      </c>
      <c r="D16" s="220" t="s">
        <v>68</v>
      </c>
      <c r="E16" s="220" t="s">
        <v>74</v>
      </c>
      <c r="F16" s="220" t="s">
        <v>88</v>
      </c>
      <c r="G16" s="220" t="s">
        <v>70</v>
      </c>
      <c r="H16" s="525" t="s">
        <v>410</v>
      </c>
      <c r="I16" s="70" t="s">
        <v>1443</v>
      </c>
      <c r="J16" s="535" t="s">
        <v>444</v>
      </c>
      <c r="K16" s="220">
        <f>IFERROR(VLOOKUP(Table9[[#This Row],[Land Availability (Grade)​
(50%)]],'Detailed Rubric V3'!$B$8:$C$11,2), 0)</f>
        <v>0</v>
      </c>
      <c r="L16" s="220">
        <f>IFERROR(Table9[[#This Row],[Land Availability (Grade)​ Score]]*'Detailed Rubric V3'!$C$6, "")</f>
        <v>0</v>
      </c>
      <c r="M16" s="222">
        <v>1000</v>
      </c>
      <c r="N16" s="222" cm="1">
        <f t="array" ref="N16">_xlfn.IFS(Table9[[#This Row],[Land Size (Acres)
(15%)]]&lt;100,0,Table9[[#This Row],[Land Size (Acres)
(15%)]]&gt;500,4,TRUE,2)</f>
        <v>4</v>
      </c>
      <c r="O16" s="222">
        <f>Table9[[#This Row],[Land Size (Acres) Score]]*'Detailed Rubric V3'!$G$6</f>
        <v>0.6</v>
      </c>
      <c r="P16" s="526">
        <v>96.71</v>
      </c>
      <c r="Q16" s="526">
        <f>IFERROR(Table9[[#This Row],[Site Filling Cost (Mn BDT)]]/Table9[[#This Row],[Land Size (Acres)
(15%)]],"")</f>
        <v>9.670999999999999E-2</v>
      </c>
      <c r="R16" s="526" cm="1">
        <f t="array" ref="R16">IF(Table9[[#This Row],[Name]]="Sitakundo Economic Zone", 4, _xlfn.IFS(Table9[[#This Row],[Site Filling Cost (Mn BDT)]]="",0,Table9[[#This Row],[Land Suitability
(Cost of Land Filling in Million BDT per acre)
(25%)]]&gt;5,0,Table9[[#This Row],[Land Suitability
(Cost of Land Filling in Million BDT per acre)
(25%)]]&lt;2,4,TRUE,2))</f>
        <v>4</v>
      </c>
      <c r="S16" s="526">
        <f>Table9[[#This Row],[Land Suitability for Construction Score]]*'Detailed Rubric V3'!$J$6</f>
        <v>1</v>
      </c>
      <c r="T16" s="526">
        <v>4236.18</v>
      </c>
      <c r="U16" s="526">
        <f>IFERROR(Table9[[#This Row],[Embankment/Dyke Cost (Mn BDT)]]/Table9[[#This Row],[Land Size (Acres)
(15%)]], 0)</f>
        <v>4.2361800000000001</v>
      </c>
      <c r="V16" s="526" cm="1">
        <f t="array" ref="V16">IF(Table9[[#This Row],[Name]]="Sitakundo Economic Zone", 2, _xlfn.IFS(Table9[[#This Row],[Embankment/Dyke Cost (Mn BDT)]]="",0,Table9[[#This Row],[Cost of DRRI Infrastructure in million BDT per acre
(10%)]]&gt;5,0,Table9[[#This Row],[Cost of DRRI Infrastructure in million BDT per acre
(10%)]]&lt;2,4,TRUE,2))</f>
        <v>2</v>
      </c>
      <c r="W16" s="526">
        <f>Table9[[#This Row],[Requirement for Distaster Risk Reduction &amp; Resilience Infrastructure Score]]*'Detailed Rubric V3'!$M$6</f>
        <v>0.2</v>
      </c>
      <c r="X16"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0.36000000000000004</v>
      </c>
      <c r="Y16" s="452" t="s">
        <v>415</v>
      </c>
      <c r="Z16" s="210">
        <f>IFERROR(VLOOKUP(Table9[[#This Row],[Zone Priority
(40%)]],'Detailed Rubric V3'!$B$18:$C$21, 2,FALSE), 0)</f>
        <v>4</v>
      </c>
      <c r="AA16" s="210">
        <f>IFERROR(Table9[[#This Row],[Zone Priority Score]]*'Detailed Rubric V3'!$C$16, 0)</f>
        <v>0</v>
      </c>
      <c r="AB16" s="237" t="s">
        <v>416</v>
      </c>
      <c r="AC16" s="237">
        <f>VLOOKUP(Table9[[#This Row],[Existing BEZA Report
(60%)]],'Detailed Rubric V3'!$E$18:$F$20,2,FALSE)</f>
        <v>4</v>
      </c>
      <c r="AD16" s="237">
        <f>Table9[[#This Row],[Existing BEZA Report Score]]*'Detailed Rubric V3'!F$16</f>
        <v>4</v>
      </c>
      <c r="AE16" s="237">
        <f>(Table9[[#This Row],[Zone Priority Weighted Score]]+Table9[[#This Row],[Existing BEZA Report Weighted Score]])*'Detailed Rubric V3'!$C$14</f>
        <v>0.6</v>
      </c>
      <c r="AF16" s="528">
        <v>1</v>
      </c>
      <c r="AG16" s="529" cm="1">
        <f t="array" ref="AG16">_xlfn.IFS(Table9[[#This Row],[Existing Sectors
(50%)]]&gt;10, 4,Table9[[#This Row],[Existing Sectors
(50%)]]&lt;5, 0, TRUE, 2)</f>
        <v>0</v>
      </c>
      <c r="AH16" s="529">
        <f>Table9[[#This Row],[Existing Sectors Score]]*'Detailed Rubric V3'!$C$25</f>
        <v>0</v>
      </c>
      <c r="AI16" s="529">
        <v>4</v>
      </c>
      <c r="AJ16" s="529">
        <v>3</v>
      </c>
      <c r="AK16" s="529" cm="1">
        <f t="array" ref="AK16">_xlfn.IFS(Table9[[#This Row],[Potential New Sectors
(50%)]]&gt;5, 4, Table9[[#This Row],[Potential New Sectors
(50%)]]&lt;2,0, TRUE, 2)</f>
        <v>2</v>
      </c>
      <c r="AL16" s="529">
        <f>Table9[[#This Row],[Potential New Sectors Score]]*'Detailed Rubric V3'!$F$25</f>
        <v>1</v>
      </c>
      <c r="AM16" s="232">
        <f>(Table9[[#This Row],[Existing Sectors Weighted Score]]+Table9[[#This Row],[Potential New Sectors Weighted Score]])*'Detailed Rubric V3'!$C$23</f>
        <v>0.15</v>
      </c>
      <c r="AN16" s="530">
        <f>SUM(Table9[[#This Row],[1.1. Land Details (20% weightage)]],Table9[[#This Row],[1.2. BEZA Existing plans (15% weightage)]],Table9[[#This Row],[1.3. Sector Demand (15% weightage):]])</f>
        <v>1.1099999999999999</v>
      </c>
      <c r="AO16" s="531">
        <f>_xlfn.RANK.EQ(Table9[[#This Row],[Level 1 Score]],$AN$3:$AN$103)</f>
        <v>19</v>
      </c>
      <c r="AP16" s="529">
        <v>52</v>
      </c>
      <c r="AQ16" s="529" cm="1">
        <f t="array" ref="AQ16">_xlfn.IFS(Table9[[#This Row],[National Highway Connectivity (km)
(15%)]]="", 0, Table9[[#This Row],[National Highway Connectivity (km)
(15%)]]&gt;50, 0, Table9[[#This Row],[National Highway Connectivity (km)
(15%)]]&lt;=25, 4, TRUE, 2)</f>
        <v>0</v>
      </c>
      <c r="AR16" s="529">
        <f>Table9[[#This Row],[National Highway Connectivity Score]]*'Detailed Rubric V3'!$C$35</f>
        <v>0</v>
      </c>
      <c r="AS16" s="529" t="s">
        <v>417</v>
      </c>
      <c r="AT16" s="529" cm="1">
        <f t="array" ref="AT16">_xlfn.IFS(Table9[[#This Row],[Connecting Road to Highway (km)
(15%)]]="", 0, Table9[[#This Row],[Connecting Road to Highway (km)
(15%)]]="Yes", 4, TRUE, 0)</f>
        <v>4</v>
      </c>
      <c r="AU16" s="529">
        <f>Table9[[#This Row],[Connecting Road to Highway Score]]*'Detailed Rubric V3'!$F$35</f>
        <v>0.6</v>
      </c>
      <c r="AV16" s="529">
        <v>124</v>
      </c>
      <c r="AW16" s="529" cm="1">
        <f t="array" ref="AW16">_xlfn.IFS(Table9[[#This Row],[Seaport Connectivity (km)
(30%)]]="",0, Table9[[#This Row],[Seaport Connectivity (km)
(30%)]]&gt;400, 0,Table9[[#This Row],[Seaport Connectivity (km)
(30%)]]&lt;=200,4, TRUE, 2)</f>
        <v>4</v>
      </c>
      <c r="AX16" s="529">
        <f>Table9[[#This Row],[Seaport Connectivity Score]]*'Detailed Rubric V3'!$I$35</f>
        <v>1.2</v>
      </c>
      <c r="AY16" s="529">
        <v>110</v>
      </c>
      <c r="AZ16" s="529" cm="1">
        <f t="array" ref="AZ16">_xlfn.IFS(Table9[[#This Row],[Airport Connectivity (km)
(10%)]]="", 0, Table9[[#This Row],[Airport Connectivity (km)
(10%)]]&gt;200, 0, Table9[[#This Row],[Airport Connectivity (km)
(10%)]]&lt;=100,4,TRUE, 2)</f>
        <v>2</v>
      </c>
      <c r="BA16" s="529">
        <f>Table9[[#This Row],[Airport Connectivity Score]]*'Detailed Rubric V3'!$C$41</f>
        <v>0.2</v>
      </c>
      <c r="BB16" s="529">
        <v>120</v>
      </c>
      <c r="BC16" s="529" cm="1">
        <f t="array" ref="BC16">_xlfn.IFS(Table9[[#This Row],[Railway Station (km)
(10%)]]="", 0, Table9[[#This Row],[Railway Station (km)
(10%)]]&gt;150, 0,Table9[[#This Row],[Railway Station (km)
(10%)]]&lt;=50,4, TRUE, 2)</f>
        <v>2</v>
      </c>
      <c r="BD16" s="529">
        <f>Table9[[#This Row],[Railway Station Score]]*'Detailed Rubric V3'!$F$41</f>
        <v>0.2</v>
      </c>
      <c r="BE16" s="529">
        <v>7.5</v>
      </c>
      <c r="BF16" s="529" cm="1">
        <f t="array" ref="BF16">_xlfn.IFS(Table9[[#This Row],[Inland waterway/ Land port (km)
(20%)]]="", 0, Table9[[#This Row],[Inland waterway/ Land port (km)
(20%)]]&gt;200, 0,Table9[[#This Row],[Inland waterway/ Land port (km)
(20%)]]&lt;=50,4, TRUE, 2)</f>
        <v>4</v>
      </c>
      <c r="BG16" s="529">
        <f>Table9[[#This Row],[Inland waterway/ Land port Score]]*'Detailed Rubric V3'!$I$41</f>
        <v>0.8</v>
      </c>
      <c r="BH16"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0.30000000000000004</v>
      </c>
      <c r="BI16" s="529">
        <v>4</v>
      </c>
      <c r="BJ16" s="529" cm="1">
        <f t="array" ref="BJ16">_xlfn.IFS(Table9[[#This Row],[Power Station (40%)]]="",0, Table9[[#This Row],[Power Station (40%)]]&gt;100, 0,Table9[[#This Row],[Power Station (40%)]]&lt;=50,4, TRUE, 2)</f>
        <v>4</v>
      </c>
      <c r="BK16" s="529">
        <f>Table9[[#This Row],[Power Station Score]]*'Detailed Rubric V3'!$C$53</f>
        <v>1.6</v>
      </c>
      <c r="BL16" s="614">
        <v>0</v>
      </c>
      <c r="BM16" s="529" cm="1">
        <f t="array" ref="BM16">IF(ISNUMBER(Table9[[#This Row],[Gas Station (20%)]]), _xlfn.IFS(Table9[[#This Row],[Gas Station (20%)]]="", 0, Table9[[#This Row],[Gas Station (20%)]]&gt;100, 0,Table9[[#This Row],[Gas Station (20%)]]&lt;=50,4, TRUE, 2), 0)</f>
        <v>4</v>
      </c>
      <c r="BN16" s="529">
        <f>Table9[[#This Row],[Gas Station Score]]*'Detailed Rubric V3'!$F$53</f>
        <v>0.8</v>
      </c>
      <c r="BO16" s="614">
        <v>12</v>
      </c>
      <c r="BP16" s="529" cm="1">
        <f t="array" ref="BP16">IF(ISNUMBER(Table9[[#This Row],[Source of Surface Water (40%)]]), _xlfn.IFS(Table9[[#This Row],[Source of Surface Water (40%)]]="", 0, Table9[[#This Row],[Source of Surface Water (40%)]]&gt;50, 0,Table9[[#This Row],[Source of Surface Water (40%)]]&lt;=20,4, TRUE, 2), 0)</f>
        <v>4</v>
      </c>
      <c r="BQ16" s="529">
        <f>Table9[[#This Row],[Source of Surface Water Score]]*'Detailed Rubric V3'!$I$53</f>
        <v>1.6</v>
      </c>
      <c r="BR16" s="529">
        <f>SUM(Table9[[#This Row],[Power Station Weighted Score]],Table9[[#This Row],[Gas Station Weighted Score]],Table9[[#This Row],[Source of Surface Water Weighted Score]])*'Detailed Rubric V3'!$C$51</f>
        <v>0.48</v>
      </c>
      <c r="BS16" s="529" t="s">
        <v>417</v>
      </c>
      <c r="BT16" s="529" cm="1">
        <f t="array" ref="BT16">_xlfn.IFS(Table9[[#This Row],[Other BEZA EZ (20%)]]="", 0, Table9[[#This Row],[Other BEZA EZ (20%)]]="Yes", 4, TRUE, 0)</f>
        <v>4</v>
      </c>
      <c r="BU16" s="529">
        <f>Table9[[#This Row],[Other BEZA EZ Score]]*'Detailed Rubric V3'!$C$66</f>
        <v>0.8</v>
      </c>
      <c r="BV16" s="529" t="s">
        <v>417</v>
      </c>
      <c r="BW16" s="529" cm="1">
        <f t="array" ref="BW16">_xlfn.IFS(Table9[[#This Row],[BEPZA/ BHPTA/ BSCIC (20%)]]="", 0, Table9[[#This Row],[BEPZA/ BHPTA/ BSCIC (20%)]]="Yes", 4, TRUE, 0)</f>
        <v>4</v>
      </c>
      <c r="BX16" s="529">
        <f>Table9[[#This Row],[BEPZA/ BHPTA/ BSCIC Score]]*'Detailed Rubric V3'!$F$66</f>
        <v>0.8</v>
      </c>
      <c r="BY16" s="529">
        <v>38</v>
      </c>
      <c r="BZ16" s="529" cm="1">
        <f t="array" ref="BZ16">_xlfn.IFS(Table9[[#This Row],[Cluster Industries (from SMI) (20%)]]="", 0, Table9[[#This Row],[Cluster Industries (from SMI) (20%)]]&gt;100, 4, Table9[[#This Row],[Cluster Industries (from SMI) (20%)]]&lt;50, 0, TRUE, 2)</f>
        <v>0</v>
      </c>
      <c r="CA16" s="529">
        <f>Table9[[#This Row],[Cluster Industries (from SMI) Score]]*'Detailed Rubric V3'!$I$66</f>
        <v>0</v>
      </c>
      <c r="CB16" s="529" t="s">
        <v>417</v>
      </c>
      <c r="CC16" s="529" cm="1">
        <f t="array" ref="CC16">_xlfn.IFS(Table9[[#This Row],[Located on Industrial corridor (40%)]]="", 0, Table9[[#This Row],[Located on Industrial corridor (40%)]]="Yes", 4, TRUE, 0)</f>
        <v>4</v>
      </c>
      <c r="CD16" s="529">
        <f>Table9[[#This Row],[Located on Industrial corridor Score]]*'Detailed Rubric V3'!$L$66</f>
        <v>1.6</v>
      </c>
      <c r="CE16" s="529">
        <f>SUM(Table9[[#This Row],[Other BEZA EZ Weighted Score]],Table9[[#This Row],[BEPZA/ BHPTA/ BSCIC Weighted Score]],Table9[[#This Row],[Unorganized (from SMI) Weighted Score]],Table9[[#This Row],[Located on Industrial corridor Weighted Score]])*'Detailed Rubric V3'!$C$64</f>
        <v>0.32000000000000006</v>
      </c>
      <c r="CF16" s="529" t="s">
        <v>417</v>
      </c>
      <c r="CG16" s="529" cm="1">
        <f t="array" ref="CG16">_xlfn.IFS(Table9[[#This Row],[Economic/ Social priority (laggered area) (100%)]]="", 0, Table9[[#This Row],[Economic/ Social priority (laggered area) (100%)]]="Yes", 4, TRUE, 0)</f>
        <v>4</v>
      </c>
      <c r="CH16" s="529">
        <f>Table9[[#This Row],[Economic/ Social priority (laggered area) Score]]*'Detailed Rubric V3'!$C$82</f>
        <v>4</v>
      </c>
      <c r="CI16" s="529" t="s">
        <v>417</v>
      </c>
      <c r="CJ16" s="529" cm="1">
        <f t="array" ref="CJ16">_xlfn.IFS(Table9[[#This Row],[Regional Tax incentive  (0%)]]="", 0, Table9[[#This Row],[Regional Tax incentive  (0%)]]="Yes", 4, TRUE, 0)</f>
        <v>4</v>
      </c>
      <c r="CK16" s="529">
        <f>Table9[[#This Row],[Regional Tax incentive Score]]*'Detailed Rubric V3'!$F$82</f>
        <v>0</v>
      </c>
      <c r="CL16" s="529">
        <f>SUM(Table9[[#This Row],[Economic/ Social priority (laagered area) Weighted Score]],Table9[[#This Row],[Regional Tax incentive  Weighted Score]])*'Detailed Rubric V3'!$C$80</f>
        <v>0.16</v>
      </c>
      <c r="CM16" s="529">
        <v>260078</v>
      </c>
      <c r="CN16" s="529" cm="1">
        <f t="array" ref="CN16">_xlfn.IFS(Table9[[#This Row],[Employable population (40%) 2013]]="", 0, Table9[[#This Row],[Employable population (40%) 2013]]&gt;200000, 4, Table9[[#This Row],[Employable population (40%) 2013]]&lt;100000,0, TRUE, 2)</f>
        <v>4</v>
      </c>
      <c r="CO16" s="529">
        <f>Table9[[#This Row],[Employable population Score]]*'Detailed Rubric V3'!$C$92</f>
        <v>1.6</v>
      </c>
      <c r="CP16" s="529">
        <v>22</v>
      </c>
      <c r="CQ16" s="529" cm="1">
        <f t="array" ref="CQ16">_xlfn.IFS(Table9[[#This Row],[Housing (20%)]]="", 0, Table9[[#This Row],[Housing (20%)]]&gt;50, 0, Table9[[#This Row],[Housing (20%)]]&lt;25, 4, TRUE, 2)</f>
        <v>4</v>
      </c>
      <c r="CR16" s="529">
        <f>Table9[[#This Row],[Housing Score]]*'Detailed Rubric V3'!$F$92</f>
        <v>0.8</v>
      </c>
      <c r="CS16" s="529">
        <v>86</v>
      </c>
      <c r="CT16" s="529" cm="1">
        <f t="array" ref="CT16">_xlfn.IFS(Table9[[#This Row],[Hotels (10%)]]="", 0, Table9[[#This Row],[Hotels (10%)]]&gt;25, 4, Table9[[#This Row],[Hotels (10%)]]&lt;5, 0, TRUE, 2)</f>
        <v>4</v>
      </c>
      <c r="CU16" s="529">
        <f>Table9[[#This Row],[Hotels Score]]*'Detailed Rubric V3'!$I$92</f>
        <v>0.4</v>
      </c>
      <c r="CV16" s="529">
        <v>61</v>
      </c>
      <c r="CW16" s="529" cm="1">
        <f t="array" ref="CW16">_xlfn.IFS(Table9[[#This Row],[Health (Hospital) (15%)]]="", 0, Table9[[#This Row],[Health (Hospital) (15%)]]&gt;10, 4, Table9[[#This Row],[Health (Hospital) (15%)]]&lt;5, 0, TRUE, 2)</f>
        <v>4</v>
      </c>
      <c r="CX16" s="529">
        <f>Table9[[#This Row],[Health (Hospital) Score]]*'Detailed Rubric V3'!$L$92</f>
        <v>0.6</v>
      </c>
      <c r="CY16" s="529">
        <v>24</v>
      </c>
      <c r="CZ16" s="529" cm="1">
        <f t="array" ref="CZ16">_xlfn.IFS(Table9[[#This Row],[University/ Technical &amp; Vocational Institutions (15%)]]="", 0, Table9[[#This Row],[University/ Technical &amp; Vocational Institutions (15%)]]&gt;3, 4, Table9[[#This Row],[University/ Technical &amp; Vocational Institutions (15%)]]&lt;1, 0, TRUE, 2)</f>
        <v>4</v>
      </c>
      <c r="DA16" s="529">
        <f>Table9[[#This Row],[University/ Technical &amp; Vocational Institutions Score]]*'Detailed Rubric V3'!$O$92</f>
        <v>0.6</v>
      </c>
      <c r="DB16"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16" s="529" t="s">
        <v>418</v>
      </c>
      <c r="DD16" s="529" cm="1">
        <f t="array" ref="DD16">_xlfn.IFS(Table9[[#This Row],[Environment compliance (30%)]]="", 0, Table9[[#This Row],[Environment compliance (30%)]]="Yes", 4, TRUE, 0)</f>
        <v>0</v>
      </c>
      <c r="DE16" s="529">
        <f>Table9[[#This Row],[Environment compliance Score]]*'Detailed Rubric V3'!$C$104</f>
        <v>0</v>
      </c>
      <c r="DF16" s="529" t="s">
        <v>419</v>
      </c>
      <c r="DG16" s="529" cm="1">
        <f t="array" ref="DG16">_xlfn.IFS(Table9[[#This Row],[Flood Risk Index (30%)]]="", 0, Table9[[#This Row],[Flood Risk Index (30%)]]="Very Low", 4, Table9[[#This Row],[Flood Risk Index (30%)]]="Moderate &amp; Low", 2, TRUE, 0)</f>
        <v>2</v>
      </c>
      <c r="DH16" s="529">
        <f>Table9[[#This Row],[Flood Risk Index Score]]*'Detailed Rubric V3'!$F$104</f>
        <v>0.6</v>
      </c>
      <c r="DI16" s="529" t="s">
        <v>419</v>
      </c>
      <c r="DJ16" s="529" cm="1">
        <f t="array" ref="DJ16">_xlfn.IFS(Table9[[#This Row],[Earth Quake Risk Index (10%)]]="", 0, Table9[[#This Row],[Earth Quake Risk Index (10%)]]="Very Low", 4, Table9[[#This Row],[Earth Quake Risk Index (10%)]]="Moderate &amp; Low", 2, TRUE, 0)</f>
        <v>2</v>
      </c>
      <c r="DK16" s="529">
        <f>Table9[[#This Row],[Earth Quake Risk Index Score]]*'Detailed Rubric V3'!$I$104</f>
        <v>0.2</v>
      </c>
      <c r="DL16" s="529" t="s">
        <v>419</v>
      </c>
      <c r="DM16" s="529" cm="1">
        <f t="array" ref="DM16">_xlfn.IFS(Table9[[#This Row],[Sea Level Rise Risk Index (10%)]]="", 0, Table9[[#This Row],[Sea Level Rise Risk Index (10%)]]="Very Low", 4, Table9[[#This Row],[Sea Level Rise Risk Index (10%)]]="Moderate &amp; Low", 2, TRUE, 0)</f>
        <v>2</v>
      </c>
      <c r="DN16" s="529">
        <f>Table9[[#This Row],[Sea Level Rise  Risk Index Score]]*'Detailed Rubric V3'!$L$104</f>
        <v>0.2</v>
      </c>
      <c r="DO16" s="529" t="s">
        <v>420</v>
      </c>
      <c r="DP16" s="529" cm="1">
        <f t="array" ref="DP16">_xlfn.IFS(Table9[[#This Row],[Cyclone Risk Index (10%)]]="", 0, Table9[[#This Row],[Cyclone Risk Index (10%)]]="Very Low", 4, Table9[[#This Row],[Cyclone Risk Index (10%)]]="Moderate &amp; Low", 2, TRUE, 0)</f>
        <v>0</v>
      </c>
      <c r="DQ16" s="529">
        <f>Table9[[#This Row],[Cyclone Risk Index Score]]*'Detailed Rubric V3'!$O$104</f>
        <v>0</v>
      </c>
      <c r="DR16" s="529" t="s">
        <v>419</v>
      </c>
      <c r="DS16" s="529" cm="1">
        <f t="array" ref="DS16">_xlfn.IFS(Table9[[#This Row],[Storm Surge Risk Index (10%)]]="", 0, Table9[[#This Row],[Storm Surge Risk Index (10%)]]="Very Low", 4, Table9[[#This Row],[Storm Surge Risk Index (10%)]]="Moderate &amp; Low", 2, TRUE, 0)</f>
        <v>2</v>
      </c>
      <c r="DT16" s="529">
        <f>Table9[[#This Row],[Storm Surge Risk Index Score]]*'Detailed Rubric V3'!$R$104</f>
        <v>0.2</v>
      </c>
      <c r="DU16"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7.1999999999999995E-2</v>
      </c>
      <c r="DV16" s="533">
        <f>SUM(Table9[[#This Row],[2.1. Connectivity/ Logistics (10% weightage)]],Table9[[#This Row],[2.2. Utility (12% weightage)]],Table9[[#This Row],[2.3. Agglomeration effects (10% weightage)]],Table9[[#This Row],[2.4. Regional Policy (4% weightage)]],Table9[[#This Row],[2.5. Social (8% weightage)]],Table9[[#This Row],[2.6. Environment (6% weightage)]])</f>
        <v>1.6520000000000001</v>
      </c>
      <c r="DW16" s="232">
        <f>_xlfn.RANK.EQ(Table9[[#This Row],[Level 2 Score]],$DV$3:$DV$103)</f>
        <v>9</v>
      </c>
      <c r="DX16" s="533">
        <f>Table9[[#This Row],[Level 1 Score]]+Table9[[#This Row],[Level 2 Score]]</f>
        <v>2.762</v>
      </c>
      <c r="DY16" s="308">
        <f>_xlfn.RANK.EQ(Table9[[#This Row],[Total Score]],$DX$3:$DX$103)</f>
        <v>16</v>
      </c>
      <c r="DZ16" s="237" t="str">
        <f>IF(Table9[[#This Row],[Count of Blanks]]&lt;=2, "Yes", "No")</f>
        <v>Yes</v>
      </c>
      <c r="EA16" s="237">
        <f>COUNTBLANK(Table9[[#This Row],[Name]:[Total Score Rank]])</f>
        <v>0</v>
      </c>
      <c r="EB16" s="613" t="s">
        <v>417</v>
      </c>
    </row>
    <row r="17" spans="2:132" x14ac:dyDescent="0.25">
      <c r="B17" s="220">
        <v>37</v>
      </c>
      <c r="C17" s="582" t="s">
        <v>28</v>
      </c>
      <c r="D17" s="220" t="s">
        <v>68</v>
      </c>
      <c r="E17" s="220" t="s">
        <v>74</v>
      </c>
      <c r="F17" s="220" t="s">
        <v>75</v>
      </c>
      <c r="G17" s="220" t="s">
        <v>70</v>
      </c>
      <c r="H17" s="525" t="s">
        <v>410</v>
      </c>
      <c r="I17" s="70" t="s">
        <v>410</v>
      </c>
      <c r="J17" s="227" t="s">
        <v>412</v>
      </c>
      <c r="K17" s="220">
        <f>IFERROR(VLOOKUP(Table9[[#This Row],[Land Availability (Grade)​
(50%)]],'Detailed Rubric V3'!$B$8:$C$11,2), 0)</f>
        <v>4</v>
      </c>
      <c r="L17" s="220">
        <f>IFERROR(Table9[[#This Row],[Land Availability (Grade)​ Score]]*'Detailed Rubric V3'!$C$6, "")</f>
        <v>2</v>
      </c>
      <c r="M17" s="222">
        <v>293.05</v>
      </c>
      <c r="N17" s="222" cm="1">
        <f t="array" ref="N17">_xlfn.IFS(Table9[[#This Row],[Land Size (Acres)
(15%)]]&lt;100,0,Table9[[#This Row],[Land Size (Acres)
(15%)]]&gt;500,4,TRUE,2)</f>
        <v>2</v>
      </c>
      <c r="O17" s="222">
        <f>Table9[[#This Row],[Land Size (Acres) Score]]*'Detailed Rubric V3'!$G$6</f>
        <v>0.3</v>
      </c>
      <c r="P17" s="526">
        <v>634</v>
      </c>
      <c r="Q17" s="526">
        <f>IFERROR(Table9[[#This Row],[Site Filling Cost (Mn BDT)]]/Table9[[#This Row],[Land Size (Acres)
(15%)]],"")</f>
        <v>2.1634533356082577</v>
      </c>
      <c r="R17" s="526" cm="1">
        <f t="array" ref="R17">IF(Table9[[#This Row],[Name]]="Sitakundo Economic Zone", 4, _xlfn.IFS(Table9[[#This Row],[Site Filling Cost (Mn BDT)]]="",0,Table9[[#This Row],[Land Suitability
(Cost of Land Filling in Million BDT per acre)
(25%)]]&gt;5,0,Table9[[#This Row],[Land Suitability
(Cost of Land Filling in Million BDT per acre)
(25%)]]&lt;2,4,TRUE,2))</f>
        <v>2</v>
      </c>
      <c r="S17" s="526">
        <f>Table9[[#This Row],[Land Suitability for Construction Score]]*'Detailed Rubric V3'!$J$6</f>
        <v>0.5</v>
      </c>
      <c r="T17" s="526">
        <v>23</v>
      </c>
      <c r="U17" s="526">
        <f>IFERROR(Table9[[#This Row],[Embankment/Dyke Cost (Mn BDT)]]/Table9[[#This Row],[Land Size (Acres)
(15%)]], 0)</f>
        <v>7.8484900187681284E-2</v>
      </c>
      <c r="V17" s="526" cm="1">
        <f t="array" ref="V17">IF(Table9[[#This Row],[Name]]="Sitakundo Economic Zone", 2, _xlfn.IFS(Table9[[#This Row],[Embankment/Dyke Cost (Mn BDT)]]="",0,Table9[[#This Row],[Cost of DRRI Infrastructure in million BDT per acre
(10%)]]&gt;5,0,Table9[[#This Row],[Cost of DRRI Infrastructure in million BDT per acre
(10%)]]&lt;2,4,TRUE,2))</f>
        <v>4</v>
      </c>
      <c r="W17" s="526">
        <f>Table9[[#This Row],[Requirement for Distaster Risk Reduction &amp; Resilience Infrastructure Score]]*'Detailed Rubric V3'!$M$6</f>
        <v>0.4</v>
      </c>
      <c r="X17"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0.64</v>
      </c>
      <c r="Y17" s="452" t="s">
        <v>415</v>
      </c>
      <c r="Z17" s="210">
        <f>IFERROR(VLOOKUP(Table9[[#This Row],[Zone Priority
(40%)]],'Detailed Rubric V3'!$B$18:$C$21, 2,FALSE), 0)</f>
        <v>4</v>
      </c>
      <c r="AA17" s="210">
        <f>IFERROR(Table9[[#This Row],[Zone Priority Score]]*'Detailed Rubric V3'!$C$16, 0)</f>
        <v>0</v>
      </c>
      <c r="AB17" s="237" t="s">
        <v>416</v>
      </c>
      <c r="AC17" s="237">
        <f>VLOOKUP(Table9[[#This Row],[Existing BEZA Report
(60%)]],'Detailed Rubric V3'!$E$18:$F$20,2,FALSE)</f>
        <v>4</v>
      </c>
      <c r="AD17" s="237">
        <f>Table9[[#This Row],[Existing BEZA Report Score]]*'Detailed Rubric V3'!F$16</f>
        <v>4</v>
      </c>
      <c r="AE17" s="237">
        <f>(Table9[[#This Row],[Zone Priority Weighted Score]]+Table9[[#This Row],[Existing BEZA Report Weighted Score]])*'Detailed Rubric V3'!$C$14</f>
        <v>0.6</v>
      </c>
      <c r="AF17" s="528">
        <v>1</v>
      </c>
      <c r="AG17" s="529" cm="1">
        <f t="array" ref="AG17">_xlfn.IFS(Table9[[#This Row],[Existing Sectors
(50%)]]&gt;10, 4,Table9[[#This Row],[Existing Sectors
(50%)]]&lt;5, 0, TRUE, 2)</f>
        <v>0</v>
      </c>
      <c r="AH17" s="529">
        <f>Table9[[#This Row],[Existing Sectors Score]]*'Detailed Rubric V3'!$C$25</f>
        <v>0</v>
      </c>
      <c r="AI17" s="529">
        <v>4</v>
      </c>
      <c r="AJ17" s="529">
        <v>3</v>
      </c>
      <c r="AK17" s="529" cm="1">
        <f t="array" ref="AK17">_xlfn.IFS(Table9[[#This Row],[Potential New Sectors
(50%)]]&gt;5, 4, Table9[[#This Row],[Potential New Sectors
(50%)]]&lt;2,0, TRUE, 2)</f>
        <v>2</v>
      </c>
      <c r="AL17" s="529">
        <f>Table9[[#This Row],[Potential New Sectors Score]]*'Detailed Rubric V3'!$F$25</f>
        <v>1</v>
      </c>
      <c r="AM17" s="232">
        <f>(Table9[[#This Row],[Existing Sectors Weighted Score]]+Table9[[#This Row],[Potential New Sectors Weighted Score]])*'Detailed Rubric V3'!$C$23</f>
        <v>0.15</v>
      </c>
      <c r="AN17" s="530">
        <f>SUM(Table9[[#This Row],[1.1. Land Details (20% weightage)]],Table9[[#This Row],[1.2. BEZA Existing plans (15% weightage)]],Table9[[#This Row],[1.3. Sector Demand (15% weightage):]])</f>
        <v>1.39</v>
      </c>
      <c r="AO17" s="531">
        <f>_xlfn.RANK.EQ(Table9[[#This Row],[Level 1 Score]],$AN$3:$AN$103)</f>
        <v>10</v>
      </c>
      <c r="AP17" s="529">
        <v>52</v>
      </c>
      <c r="AQ17" s="529" cm="1">
        <f t="array" ref="AQ17">_xlfn.IFS(Table9[[#This Row],[National Highway Connectivity (km)
(15%)]]="", 0, Table9[[#This Row],[National Highway Connectivity (km)
(15%)]]&gt;50, 0, Table9[[#This Row],[National Highway Connectivity (km)
(15%)]]&lt;=25, 4, TRUE, 2)</f>
        <v>0</v>
      </c>
      <c r="AR17" s="529">
        <f>Table9[[#This Row],[National Highway Connectivity Score]]*'Detailed Rubric V3'!$C$35</f>
        <v>0</v>
      </c>
      <c r="AS17" s="529" t="s">
        <v>418</v>
      </c>
      <c r="AT17" s="529" cm="1">
        <f t="array" ref="AT17">_xlfn.IFS(Table9[[#This Row],[Connecting Road to Highway (km)
(15%)]]="", 0, Table9[[#This Row],[Connecting Road to Highway (km)
(15%)]]="Yes", 4, TRUE, 0)</f>
        <v>0</v>
      </c>
      <c r="AU17" s="529">
        <f>Table9[[#This Row],[Connecting Road to Highway Score]]*'Detailed Rubric V3'!$F$35</f>
        <v>0</v>
      </c>
      <c r="AV17" s="529">
        <v>216</v>
      </c>
      <c r="AW17" s="529" cm="1">
        <f t="array" ref="AW17">_xlfn.IFS(Table9[[#This Row],[Seaport Connectivity (km)
(30%)]]="",0, Table9[[#This Row],[Seaport Connectivity (km)
(30%)]]&gt;400, 0,Table9[[#This Row],[Seaport Connectivity (km)
(30%)]]&lt;=200,4, TRUE, 2)</f>
        <v>2</v>
      </c>
      <c r="AX17" s="529">
        <f>Table9[[#This Row],[Seaport Connectivity Score]]*'Detailed Rubric V3'!$I$35</f>
        <v>0.6</v>
      </c>
      <c r="AY17" s="529">
        <v>80</v>
      </c>
      <c r="AZ17" s="529" cm="1">
        <f t="array" ref="AZ17">_xlfn.IFS(Table9[[#This Row],[Airport Connectivity (km)
(10%)]]="", 0, Table9[[#This Row],[Airport Connectivity (km)
(10%)]]&gt;200, 0, Table9[[#This Row],[Airport Connectivity (km)
(10%)]]&lt;=100,4,TRUE, 2)</f>
        <v>4</v>
      </c>
      <c r="BA17" s="529">
        <f>Table9[[#This Row],[Airport Connectivity Score]]*'Detailed Rubric V3'!$C$41</f>
        <v>0.4</v>
      </c>
      <c r="BB17" s="529">
        <v>160</v>
      </c>
      <c r="BC17" s="529" cm="1">
        <f t="array" ref="BC17">_xlfn.IFS(Table9[[#This Row],[Railway Station (km)
(10%)]]="", 0, Table9[[#This Row],[Railway Station (km)
(10%)]]&gt;150, 0,Table9[[#This Row],[Railway Station (km)
(10%)]]&lt;=50,4, TRUE, 2)</f>
        <v>0</v>
      </c>
      <c r="BD17" s="529">
        <f>Table9[[#This Row],[Railway Station Score]]*'Detailed Rubric V3'!$F$41</f>
        <v>0</v>
      </c>
      <c r="BE17" s="529">
        <v>10</v>
      </c>
      <c r="BF17" s="529" cm="1">
        <f t="array" ref="BF17">_xlfn.IFS(Table9[[#This Row],[Inland waterway/ Land port (km)
(20%)]]="", 0, Table9[[#This Row],[Inland waterway/ Land port (km)
(20%)]]&gt;200, 0,Table9[[#This Row],[Inland waterway/ Land port (km)
(20%)]]&lt;=50,4, TRUE, 2)</f>
        <v>4</v>
      </c>
      <c r="BG17" s="529">
        <f>Table9[[#This Row],[Inland waterway/ Land port Score]]*'Detailed Rubric V3'!$I$41</f>
        <v>0.8</v>
      </c>
      <c r="BH17"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0.18000000000000002</v>
      </c>
      <c r="BI17" s="529">
        <v>80</v>
      </c>
      <c r="BJ17" s="529" cm="1">
        <f t="array" ref="BJ17">_xlfn.IFS(Table9[[#This Row],[Power Station (40%)]]="",0, Table9[[#This Row],[Power Station (40%)]]&gt;100, 0,Table9[[#This Row],[Power Station (40%)]]&lt;=50,4, TRUE, 2)</f>
        <v>2</v>
      </c>
      <c r="BK17" s="529">
        <f>Table9[[#This Row],[Power Station Score]]*'Detailed Rubric V3'!$C$53</f>
        <v>0.8</v>
      </c>
      <c r="BL17" s="529">
        <v>190</v>
      </c>
      <c r="BM17" s="529" cm="1">
        <f t="array" ref="BM17">IF(ISNUMBER(Table9[[#This Row],[Gas Station (20%)]]), _xlfn.IFS(Table9[[#This Row],[Gas Station (20%)]]="", 0, Table9[[#This Row],[Gas Station (20%)]]&gt;100, 0,Table9[[#This Row],[Gas Station (20%)]]&lt;=50,4, TRUE, 2), 0)</f>
        <v>0</v>
      </c>
      <c r="BN17" s="529">
        <f>Table9[[#This Row],[Gas Station Score]]*'Detailed Rubric V3'!$F$53</f>
        <v>0</v>
      </c>
      <c r="BO17" s="529">
        <v>20</v>
      </c>
      <c r="BP17" s="529" cm="1">
        <f t="array" ref="BP17">IF(ISNUMBER(Table9[[#This Row],[Source of Surface Water (40%)]]), _xlfn.IFS(Table9[[#This Row],[Source of Surface Water (40%)]]="", 0, Table9[[#This Row],[Source of Surface Water (40%)]]&gt;50, 0,Table9[[#This Row],[Source of Surface Water (40%)]]&lt;=20,4, TRUE, 2), 0)</f>
        <v>4</v>
      </c>
      <c r="BQ17" s="529">
        <f>Table9[[#This Row],[Source of Surface Water Score]]*'Detailed Rubric V3'!$I$53</f>
        <v>1.6</v>
      </c>
      <c r="BR17" s="529">
        <f>SUM(Table9[[#This Row],[Power Station Weighted Score]],Table9[[#This Row],[Gas Station Weighted Score]],Table9[[#This Row],[Source of Surface Water Weighted Score]])*'Detailed Rubric V3'!$C$51</f>
        <v>0.28800000000000003</v>
      </c>
      <c r="BS17" s="529" t="s">
        <v>417</v>
      </c>
      <c r="BT17" s="529" cm="1">
        <f t="array" ref="BT17">_xlfn.IFS(Table9[[#This Row],[Other BEZA EZ (20%)]]="", 0, Table9[[#This Row],[Other BEZA EZ (20%)]]="Yes", 4, TRUE, 0)</f>
        <v>4</v>
      </c>
      <c r="BU17" s="529">
        <f>Table9[[#This Row],[Other BEZA EZ Score]]*'Detailed Rubric V3'!$C$66</f>
        <v>0.8</v>
      </c>
      <c r="BV17" s="529" t="s">
        <v>417</v>
      </c>
      <c r="BW17" s="529" cm="1">
        <f t="array" ref="BW17">_xlfn.IFS(Table9[[#This Row],[BEPZA/ BHPTA/ BSCIC (20%)]]="", 0, Table9[[#This Row],[BEPZA/ BHPTA/ BSCIC (20%)]]="Yes", 4, TRUE, 0)</f>
        <v>4</v>
      </c>
      <c r="BX17" s="529">
        <f>Table9[[#This Row],[BEPZA/ BHPTA/ BSCIC Score]]*'Detailed Rubric V3'!$F$66</f>
        <v>0.8</v>
      </c>
      <c r="BY17" s="529">
        <v>38</v>
      </c>
      <c r="BZ17" s="529" cm="1">
        <f t="array" ref="BZ17">_xlfn.IFS(Table9[[#This Row],[Cluster Industries (from SMI) (20%)]]="", 0, Table9[[#This Row],[Cluster Industries (from SMI) (20%)]]&gt;100, 4, Table9[[#This Row],[Cluster Industries (from SMI) (20%)]]&lt;50, 0, TRUE, 2)</f>
        <v>0</v>
      </c>
      <c r="CA17" s="529">
        <f>Table9[[#This Row],[Cluster Industries (from SMI) Score]]*'Detailed Rubric V3'!$I$66</f>
        <v>0</v>
      </c>
      <c r="CB17" s="529" t="s">
        <v>417</v>
      </c>
      <c r="CC17" s="529" cm="1">
        <f t="array" ref="CC17">_xlfn.IFS(Table9[[#This Row],[Located on Industrial corridor (40%)]]="", 0, Table9[[#This Row],[Located on Industrial corridor (40%)]]="Yes", 4, TRUE, 0)</f>
        <v>4</v>
      </c>
      <c r="CD17" s="529">
        <f>Table9[[#This Row],[Located on Industrial corridor Score]]*'Detailed Rubric V3'!$L$66</f>
        <v>1.6</v>
      </c>
      <c r="CE17" s="529">
        <f>SUM(Table9[[#This Row],[Other BEZA EZ Weighted Score]],Table9[[#This Row],[BEPZA/ BHPTA/ BSCIC Weighted Score]],Table9[[#This Row],[Unorganized (from SMI) Weighted Score]],Table9[[#This Row],[Located on Industrial corridor Weighted Score]])*'Detailed Rubric V3'!$C$64</f>
        <v>0.32000000000000006</v>
      </c>
      <c r="CF17" s="529" t="s">
        <v>417</v>
      </c>
      <c r="CG17" s="529" cm="1">
        <f t="array" ref="CG17">_xlfn.IFS(Table9[[#This Row],[Economic/ Social priority (laggered area) (100%)]]="", 0, Table9[[#This Row],[Economic/ Social priority (laggered area) (100%)]]="Yes", 4, TRUE, 0)</f>
        <v>4</v>
      </c>
      <c r="CH17" s="529">
        <f>Table9[[#This Row],[Economic/ Social priority (laggered area) Score]]*'Detailed Rubric V3'!$C$82</f>
        <v>4</v>
      </c>
      <c r="CI17" s="529" t="s">
        <v>417</v>
      </c>
      <c r="CJ17" s="529" cm="1">
        <f t="array" ref="CJ17">_xlfn.IFS(Table9[[#This Row],[Regional Tax incentive  (0%)]]="", 0, Table9[[#This Row],[Regional Tax incentive  (0%)]]="Yes", 4, TRUE, 0)</f>
        <v>4</v>
      </c>
      <c r="CK17" s="529">
        <f>Table9[[#This Row],[Regional Tax incentive Score]]*'Detailed Rubric V3'!$F$82</f>
        <v>0</v>
      </c>
      <c r="CL17" s="529">
        <f>SUM(Table9[[#This Row],[Economic/ Social priority (laagered area) Weighted Score]],Table9[[#This Row],[Regional Tax incentive  Weighted Score]])*'Detailed Rubric V3'!$C$80</f>
        <v>0.16</v>
      </c>
      <c r="CM17" s="529">
        <v>260078</v>
      </c>
      <c r="CN17" s="529" cm="1">
        <f t="array" ref="CN17">_xlfn.IFS(Table9[[#This Row],[Employable population (40%) 2013]]="", 0, Table9[[#This Row],[Employable population (40%) 2013]]&gt;200000, 4, Table9[[#This Row],[Employable population (40%) 2013]]&lt;100000,0, TRUE, 2)</f>
        <v>4</v>
      </c>
      <c r="CO17" s="529">
        <f>Table9[[#This Row],[Employable population Score]]*'Detailed Rubric V3'!$C$92</f>
        <v>1.6</v>
      </c>
      <c r="CP17" s="529">
        <v>62</v>
      </c>
      <c r="CQ17" s="529" cm="1">
        <f t="array" ref="CQ17">_xlfn.IFS(Table9[[#This Row],[Housing (20%)]]="", 0, Table9[[#This Row],[Housing (20%)]]&gt;50, 0, Table9[[#This Row],[Housing (20%)]]&lt;25, 4, TRUE, 2)</f>
        <v>0</v>
      </c>
      <c r="CR17" s="529">
        <f>Table9[[#This Row],[Housing Score]]*'Detailed Rubric V3'!$F$92</f>
        <v>0</v>
      </c>
      <c r="CS17" s="529">
        <v>86</v>
      </c>
      <c r="CT17" s="529" cm="1">
        <f t="array" ref="CT17">_xlfn.IFS(Table9[[#This Row],[Hotels (10%)]]="", 0, Table9[[#This Row],[Hotels (10%)]]&gt;25, 4, Table9[[#This Row],[Hotels (10%)]]&lt;5, 0, TRUE, 2)</f>
        <v>4</v>
      </c>
      <c r="CU17" s="529">
        <f>Table9[[#This Row],[Hotels Score]]*'Detailed Rubric V3'!$I$92</f>
        <v>0.4</v>
      </c>
      <c r="CV17" s="529">
        <v>61</v>
      </c>
      <c r="CW17" s="529" cm="1">
        <f t="array" ref="CW17">_xlfn.IFS(Table9[[#This Row],[Health (Hospital) (15%)]]="", 0, Table9[[#This Row],[Health (Hospital) (15%)]]&gt;10, 4, Table9[[#This Row],[Health (Hospital) (15%)]]&lt;5, 0, TRUE, 2)</f>
        <v>4</v>
      </c>
      <c r="CX17" s="529">
        <f>Table9[[#This Row],[Health (Hospital) Score]]*'Detailed Rubric V3'!$L$92</f>
        <v>0.6</v>
      </c>
      <c r="CY17" s="529">
        <v>24</v>
      </c>
      <c r="CZ17" s="529" cm="1">
        <f t="array" ref="CZ17">_xlfn.IFS(Table9[[#This Row],[University/ Technical &amp; Vocational Institutions (15%)]]="", 0, Table9[[#This Row],[University/ Technical &amp; Vocational Institutions (15%)]]&gt;3, 4, Table9[[#This Row],[University/ Technical &amp; Vocational Institutions (15%)]]&lt;1, 0, TRUE, 2)</f>
        <v>4</v>
      </c>
      <c r="DA17" s="529">
        <f>Table9[[#This Row],[University/ Technical &amp; Vocational Institutions Score]]*'Detailed Rubric V3'!$O$92</f>
        <v>0.6</v>
      </c>
      <c r="DB17" s="529">
        <f>SUM(Table9[[#This Row],[Employable population Weighted Score]],Table9[[#This Row],[Housing Weighted Score]],Table9[[#This Row],[Hotels Weighted Score]],Table9[[#This Row],[Health (Hospital) Weighted Score]],Table9[[#This Row],[University/ Technical &amp; Vocational Institutions Weighted Score]])*'Detailed Rubric V3'!$C$90</f>
        <v>0.25600000000000001</v>
      </c>
      <c r="DC17" s="529" t="s">
        <v>417</v>
      </c>
      <c r="DD17" s="529" cm="1">
        <f t="array" ref="DD17">_xlfn.IFS(Table9[[#This Row],[Environment compliance (30%)]]="", 0, Table9[[#This Row],[Environment compliance (30%)]]="Yes", 4, TRUE, 0)</f>
        <v>4</v>
      </c>
      <c r="DE17" s="529">
        <f>Table9[[#This Row],[Environment compliance Score]]*'Detailed Rubric V3'!$C$104</f>
        <v>1.2</v>
      </c>
      <c r="DF17" s="529" t="s">
        <v>419</v>
      </c>
      <c r="DG17" s="529" cm="1">
        <f t="array" ref="DG17">_xlfn.IFS(Table9[[#This Row],[Flood Risk Index (30%)]]="", 0, Table9[[#This Row],[Flood Risk Index (30%)]]="Very Low", 4, Table9[[#This Row],[Flood Risk Index (30%)]]="Moderate &amp; Low", 2, TRUE, 0)</f>
        <v>2</v>
      </c>
      <c r="DH17" s="529">
        <f>Table9[[#This Row],[Flood Risk Index Score]]*'Detailed Rubric V3'!$F$104</f>
        <v>0.6</v>
      </c>
      <c r="DI17" s="529" t="s">
        <v>419</v>
      </c>
      <c r="DJ17" s="529" cm="1">
        <f t="array" ref="DJ17">_xlfn.IFS(Table9[[#This Row],[Earth Quake Risk Index (10%)]]="", 0, Table9[[#This Row],[Earth Quake Risk Index (10%)]]="Very Low", 4, Table9[[#This Row],[Earth Quake Risk Index (10%)]]="Moderate &amp; Low", 2, TRUE, 0)</f>
        <v>2</v>
      </c>
      <c r="DK17" s="529">
        <f>Table9[[#This Row],[Earth Quake Risk Index Score]]*'Detailed Rubric V3'!$I$104</f>
        <v>0.2</v>
      </c>
      <c r="DL17" s="529" t="s">
        <v>419</v>
      </c>
      <c r="DM17" s="529" cm="1">
        <f t="array" ref="DM17">_xlfn.IFS(Table9[[#This Row],[Sea Level Rise Risk Index (10%)]]="", 0, Table9[[#This Row],[Sea Level Rise Risk Index (10%)]]="Very Low", 4, Table9[[#This Row],[Sea Level Rise Risk Index (10%)]]="Moderate &amp; Low", 2, TRUE, 0)</f>
        <v>2</v>
      </c>
      <c r="DN17" s="529">
        <f>Table9[[#This Row],[Sea Level Rise  Risk Index Score]]*'Detailed Rubric V3'!$L$104</f>
        <v>0.2</v>
      </c>
      <c r="DO17" s="529" t="s">
        <v>420</v>
      </c>
      <c r="DP17" s="529" cm="1">
        <f t="array" ref="DP17">_xlfn.IFS(Table9[[#This Row],[Cyclone Risk Index (10%)]]="", 0, Table9[[#This Row],[Cyclone Risk Index (10%)]]="Very Low", 4, Table9[[#This Row],[Cyclone Risk Index (10%)]]="Moderate &amp; Low", 2, TRUE, 0)</f>
        <v>0</v>
      </c>
      <c r="DQ17" s="529">
        <f>Table9[[#This Row],[Cyclone Risk Index Score]]*'Detailed Rubric V3'!$O$104</f>
        <v>0</v>
      </c>
      <c r="DR17" s="529" t="s">
        <v>419</v>
      </c>
      <c r="DS17" s="529" cm="1">
        <f t="array" ref="DS17">_xlfn.IFS(Table9[[#This Row],[Storm Surge Risk Index (10%)]]="", 0, Table9[[#This Row],[Storm Surge Risk Index (10%)]]="Very Low", 4, Table9[[#This Row],[Storm Surge Risk Index (10%)]]="Moderate &amp; Low", 2, TRUE, 0)</f>
        <v>2</v>
      </c>
      <c r="DT17" s="529">
        <f>Table9[[#This Row],[Storm Surge Risk Index Score]]*'Detailed Rubric V3'!$R$104</f>
        <v>0.2</v>
      </c>
      <c r="DU17"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0.14399999999999999</v>
      </c>
      <c r="DV17" s="533">
        <f>SUM(Table9[[#This Row],[2.1. Connectivity/ Logistics (10% weightage)]],Table9[[#This Row],[2.2. Utility (12% weightage)]],Table9[[#This Row],[2.3. Agglomeration effects (10% weightage)]],Table9[[#This Row],[2.4. Regional Policy (4% weightage)]],Table9[[#This Row],[2.5. Social (8% weightage)]],Table9[[#This Row],[2.6. Environment (6% weightage)]])</f>
        <v>1.3480000000000001</v>
      </c>
      <c r="DW17" s="232">
        <f>_xlfn.RANK.EQ(Table9[[#This Row],[Level 2 Score]],$DV$3:$DV$103)</f>
        <v>41</v>
      </c>
      <c r="DX17" s="533">
        <f>Table9[[#This Row],[Level 1 Score]]+Table9[[#This Row],[Level 2 Score]]</f>
        <v>2.738</v>
      </c>
      <c r="DY17" s="232">
        <f>_xlfn.RANK.EQ(Table9[[#This Row],[Total Score]],$DX$3:$DX$103)</f>
        <v>17</v>
      </c>
      <c r="DZ17" s="237" t="str">
        <f>IF(Table9[[#This Row],[Count of Blanks]]&lt;=2, "Yes", "No")</f>
        <v>Yes</v>
      </c>
      <c r="EA17" s="237">
        <f>COUNTBLANK(Table9[[#This Row],[Name]:[Total Score Rank]])</f>
        <v>0</v>
      </c>
      <c r="EB17" s="613" t="s">
        <v>417</v>
      </c>
    </row>
    <row r="18" spans="2:132" ht="27" x14ac:dyDescent="0.25">
      <c r="B18" s="220">
        <v>3</v>
      </c>
      <c r="C18" s="721" t="s">
        <v>42</v>
      </c>
      <c r="D18" s="293" t="s">
        <v>68</v>
      </c>
      <c r="E18" s="293" t="s">
        <v>68</v>
      </c>
      <c r="F18" s="293" t="s">
        <v>81</v>
      </c>
      <c r="G18" s="293" t="s">
        <v>70</v>
      </c>
      <c r="H18" s="534" t="s">
        <v>422</v>
      </c>
      <c r="I18" s="70" t="s">
        <v>455</v>
      </c>
      <c r="J18" s="535" t="s">
        <v>444</v>
      </c>
      <c r="K18" s="293">
        <f>IFERROR(VLOOKUP(Table9[[#This Row],[Land Availability (Grade)​
(50%)]],'Detailed Rubric V3'!$B$8:$C$11,2), 0)</f>
        <v>0</v>
      </c>
      <c r="L18" s="293">
        <f>IFERROR(Table9[[#This Row],[Land Availability (Grade)​ Score]]*'Detailed Rubric V3'!$C$6, "")</f>
        <v>0</v>
      </c>
      <c r="M18" s="290">
        <v>634.9</v>
      </c>
      <c r="N18" s="290" cm="1">
        <f t="array" ref="N18">_xlfn.IFS(Table9[[#This Row],[Land Size (Acres)
(15%)]]&lt;100,0,Table9[[#This Row],[Land Size (Acres)
(15%)]]&gt;500,4,TRUE,2)</f>
        <v>4</v>
      </c>
      <c r="O18" s="290">
        <f>Table9[[#This Row],[Land Size (Acres) Score]]*'Detailed Rubric V3'!$G$6</f>
        <v>0.6</v>
      </c>
      <c r="P18" s="536"/>
      <c r="Q18" s="536">
        <f>IFERROR(Table9[[#This Row],[Site Filling Cost (Mn BDT)]]/Table9[[#This Row],[Land Size (Acres)
(15%)]],"")</f>
        <v>0</v>
      </c>
      <c r="R18" s="536" cm="1">
        <f t="array" ref="R18">IF(Table9[[#This Row],[Name]]="Sitakundo Economic Zone", 4, _xlfn.IFS(Table9[[#This Row],[Site Filling Cost (Mn BDT)]]="",0,Table9[[#This Row],[Land Suitability
(Cost of Land Filling in Million BDT per acre)
(25%)]]&gt;5,0,Table9[[#This Row],[Land Suitability
(Cost of Land Filling in Million BDT per acre)
(25%)]]&lt;2,4,TRUE,2))</f>
        <v>0</v>
      </c>
      <c r="S18" s="536">
        <f>Table9[[#This Row],[Land Suitability for Construction Score]]*'Detailed Rubric V3'!$J$6</f>
        <v>0</v>
      </c>
      <c r="T18" s="536"/>
      <c r="U18" s="536">
        <f>IFERROR(Table9[[#This Row],[Embankment/Dyke Cost (Mn BDT)]]/Table9[[#This Row],[Land Size (Acres)
(15%)]], 0)</f>
        <v>0</v>
      </c>
      <c r="V18" s="536" cm="1">
        <f t="array" ref="V18">IF(Table9[[#This Row],[Name]]="Sitakundo Economic Zone", 2, _xlfn.IFS(Table9[[#This Row],[Embankment/Dyke Cost (Mn BDT)]]="",0,Table9[[#This Row],[Cost of DRRI Infrastructure in million BDT per acre
(10%)]]&gt;5,0,Table9[[#This Row],[Cost of DRRI Infrastructure in million BDT per acre
(10%)]]&lt;2,4,TRUE,2))</f>
        <v>0</v>
      </c>
      <c r="W18" s="536">
        <f>Table9[[#This Row],[Requirement for Distaster Risk Reduction &amp; Resilience Infrastructure Score]]*'Detailed Rubric V3'!$M$6</f>
        <v>0</v>
      </c>
      <c r="X18" s="53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18" s="506" t="s">
        <v>436</v>
      </c>
      <c r="Z18" s="538">
        <f>IFERROR(VLOOKUP(Table9[[#This Row],[Zone Priority
(40%)]],'Detailed Rubric V3'!$B$18:$C$21, 2,FALSE), 0)</f>
        <v>0</v>
      </c>
      <c r="AA18" s="538">
        <f>IFERROR(Table9[[#This Row],[Zone Priority Score]]*'Detailed Rubric V3'!$C$16, 0)</f>
        <v>0</v>
      </c>
      <c r="AB18" s="291" t="s">
        <v>416</v>
      </c>
      <c r="AC18" s="291">
        <f>VLOOKUP(Table9[[#This Row],[Existing BEZA Report
(60%)]],'Detailed Rubric V3'!$E$18:$F$20,2,FALSE)</f>
        <v>4</v>
      </c>
      <c r="AD18" s="291">
        <f>Table9[[#This Row],[Existing BEZA Report Score]]*'Detailed Rubric V3'!F$16</f>
        <v>4</v>
      </c>
      <c r="AE18" s="291">
        <f>(Table9[[#This Row],[Zone Priority Weighted Score]]+Table9[[#This Row],[Existing BEZA Report Weighted Score]])*'Detailed Rubric V3'!$C$14</f>
        <v>0.6</v>
      </c>
      <c r="AF18" s="539">
        <v>19</v>
      </c>
      <c r="AG18" s="291" cm="1">
        <f t="array" ref="AG18">_xlfn.IFS(Table9[[#This Row],[Existing Sectors
(50%)]]&gt;10, 4,Table9[[#This Row],[Existing Sectors
(50%)]]&lt;5, 0, TRUE, 2)</f>
        <v>4</v>
      </c>
      <c r="AH18" s="291">
        <f>Table9[[#This Row],[Existing Sectors Score]]*'Detailed Rubric V3'!$C$25</f>
        <v>2</v>
      </c>
      <c r="AI18" s="291">
        <v>19</v>
      </c>
      <c r="AJ18" s="291">
        <v>0</v>
      </c>
      <c r="AK18" s="291" cm="1">
        <f t="array" ref="AK18">_xlfn.IFS(Table9[[#This Row],[Potential New Sectors
(50%)]]&gt;5, 4, Table9[[#This Row],[Potential New Sectors
(50%)]]&lt;2,0, TRUE, 2)</f>
        <v>0</v>
      </c>
      <c r="AL18" s="291">
        <f>Table9[[#This Row],[Potential New Sectors Score]]*'Detailed Rubric V3'!$F$25</f>
        <v>0</v>
      </c>
      <c r="AM18" s="292">
        <f>(Table9[[#This Row],[Existing Sectors Weighted Score]]+Table9[[#This Row],[Potential New Sectors Weighted Score]])*'Detailed Rubric V3'!$C$23</f>
        <v>0.3</v>
      </c>
      <c r="AN18" s="540">
        <f>SUM(Table9[[#This Row],[1.1. Land Details (20% weightage)]],Table9[[#This Row],[1.2. BEZA Existing plans (15% weightage)]],Table9[[#This Row],[1.3. Sector Demand (15% weightage):]])</f>
        <v>1.02</v>
      </c>
      <c r="AO18" s="541">
        <f>_xlfn.RANK.EQ(Table9[[#This Row],[Level 1 Score]],$AN$3:$AN$103)</f>
        <v>23</v>
      </c>
      <c r="AP18" s="529">
        <v>20</v>
      </c>
      <c r="AQ18" s="529" cm="1">
        <f t="array" ref="AQ18">_xlfn.IFS(Table9[[#This Row],[National Highway Connectivity (km)
(15%)]]="", 0, Table9[[#This Row],[National Highway Connectivity (km)
(15%)]]&gt;50, 0, Table9[[#This Row],[National Highway Connectivity (km)
(15%)]]&lt;=25, 4, TRUE, 2)</f>
        <v>4</v>
      </c>
      <c r="AR18" s="529">
        <f>Table9[[#This Row],[National Highway Connectivity Score]]*'Detailed Rubric V3'!$C$35</f>
        <v>0.6</v>
      </c>
      <c r="AS18" s="529" t="s">
        <v>417</v>
      </c>
      <c r="AT18" s="529" cm="1">
        <f t="array" ref="AT18">_xlfn.IFS(Table9[[#This Row],[Connecting Road to Highway (km)
(15%)]]="", 0, Table9[[#This Row],[Connecting Road to Highway (km)
(15%)]]="Yes", 4, TRUE, 0)</f>
        <v>4</v>
      </c>
      <c r="AU18" s="529">
        <f>Table9[[#This Row],[Connecting Road to Highway Score]]*'Detailed Rubric V3'!$F$35</f>
        <v>0.6</v>
      </c>
      <c r="AV18" s="529">
        <v>18</v>
      </c>
      <c r="AW18" s="529" cm="1">
        <f t="array" ref="AW18">_xlfn.IFS(Table9[[#This Row],[Seaport Connectivity (km)
(30%)]]="",0, Table9[[#This Row],[Seaport Connectivity (km)
(30%)]]&gt;400, 0,Table9[[#This Row],[Seaport Connectivity (km)
(30%)]]&lt;=200,4, TRUE, 2)</f>
        <v>4</v>
      </c>
      <c r="AX18" s="529">
        <f>Table9[[#This Row],[Seaport Connectivity Score]]*'Detailed Rubric V3'!$I$35</f>
        <v>1.2</v>
      </c>
      <c r="AY18" s="529">
        <v>30</v>
      </c>
      <c r="AZ18" s="529" cm="1">
        <f t="array" ref="AZ18">_xlfn.IFS(Table9[[#This Row],[Airport Connectivity (km)
(10%)]]="", 0, Table9[[#This Row],[Airport Connectivity (km)
(10%)]]&gt;200, 0, Table9[[#This Row],[Airport Connectivity (km)
(10%)]]&lt;=100,4,TRUE, 2)</f>
        <v>4</v>
      </c>
      <c r="BA18" s="529">
        <f>Table9[[#This Row],[Airport Connectivity Score]]*'Detailed Rubric V3'!$C$41</f>
        <v>0.4</v>
      </c>
      <c r="BB18" s="529">
        <v>17</v>
      </c>
      <c r="BC18" s="529" cm="1">
        <f t="array" ref="BC18">_xlfn.IFS(Table9[[#This Row],[Railway Station (km)
(10%)]]="", 0, Table9[[#This Row],[Railway Station (km)
(10%)]]&gt;150, 0,Table9[[#This Row],[Railway Station (km)
(10%)]]&lt;=50,4, TRUE, 2)</f>
        <v>4</v>
      </c>
      <c r="BD18" s="529">
        <f>Table9[[#This Row],[Railway Station Score]]*'Detailed Rubric V3'!$F$41</f>
        <v>0.4</v>
      </c>
      <c r="BE18" s="529">
        <v>15</v>
      </c>
      <c r="BF18" s="529" cm="1">
        <f t="array" ref="BF18">_xlfn.IFS(Table9[[#This Row],[Inland waterway/ Land port (km)
(20%)]]="", 0, Table9[[#This Row],[Inland waterway/ Land port (km)
(20%)]]&gt;200, 0,Table9[[#This Row],[Inland waterway/ Land port (km)
(20%)]]&lt;=50,4, TRUE, 2)</f>
        <v>4</v>
      </c>
      <c r="BG18" s="529">
        <f>Table9[[#This Row],[Inland waterway/ Land port Score]]*'Detailed Rubric V3'!$I$41</f>
        <v>0.8</v>
      </c>
      <c r="BH18"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0.4</v>
      </c>
      <c r="BI18" s="529">
        <v>4</v>
      </c>
      <c r="BJ18" s="529" cm="1">
        <f t="array" ref="BJ18">_xlfn.IFS(Table9[[#This Row],[Power Station (40%)]]="",0, Table9[[#This Row],[Power Station (40%)]]&gt;100, 0,Table9[[#This Row],[Power Station (40%)]]&lt;=50,4, TRUE, 2)</f>
        <v>4</v>
      </c>
      <c r="BK18" s="529">
        <f>Table9[[#This Row],[Power Station Score]]*'Detailed Rubric V3'!$C$53</f>
        <v>1.6</v>
      </c>
      <c r="BL18" s="529">
        <v>2</v>
      </c>
      <c r="BM18" s="529" cm="1">
        <f t="array" ref="BM18">IF(ISNUMBER(Table9[[#This Row],[Gas Station (20%)]]), _xlfn.IFS(Table9[[#This Row],[Gas Station (20%)]]="", 0, Table9[[#This Row],[Gas Station (20%)]]&gt;100, 0,Table9[[#This Row],[Gas Station (20%)]]&lt;=50,4, TRUE, 2), 0)</f>
        <v>4</v>
      </c>
      <c r="BN18" s="529">
        <f>Table9[[#This Row],[Gas Station Score]]*'Detailed Rubric V3'!$F$53</f>
        <v>0.8</v>
      </c>
      <c r="BO18" s="529">
        <v>4</v>
      </c>
      <c r="BP18" s="529" cm="1">
        <f t="array" ref="BP18">IF(ISNUMBER(Table9[[#This Row],[Source of Surface Water (40%)]]), _xlfn.IFS(Table9[[#This Row],[Source of Surface Water (40%)]]="", 0, Table9[[#This Row],[Source of Surface Water (40%)]]&gt;50, 0,Table9[[#This Row],[Source of Surface Water (40%)]]&lt;=20,4, TRUE, 2), 0)</f>
        <v>4</v>
      </c>
      <c r="BQ18" s="529">
        <f>Table9[[#This Row],[Source of Surface Water Score]]*'Detailed Rubric V3'!$I$53</f>
        <v>1.6</v>
      </c>
      <c r="BR18" s="529">
        <f>SUM(Table9[[#This Row],[Power Station Weighted Score]],Table9[[#This Row],[Gas Station Weighted Score]],Table9[[#This Row],[Source of Surface Water Weighted Score]])*'Detailed Rubric V3'!$C$51</f>
        <v>0.48</v>
      </c>
      <c r="BS18" s="529" t="s">
        <v>417</v>
      </c>
      <c r="BT18" s="529" cm="1">
        <f t="array" ref="BT18">_xlfn.IFS(Table9[[#This Row],[Other BEZA EZ (20%)]]="", 0, Table9[[#This Row],[Other BEZA EZ (20%)]]="Yes", 4, TRUE, 0)</f>
        <v>4</v>
      </c>
      <c r="BU18" s="529">
        <f>Table9[[#This Row],[Other BEZA EZ Score]]*'Detailed Rubric V3'!$C$66</f>
        <v>0.8</v>
      </c>
      <c r="BV18" s="529" t="s">
        <v>417</v>
      </c>
      <c r="BW18" s="529" cm="1">
        <f t="array" ref="BW18">_xlfn.IFS(Table9[[#This Row],[BEPZA/ BHPTA/ BSCIC (20%)]]="", 0, Table9[[#This Row],[BEPZA/ BHPTA/ BSCIC (20%)]]="Yes", 4, TRUE, 0)</f>
        <v>4</v>
      </c>
      <c r="BX18" s="529">
        <f>Table9[[#This Row],[BEPZA/ BHPTA/ BSCIC Score]]*'Detailed Rubric V3'!$F$66</f>
        <v>0.8</v>
      </c>
      <c r="BY18" s="529">
        <v>568</v>
      </c>
      <c r="BZ18" s="529" cm="1">
        <f t="array" ref="BZ18">_xlfn.IFS(Table9[[#This Row],[Cluster Industries (from SMI) (20%)]]="", 0, Table9[[#This Row],[Cluster Industries (from SMI) (20%)]]&gt;100, 4, Table9[[#This Row],[Cluster Industries (from SMI) (20%)]]&lt;50, 0, TRUE, 2)</f>
        <v>4</v>
      </c>
      <c r="CA18" s="529">
        <f>Table9[[#This Row],[Cluster Industries (from SMI) Score]]*'Detailed Rubric V3'!$I$66</f>
        <v>0.8</v>
      </c>
      <c r="CB18" s="529" t="s">
        <v>417</v>
      </c>
      <c r="CC18" s="529" cm="1">
        <f t="array" ref="CC18">_xlfn.IFS(Table9[[#This Row],[Located on Industrial corridor (40%)]]="", 0, Table9[[#This Row],[Located on Industrial corridor (40%)]]="Yes", 4, TRUE, 0)</f>
        <v>4</v>
      </c>
      <c r="CD18" s="529">
        <f>Table9[[#This Row],[Located on Industrial corridor Score]]*'Detailed Rubric V3'!$L$66</f>
        <v>1.6</v>
      </c>
      <c r="CE18" s="529">
        <f>SUM(Table9[[#This Row],[Other BEZA EZ Weighted Score]],Table9[[#This Row],[BEPZA/ BHPTA/ BSCIC Weighted Score]],Table9[[#This Row],[Unorganized (from SMI) Weighted Score]],Table9[[#This Row],[Located on Industrial corridor Weighted Score]])*'Detailed Rubric V3'!$C$64</f>
        <v>0.4</v>
      </c>
      <c r="CF18" s="529" t="s">
        <v>418</v>
      </c>
      <c r="CG18" s="529" cm="1">
        <f t="array" ref="CG18">_xlfn.IFS(Table9[[#This Row],[Economic/ Social priority (laggered area) (100%)]]="", 0, Table9[[#This Row],[Economic/ Social priority (laggered area) (100%)]]="Yes", 4, TRUE, 0)</f>
        <v>0</v>
      </c>
      <c r="CH18" s="529">
        <f>Table9[[#This Row],[Economic/ Social priority (laggered area) Score]]*'Detailed Rubric V3'!$C$82</f>
        <v>0</v>
      </c>
      <c r="CI18" s="529" t="s">
        <v>418</v>
      </c>
      <c r="CJ18" s="529" cm="1">
        <f t="array" ref="CJ18">_xlfn.IFS(Table9[[#This Row],[Regional Tax incentive  (0%)]]="", 0, Table9[[#This Row],[Regional Tax incentive  (0%)]]="Yes", 4, TRUE, 0)</f>
        <v>0</v>
      </c>
      <c r="CK18" s="529">
        <f>Table9[[#This Row],[Regional Tax incentive Score]]*'Detailed Rubric V3'!$F$82</f>
        <v>0</v>
      </c>
      <c r="CL18" s="529">
        <f>SUM(Table9[[#This Row],[Economic/ Social priority (laagered area) Weighted Score]],Table9[[#This Row],[Regional Tax incentive  Weighted Score]])*'Detailed Rubric V3'!$C$80</f>
        <v>0</v>
      </c>
      <c r="CM18" s="529">
        <v>1968862</v>
      </c>
      <c r="CN18" s="529" cm="1">
        <f t="array" ref="CN18">_xlfn.IFS(Table9[[#This Row],[Employable population (40%) 2013]]="", 0, Table9[[#This Row],[Employable population (40%) 2013]]&gt;200000, 4, Table9[[#This Row],[Employable population (40%) 2013]]&lt;100000,0, TRUE, 2)</f>
        <v>4</v>
      </c>
      <c r="CO18" s="529">
        <f>Table9[[#This Row],[Employable population Score]]*'Detailed Rubric V3'!$C$92</f>
        <v>1.6</v>
      </c>
      <c r="CP18" s="529">
        <v>15</v>
      </c>
      <c r="CQ18" s="529" cm="1">
        <f t="array" ref="CQ18">_xlfn.IFS(Table9[[#This Row],[Housing (20%)]]="", 0, Table9[[#This Row],[Housing (20%)]]&gt;50, 0, Table9[[#This Row],[Housing (20%)]]&lt;25, 4, TRUE, 2)</f>
        <v>4</v>
      </c>
      <c r="CR18" s="529">
        <f>Table9[[#This Row],[Housing Score]]*'Detailed Rubric V3'!$F$92</f>
        <v>0.8</v>
      </c>
      <c r="CS18" s="529">
        <v>76</v>
      </c>
      <c r="CT18" s="529" cm="1">
        <f t="array" ref="CT18">_xlfn.IFS(Table9[[#This Row],[Hotels (10%)]]="", 0, Table9[[#This Row],[Hotels (10%)]]&gt;25, 4, Table9[[#This Row],[Hotels (10%)]]&lt;5, 0, TRUE, 2)</f>
        <v>4</v>
      </c>
      <c r="CU18" s="529">
        <f>Table9[[#This Row],[Hotels Score]]*'Detailed Rubric V3'!$I$92</f>
        <v>0.4</v>
      </c>
      <c r="CV18" s="529">
        <v>217</v>
      </c>
      <c r="CW18" s="529" cm="1">
        <f t="array" ref="CW18">_xlfn.IFS(Table9[[#This Row],[Health (Hospital) (15%)]]="", 0, Table9[[#This Row],[Health (Hospital) (15%)]]&gt;10, 4, Table9[[#This Row],[Health (Hospital) (15%)]]&lt;5, 0, TRUE, 2)</f>
        <v>4</v>
      </c>
      <c r="CX18" s="529">
        <f>Table9[[#This Row],[Health (Hospital) Score]]*'Detailed Rubric V3'!$L$92</f>
        <v>0.6</v>
      </c>
      <c r="CY18" s="529">
        <v>34</v>
      </c>
      <c r="CZ18" s="529" cm="1">
        <f t="array" ref="CZ18">_xlfn.IFS(Table9[[#This Row],[University/ Technical &amp; Vocational Institutions (15%)]]="", 0, Table9[[#This Row],[University/ Technical &amp; Vocational Institutions (15%)]]&gt;3, 4, Table9[[#This Row],[University/ Technical &amp; Vocational Institutions (15%)]]&lt;1, 0, TRUE, 2)</f>
        <v>4</v>
      </c>
      <c r="DA18" s="529">
        <f>Table9[[#This Row],[University/ Technical &amp; Vocational Institutions Score]]*'Detailed Rubric V3'!$O$92</f>
        <v>0.6</v>
      </c>
      <c r="DB18"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18" s="529" t="s">
        <v>418</v>
      </c>
      <c r="DD18" s="529" cm="1">
        <f t="array" ref="DD18">_xlfn.IFS(Table9[[#This Row],[Environment compliance (30%)]]="", 0, Table9[[#This Row],[Environment compliance (30%)]]="Yes", 4, TRUE, 0)</f>
        <v>0</v>
      </c>
      <c r="DE18" s="529">
        <f>Table9[[#This Row],[Environment compliance Score]]*'Detailed Rubric V3'!$C$104</f>
        <v>0</v>
      </c>
      <c r="DF18" s="529" t="s">
        <v>419</v>
      </c>
      <c r="DG18" s="529" cm="1">
        <f t="array" ref="DG18">_xlfn.IFS(Table9[[#This Row],[Flood Risk Index (30%)]]="", 0, Table9[[#This Row],[Flood Risk Index (30%)]]="Very Low", 4, Table9[[#This Row],[Flood Risk Index (30%)]]="Moderate &amp; Low", 2, TRUE, 0)</f>
        <v>2</v>
      </c>
      <c r="DH18" s="529">
        <f>Table9[[#This Row],[Flood Risk Index Score]]*'Detailed Rubric V3'!$F$104</f>
        <v>0.6</v>
      </c>
      <c r="DI18" s="529" t="s">
        <v>419</v>
      </c>
      <c r="DJ18" s="529" cm="1">
        <f t="array" ref="DJ18">_xlfn.IFS(Table9[[#This Row],[Earth Quake Risk Index (10%)]]="", 0, Table9[[#This Row],[Earth Quake Risk Index (10%)]]="Very Low", 4, Table9[[#This Row],[Earth Quake Risk Index (10%)]]="Moderate &amp; Low", 2, TRUE, 0)</f>
        <v>2</v>
      </c>
      <c r="DK18" s="529">
        <f>Table9[[#This Row],[Earth Quake Risk Index Score]]*'Detailed Rubric V3'!$I$104</f>
        <v>0.2</v>
      </c>
      <c r="DL18" s="529" t="s">
        <v>419</v>
      </c>
      <c r="DM18" s="529" cm="1">
        <f t="array" ref="DM18">_xlfn.IFS(Table9[[#This Row],[Sea Level Rise Risk Index (10%)]]="", 0, Table9[[#This Row],[Sea Level Rise Risk Index (10%)]]="Very Low", 4, Table9[[#This Row],[Sea Level Rise Risk Index (10%)]]="Moderate &amp; Low", 2, TRUE, 0)</f>
        <v>2</v>
      </c>
      <c r="DN18" s="529">
        <f>Table9[[#This Row],[Sea Level Rise  Risk Index Score]]*'Detailed Rubric V3'!$L$104</f>
        <v>0.2</v>
      </c>
      <c r="DO18" s="529" t="s">
        <v>420</v>
      </c>
      <c r="DP18" s="529" cm="1">
        <f t="array" ref="DP18">_xlfn.IFS(Table9[[#This Row],[Cyclone Risk Index (10%)]]="", 0, Table9[[#This Row],[Cyclone Risk Index (10%)]]="Very Low", 4, Table9[[#This Row],[Cyclone Risk Index (10%)]]="Moderate &amp; Low", 2, TRUE, 0)</f>
        <v>0</v>
      </c>
      <c r="DQ18" s="529">
        <f>Table9[[#This Row],[Cyclone Risk Index Score]]*'Detailed Rubric V3'!$O$104</f>
        <v>0</v>
      </c>
      <c r="DR18" s="529" t="s">
        <v>421</v>
      </c>
      <c r="DS18" s="529" cm="1">
        <f t="array" ref="DS18">_xlfn.IFS(Table9[[#This Row],[Storm Surge Risk Index (10%)]]="", 0, Table9[[#This Row],[Storm Surge Risk Index (10%)]]="Very Low", 4, Table9[[#This Row],[Storm Surge Risk Index (10%)]]="Moderate &amp; Low", 2, TRUE, 0)</f>
        <v>0</v>
      </c>
      <c r="DT18" s="529">
        <f>Table9[[#This Row],[Storm Surge Risk Index Score]]*'Detailed Rubric V3'!$R$104</f>
        <v>0</v>
      </c>
      <c r="DU18"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18" s="533">
        <f>SUM(Table9[[#This Row],[2.1. Connectivity/ Logistics (10% weightage)]],Table9[[#This Row],[2.2. Utility (12% weightage)]],Table9[[#This Row],[2.3. Agglomeration effects (10% weightage)]],Table9[[#This Row],[2.4. Regional Policy (4% weightage)]],Table9[[#This Row],[2.5. Social (8% weightage)]],Table9[[#This Row],[2.6. Environment (6% weightage)]])</f>
        <v>1.6600000000000001</v>
      </c>
      <c r="DW18" s="308">
        <f>_xlfn.RANK.EQ(Table9[[#This Row],[Level 2 Score]],$DV$3:$DV$103)</f>
        <v>8</v>
      </c>
      <c r="DX18" s="533">
        <f>Table9[[#This Row],[Level 1 Score]]+Table9[[#This Row],[Level 2 Score]]</f>
        <v>2.68</v>
      </c>
      <c r="DY18" s="308">
        <f>_xlfn.RANK.EQ(Table9[[#This Row],[Total Score]],$DX$3:$DX$103)</f>
        <v>18</v>
      </c>
      <c r="DZ18" s="237" t="str">
        <f>IF(Table9[[#This Row],[Count of Blanks]]&lt;=2, "Yes", "No")</f>
        <v>Yes</v>
      </c>
      <c r="EA18" s="237">
        <f>COUNTBLANK(Table9[[#This Row],[Name]:[Total Score Rank]])</f>
        <v>2</v>
      </c>
      <c r="EB18" s="237"/>
    </row>
    <row r="19" spans="2:132" ht="18.5" customHeight="1" x14ac:dyDescent="0.25">
      <c r="B19" s="220">
        <v>8</v>
      </c>
      <c r="C19" s="221" t="s">
        <v>31</v>
      </c>
      <c r="D19" s="220" t="s">
        <v>68</v>
      </c>
      <c r="E19" s="220" t="s">
        <v>90</v>
      </c>
      <c r="F19" s="220" t="s">
        <v>91</v>
      </c>
      <c r="G19" s="220" t="s">
        <v>70</v>
      </c>
      <c r="H19" s="525" t="s">
        <v>422</v>
      </c>
      <c r="I19" s="70" t="s">
        <v>439</v>
      </c>
      <c r="J19" s="227" t="s">
        <v>412</v>
      </c>
      <c r="K19" s="220">
        <f>IFERROR(VLOOKUP(Table9[[#This Row],[Land Availability (Grade)​
(50%)]],'Detailed Rubric V3'!$B$8:$C$11,2), 0)</f>
        <v>4</v>
      </c>
      <c r="L19" s="220">
        <f>IFERROR(Table9[[#This Row],[Land Availability (Grade)​ Score]]*'Detailed Rubric V3'!$C$6, "")</f>
        <v>2</v>
      </c>
      <c r="M19" s="222">
        <v>3037.85</v>
      </c>
      <c r="N19" s="222" cm="1">
        <f t="array" ref="N19">_xlfn.IFS(Table9[[#This Row],[Land Size (Acres)
(15%)]]&lt;100,0,Table9[[#This Row],[Land Size (Acres)
(15%)]]&gt;500,4,TRUE,2)</f>
        <v>4</v>
      </c>
      <c r="O19" s="222">
        <f>Table9[[#This Row],[Land Size (Acres) Score]]*'Detailed Rubric V3'!$G$6</f>
        <v>0.6</v>
      </c>
      <c r="P19" s="526">
        <v>16555</v>
      </c>
      <c r="Q19" s="526">
        <f>IFERROR(Table9[[#This Row],[Site Filling Cost (Mn BDT)]]/Table9[[#This Row],[Land Size (Acres)
(15%)]],"")</f>
        <v>5.449577826423293</v>
      </c>
      <c r="R19" s="526" cm="1">
        <f t="array" ref="R19">IF(Table9[[#This Row],[Name]]="Sitakundo Economic Zone", 4, _xlfn.IFS(Table9[[#This Row],[Site Filling Cost (Mn BDT)]]="",0,Table9[[#This Row],[Land Suitability
(Cost of Land Filling in Million BDT per acre)
(25%)]]&gt;5,0,Table9[[#This Row],[Land Suitability
(Cost of Land Filling in Million BDT per acre)
(25%)]]&lt;2,4,TRUE,2))</f>
        <v>0</v>
      </c>
      <c r="S19" s="526">
        <f>Table9[[#This Row],[Land Suitability for Construction Score]]*'Detailed Rubric V3'!$J$6</f>
        <v>0</v>
      </c>
      <c r="T19" s="526">
        <v>2567.3000000000002</v>
      </c>
      <c r="U19" s="526">
        <f>IFERROR(Table9[[#This Row],[Embankment/Dyke Cost (Mn BDT)]]/Table9[[#This Row],[Land Size (Acres)
(15%)]], 0)</f>
        <v>0.84510426782099191</v>
      </c>
      <c r="V19" s="526" cm="1">
        <f t="array" ref="V19">IF(Table9[[#This Row],[Name]]="Sitakundo Economic Zone", 2, _xlfn.IFS(Table9[[#This Row],[Embankment/Dyke Cost (Mn BDT)]]="",0,Table9[[#This Row],[Cost of DRRI Infrastructure in million BDT per acre
(10%)]]&gt;5,0,Table9[[#This Row],[Cost of DRRI Infrastructure in million BDT per acre
(10%)]]&lt;2,4,TRUE,2))</f>
        <v>4</v>
      </c>
      <c r="W19" s="526">
        <f>Table9[[#This Row],[Requirement for Distaster Risk Reduction &amp; Resilience Infrastructure Score]]*'Detailed Rubric V3'!$M$6</f>
        <v>0.4</v>
      </c>
      <c r="X19"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0.60000000000000009</v>
      </c>
      <c r="Y19" s="227" t="s">
        <v>415</v>
      </c>
      <c r="Z19" s="210">
        <f>IFERROR(VLOOKUP(Table9[[#This Row],[Zone Priority
(40%)]],'Detailed Rubric V3'!$B$18:$C$21, 2,FALSE), 0)</f>
        <v>4</v>
      </c>
      <c r="AA19" s="210">
        <f>IFERROR(Table9[[#This Row],[Zone Priority Score]]*'Detailed Rubric V3'!$C$16, 0)</f>
        <v>0</v>
      </c>
      <c r="AB19" s="237" t="s">
        <v>416</v>
      </c>
      <c r="AC19" s="237">
        <f>VLOOKUP(Table9[[#This Row],[Existing BEZA Report
(60%)]],'Detailed Rubric V3'!$E$18:$F$20,2,FALSE)</f>
        <v>4</v>
      </c>
      <c r="AD19" s="237">
        <f>Table9[[#This Row],[Existing BEZA Report Score]]*'Detailed Rubric V3'!F$16</f>
        <v>4</v>
      </c>
      <c r="AE19" s="237">
        <f>(Table9[[#This Row],[Zone Priority Weighted Score]]+Table9[[#This Row],[Existing BEZA Report Weighted Score]])*'Detailed Rubric V3'!$C$14</f>
        <v>0.6</v>
      </c>
      <c r="AF19" s="528">
        <v>0</v>
      </c>
      <c r="AG19" s="529" cm="1">
        <f t="array" ref="AG19">_xlfn.IFS(Table9[[#This Row],[Existing Sectors
(50%)]]&gt;10, 4,Table9[[#This Row],[Existing Sectors
(50%)]]&lt;5, 0, TRUE, 2)</f>
        <v>0</v>
      </c>
      <c r="AH19" s="529">
        <f>Table9[[#This Row],[Existing Sectors Score]]*'Detailed Rubric V3'!$C$25</f>
        <v>0</v>
      </c>
      <c r="AI19" s="529">
        <v>0</v>
      </c>
      <c r="AJ19" s="529">
        <v>0</v>
      </c>
      <c r="AK19" s="529" cm="1">
        <f t="array" ref="AK19">_xlfn.IFS(Table9[[#This Row],[Potential New Sectors
(50%)]]&gt;5, 4, Table9[[#This Row],[Potential New Sectors
(50%)]]&lt;2,0, TRUE, 2)</f>
        <v>0</v>
      </c>
      <c r="AL19" s="529">
        <f>Table9[[#This Row],[Potential New Sectors Score]]*'Detailed Rubric V3'!$F$25</f>
        <v>0</v>
      </c>
      <c r="AM19" s="232">
        <f>(Table9[[#This Row],[Existing Sectors Weighted Score]]+Table9[[#This Row],[Potential New Sectors Weighted Score]])*'Detailed Rubric V3'!$C$23</f>
        <v>0</v>
      </c>
      <c r="AN19" s="530">
        <f>SUM(Table9[[#This Row],[1.1. Land Details (20% weightage)]],Table9[[#This Row],[1.2. BEZA Existing plans (15% weightage)]],Table9[[#This Row],[1.3. Sector Demand (15% weightage):]])</f>
        <v>1.2000000000000002</v>
      </c>
      <c r="AO19" s="531">
        <f>_xlfn.RANK.EQ(Table9[[#This Row],[Level 1 Score]],$AN$3:$AN$103)</f>
        <v>16</v>
      </c>
      <c r="AP19" s="529">
        <v>53</v>
      </c>
      <c r="AQ19" s="529" cm="1">
        <f t="array" ref="AQ19">_xlfn.IFS(Table9[[#This Row],[National Highway Connectivity (km)
(15%)]]="", 0, Table9[[#This Row],[National Highway Connectivity (km)
(15%)]]&gt;50, 0, Table9[[#This Row],[National Highway Connectivity (km)
(15%)]]&lt;=25, 4, TRUE, 2)</f>
        <v>0</v>
      </c>
      <c r="AR19" s="529">
        <f>Table9[[#This Row],[National Highway Connectivity Score]]*'Detailed Rubric V3'!$C$35</f>
        <v>0</v>
      </c>
      <c r="AS19" s="529" t="s">
        <v>418</v>
      </c>
      <c r="AT19" s="529" cm="1">
        <f t="array" ref="AT19">_xlfn.IFS(Table9[[#This Row],[Connecting Road to Highway (km)
(15%)]]="", 0, Table9[[#This Row],[Connecting Road to Highway (km)
(15%)]]="Yes", 4, TRUE, 0)</f>
        <v>0</v>
      </c>
      <c r="AU19" s="529">
        <f>Table9[[#This Row],[Connecting Road to Highway Score]]*'Detailed Rubric V3'!$F$35</f>
        <v>0</v>
      </c>
      <c r="AV19" s="529">
        <v>40</v>
      </c>
      <c r="AW19" s="529" cm="1">
        <f t="array" ref="AW19">_xlfn.IFS(Table9[[#This Row],[Seaport Connectivity (km)
(30%)]]="",0, Table9[[#This Row],[Seaport Connectivity (km)
(30%)]]&gt;400, 0,Table9[[#This Row],[Seaport Connectivity (km)
(30%)]]&lt;=200,4, TRUE, 2)</f>
        <v>4</v>
      </c>
      <c r="AX19" s="529">
        <f>Table9[[#This Row],[Seaport Connectivity Score]]*'Detailed Rubric V3'!$I$35</f>
        <v>1.2</v>
      </c>
      <c r="AY19" s="529">
        <v>85</v>
      </c>
      <c r="AZ19" s="529" cm="1">
        <f t="array" ref="AZ19">_xlfn.IFS(Table9[[#This Row],[Airport Connectivity (km)
(10%)]]="", 0, Table9[[#This Row],[Airport Connectivity (km)
(10%)]]&gt;200, 0, Table9[[#This Row],[Airport Connectivity (km)
(10%)]]&lt;=100,4,TRUE, 2)</f>
        <v>4</v>
      </c>
      <c r="BA19" s="529">
        <f>Table9[[#This Row],[Airport Connectivity Score]]*'Detailed Rubric V3'!$C$41</f>
        <v>0.4</v>
      </c>
      <c r="BB19" s="529">
        <v>40</v>
      </c>
      <c r="BC19" s="529" cm="1">
        <f t="array" ref="BC19">_xlfn.IFS(Table9[[#This Row],[Railway Station (km)
(10%)]]="", 0, Table9[[#This Row],[Railway Station (km)
(10%)]]&gt;150, 0,Table9[[#This Row],[Railway Station (km)
(10%)]]&lt;=50,4, TRUE, 2)</f>
        <v>4</v>
      </c>
      <c r="BD19" s="529">
        <f>Table9[[#This Row],[Railway Station Score]]*'Detailed Rubric V3'!$F$41</f>
        <v>0.4</v>
      </c>
      <c r="BE19" s="529">
        <v>108</v>
      </c>
      <c r="BF19" s="529" cm="1">
        <f t="array" ref="BF19">_xlfn.IFS(Table9[[#This Row],[Inland waterway/ Land port (km)
(20%)]]="", 0, Table9[[#This Row],[Inland waterway/ Land port (km)
(20%)]]&gt;200, 0,Table9[[#This Row],[Inland waterway/ Land port (km)
(20%)]]&lt;=50,4, TRUE, 2)</f>
        <v>2</v>
      </c>
      <c r="BG19" s="529">
        <f>Table9[[#This Row],[Inland waterway/ Land port Score]]*'Detailed Rubric V3'!$I$41</f>
        <v>0.4</v>
      </c>
      <c r="BH19"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0.24</v>
      </c>
      <c r="BI19" s="529">
        <v>10</v>
      </c>
      <c r="BJ19" s="529" cm="1">
        <f t="array" ref="BJ19">_xlfn.IFS(Table9[[#This Row],[Power Station (40%)]]="",0, Table9[[#This Row],[Power Station (40%)]]&gt;100, 0,Table9[[#This Row],[Power Station (40%)]]&lt;=50,4, TRUE, 2)</f>
        <v>4</v>
      </c>
      <c r="BK19" s="529">
        <f>Table9[[#This Row],[Power Station Score]]*'Detailed Rubric V3'!$C$53</f>
        <v>1.6</v>
      </c>
      <c r="BL19" s="529">
        <v>20</v>
      </c>
      <c r="BM19" s="529" cm="1">
        <f t="array" ref="BM19">IF(ISNUMBER(Table9[[#This Row],[Gas Station (20%)]]), _xlfn.IFS(Table9[[#This Row],[Gas Station (20%)]]="", 0, Table9[[#This Row],[Gas Station (20%)]]&gt;100, 0,Table9[[#This Row],[Gas Station (20%)]]&lt;=50,4, TRUE, 2), 0)</f>
        <v>4</v>
      </c>
      <c r="BN19" s="529">
        <f>Table9[[#This Row],[Gas Station Score]]*'Detailed Rubric V3'!$F$53</f>
        <v>0.8</v>
      </c>
      <c r="BO19" s="529">
        <v>0</v>
      </c>
      <c r="BP19" s="529" cm="1">
        <f t="array" ref="BP19">IF(ISNUMBER(Table9[[#This Row],[Source of Surface Water (40%)]]), _xlfn.IFS(Table9[[#This Row],[Source of Surface Water (40%)]]="", 0, Table9[[#This Row],[Source of Surface Water (40%)]]&gt;50, 0,Table9[[#This Row],[Source of Surface Water (40%)]]&lt;=20,4, TRUE, 2), 0)</f>
        <v>4</v>
      </c>
      <c r="BQ19" s="529">
        <f>Table9[[#This Row],[Source of Surface Water Score]]*'Detailed Rubric V3'!$I$53</f>
        <v>1.6</v>
      </c>
      <c r="BR19" s="529">
        <f>SUM(Table9[[#This Row],[Power Station Weighted Score]],Table9[[#This Row],[Gas Station Weighted Score]],Table9[[#This Row],[Source of Surface Water Weighted Score]])*'Detailed Rubric V3'!$C$51</f>
        <v>0.48</v>
      </c>
      <c r="BS19" s="529" t="s">
        <v>417</v>
      </c>
      <c r="BT19" s="529" cm="1">
        <f t="array" ref="BT19">_xlfn.IFS(Table9[[#This Row],[Other BEZA EZ (20%)]]="", 0, Table9[[#This Row],[Other BEZA EZ (20%)]]="Yes", 4, TRUE, 0)</f>
        <v>4</v>
      </c>
      <c r="BU19" s="529">
        <f>Table9[[#This Row],[Other BEZA EZ Score]]*'Detailed Rubric V3'!$C$66</f>
        <v>0.8</v>
      </c>
      <c r="BV19" s="529" t="s">
        <v>417</v>
      </c>
      <c r="BW19" s="529" cm="1">
        <f t="array" ref="BW19">_xlfn.IFS(Table9[[#This Row],[BEPZA/ BHPTA/ BSCIC (20%)]]="", 0, Table9[[#This Row],[BEPZA/ BHPTA/ BSCIC (20%)]]="Yes", 4, TRUE, 0)</f>
        <v>4</v>
      </c>
      <c r="BX19" s="529">
        <f>Table9[[#This Row],[BEPZA/ BHPTA/ BSCIC Score]]*'Detailed Rubric V3'!$F$66</f>
        <v>0.8</v>
      </c>
      <c r="BY19" s="529">
        <v>56</v>
      </c>
      <c r="BZ19" s="529" cm="1">
        <f t="array" ref="BZ19">_xlfn.IFS(Table9[[#This Row],[Cluster Industries (from SMI) (20%)]]="", 0, Table9[[#This Row],[Cluster Industries (from SMI) (20%)]]&gt;100, 4, Table9[[#This Row],[Cluster Industries (from SMI) (20%)]]&lt;50, 0, TRUE, 2)</f>
        <v>2</v>
      </c>
      <c r="CA19" s="529">
        <f>Table9[[#This Row],[Cluster Industries (from SMI) Score]]*'Detailed Rubric V3'!$I$66</f>
        <v>0.4</v>
      </c>
      <c r="CB19" s="529" t="s">
        <v>418</v>
      </c>
      <c r="CC19" s="529" cm="1">
        <f t="array" ref="CC19">_xlfn.IFS(Table9[[#This Row],[Located on Industrial corridor (40%)]]="", 0, Table9[[#This Row],[Located on Industrial corridor (40%)]]="Yes", 4, TRUE, 0)</f>
        <v>0</v>
      </c>
      <c r="CD19" s="529">
        <f>Table9[[#This Row],[Located on Industrial corridor Score]]*'Detailed Rubric V3'!$L$66</f>
        <v>0</v>
      </c>
      <c r="CE19" s="529">
        <f>SUM(Table9[[#This Row],[Other BEZA EZ Weighted Score]],Table9[[#This Row],[BEPZA/ BHPTA/ BSCIC Weighted Score]],Table9[[#This Row],[Unorganized (from SMI) Weighted Score]],Table9[[#This Row],[Located on Industrial corridor Weighted Score]])*'Detailed Rubric V3'!$C$64</f>
        <v>0.2</v>
      </c>
      <c r="CF19" s="529" t="s">
        <v>417</v>
      </c>
      <c r="CG19" s="529" cm="1">
        <f t="array" ref="CG19">_xlfn.IFS(Table9[[#This Row],[Economic/ Social priority (laggered area) (100%)]]="", 0, Table9[[#This Row],[Economic/ Social priority (laggered area) (100%)]]="Yes", 4, TRUE, 0)</f>
        <v>4</v>
      </c>
      <c r="CH19" s="529">
        <f>Table9[[#This Row],[Economic/ Social priority (laggered area) Score]]*'Detailed Rubric V3'!$C$82</f>
        <v>4</v>
      </c>
      <c r="CI19" s="529" t="s">
        <v>417</v>
      </c>
      <c r="CJ19" s="529" cm="1">
        <f t="array" ref="CJ19">_xlfn.IFS(Table9[[#This Row],[Regional Tax incentive  (0%)]]="", 0, Table9[[#This Row],[Regional Tax incentive  (0%)]]="Yes", 4, TRUE, 0)</f>
        <v>4</v>
      </c>
      <c r="CK19" s="529">
        <f>Table9[[#This Row],[Regional Tax incentive Score]]*'Detailed Rubric V3'!$F$82</f>
        <v>0</v>
      </c>
      <c r="CL19" s="529">
        <f>SUM(Table9[[#This Row],[Economic/ Social priority (laagered area) Weighted Score]],Table9[[#This Row],[Regional Tax incentive  Weighted Score]])*'Detailed Rubric V3'!$C$80</f>
        <v>0.16</v>
      </c>
      <c r="CM19" s="529">
        <v>314753</v>
      </c>
      <c r="CN19" s="529" cm="1">
        <f t="array" ref="CN19">_xlfn.IFS(Table9[[#This Row],[Employable population (40%) 2013]]="", 0, Table9[[#This Row],[Employable population (40%) 2013]]&gt;200000, 4, Table9[[#This Row],[Employable population (40%) 2013]]&lt;100000,0, TRUE, 2)</f>
        <v>4</v>
      </c>
      <c r="CO19" s="529">
        <f>Table9[[#This Row],[Employable population Score]]*'Detailed Rubric V3'!$C$92</f>
        <v>1.6</v>
      </c>
      <c r="CP19" s="529">
        <v>25</v>
      </c>
      <c r="CQ19" s="529" cm="1">
        <f t="array" ref="CQ19">_xlfn.IFS(Table9[[#This Row],[Housing (20%)]]="", 0, Table9[[#This Row],[Housing (20%)]]&gt;50, 0, Table9[[#This Row],[Housing (20%)]]&lt;25, 4, TRUE, 2)</f>
        <v>2</v>
      </c>
      <c r="CR19" s="529">
        <f>Table9[[#This Row],[Housing Score]]*'Detailed Rubric V3'!$F$92</f>
        <v>0.4</v>
      </c>
      <c r="CS19" s="529">
        <v>76</v>
      </c>
      <c r="CT19" s="529" cm="1">
        <f t="array" ref="CT19">_xlfn.IFS(Table9[[#This Row],[Hotels (10%)]]="", 0, Table9[[#This Row],[Hotels (10%)]]&gt;25, 4, Table9[[#This Row],[Hotels (10%)]]&lt;5, 0, TRUE, 2)</f>
        <v>4</v>
      </c>
      <c r="CU19" s="529">
        <f>Table9[[#This Row],[Hotels Score]]*'Detailed Rubric V3'!$I$92</f>
        <v>0.4</v>
      </c>
      <c r="CV19" s="529">
        <v>88</v>
      </c>
      <c r="CW19" s="529" cm="1">
        <f t="array" ref="CW19">_xlfn.IFS(Table9[[#This Row],[Health (Hospital) (15%)]]="", 0, Table9[[#This Row],[Health (Hospital) (15%)]]&gt;10, 4, Table9[[#This Row],[Health (Hospital) (15%)]]&lt;5, 0, TRUE, 2)</f>
        <v>4</v>
      </c>
      <c r="CX19" s="529">
        <f>Table9[[#This Row],[Health (Hospital) Score]]*'Detailed Rubric V3'!$L$92</f>
        <v>0.6</v>
      </c>
      <c r="CY19" s="529">
        <v>34</v>
      </c>
      <c r="CZ19" s="529" cm="1">
        <f t="array" ref="CZ19">_xlfn.IFS(Table9[[#This Row],[University/ Technical &amp; Vocational Institutions (15%)]]="", 0, Table9[[#This Row],[University/ Technical &amp; Vocational Institutions (15%)]]&gt;3, 4, Table9[[#This Row],[University/ Technical &amp; Vocational Institutions (15%)]]&lt;1, 0, TRUE, 2)</f>
        <v>4</v>
      </c>
      <c r="DA19" s="529">
        <f>Table9[[#This Row],[University/ Technical &amp; Vocational Institutions Score]]*'Detailed Rubric V3'!$O$92</f>
        <v>0.6</v>
      </c>
      <c r="DB19" s="529">
        <f>SUM(Table9[[#This Row],[Employable population Weighted Score]],Table9[[#This Row],[Housing Weighted Score]],Table9[[#This Row],[Hotels Weighted Score]],Table9[[#This Row],[Health (Hospital) Weighted Score]],Table9[[#This Row],[University/ Technical &amp; Vocational Institutions Weighted Score]])*'Detailed Rubric V3'!$C$90</f>
        <v>0.28800000000000003</v>
      </c>
      <c r="DC19" s="529" t="s">
        <v>418</v>
      </c>
      <c r="DD19" s="529" cm="1">
        <f t="array" ref="DD19">_xlfn.IFS(Table9[[#This Row],[Environment compliance (30%)]]="", 0, Table9[[#This Row],[Environment compliance (30%)]]="Yes", 4, TRUE, 0)</f>
        <v>0</v>
      </c>
      <c r="DE19" s="529">
        <f>Table9[[#This Row],[Environment compliance Score]]*'Detailed Rubric V3'!$C$104</f>
        <v>0</v>
      </c>
      <c r="DF19" s="529" t="s">
        <v>421</v>
      </c>
      <c r="DG19" s="529" cm="1">
        <f t="array" ref="DG19">_xlfn.IFS(Table9[[#This Row],[Flood Risk Index (30%)]]="", 0, Table9[[#This Row],[Flood Risk Index (30%)]]="Very Low", 4, Table9[[#This Row],[Flood Risk Index (30%)]]="Moderate &amp; Low", 2, TRUE, 0)</f>
        <v>0</v>
      </c>
      <c r="DH19" s="529">
        <f>Table9[[#This Row],[Flood Risk Index Score]]*'Detailed Rubric V3'!$F$104</f>
        <v>0</v>
      </c>
      <c r="DI19" s="529" t="s">
        <v>421</v>
      </c>
      <c r="DJ19" s="529" cm="1">
        <f t="array" ref="DJ19">_xlfn.IFS(Table9[[#This Row],[Earth Quake Risk Index (10%)]]="", 0, Table9[[#This Row],[Earth Quake Risk Index (10%)]]="Very Low", 4, Table9[[#This Row],[Earth Quake Risk Index (10%)]]="Moderate &amp; Low", 2, TRUE, 0)</f>
        <v>0</v>
      </c>
      <c r="DK19" s="529">
        <f>Table9[[#This Row],[Earth Quake Risk Index Score]]*'Detailed Rubric V3'!$I$104</f>
        <v>0</v>
      </c>
      <c r="DL19" s="529" t="s">
        <v>419</v>
      </c>
      <c r="DM19" s="529" cm="1">
        <f t="array" ref="DM19">_xlfn.IFS(Table9[[#This Row],[Sea Level Rise Risk Index (10%)]]="", 0, Table9[[#This Row],[Sea Level Rise Risk Index (10%)]]="Very Low", 4, Table9[[#This Row],[Sea Level Rise Risk Index (10%)]]="Moderate &amp; Low", 2, TRUE, 0)</f>
        <v>2</v>
      </c>
      <c r="DN19" s="529">
        <f>Table9[[#This Row],[Sea Level Rise  Risk Index Score]]*'Detailed Rubric V3'!$L$104</f>
        <v>0.2</v>
      </c>
      <c r="DO19" s="529" t="s">
        <v>420</v>
      </c>
      <c r="DP19" s="529" cm="1">
        <f t="array" ref="DP19">_xlfn.IFS(Table9[[#This Row],[Cyclone Risk Index (10%)]]="", 0, Table9[[#This Row],[Cyclone Risk Index (10%)]]="Very Low", 4, Table9[[#This Row],[Cyclone Risk Index (10%)]]="Moderate &amp; Low", 2, TRUE, 0)</f>
        <v>0</v>
      </c>
      <c r="DQ19" s="529">
        <f>Table9[[#This Row],[Cyclone Risk Index Score]]*'Detailed Rubric V3'!$O$104</f>
        <v>0</v>
      </c>
      <c r="DR19" s="529" t="s">
        <v>419</v>
      </c>
      <c r="DS19" s="529" cm="1">
        <f t="array" ref="DS19">_xlfn.IFS(Table9[[#This Row],[Storm Surge Risk Index (10%)]]="", 0, Table9[[#This Row],[Storm Surge Risk Index (10%)]]="Very Low", 4, Table9[[#This Row],[Storm Surge Risk Index (10%)]]="Moderate &amp; Low", 2, TRUE, 0)</f>
        <v>2</v>
      </c>
      <c r="DT19" s="529">
        <f>Table9[[#This Row],[Storm Surge Risk Index Score]]*'Detailed Rubric V3'!$R$104</f>
        <v>0.2</v>
      </c>
      <c r="DU19"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2.4E-2</v>
      </c>
      <c r="DV19" s="533">
        <f>SUM(Table9[[#This Row],[2.1. Connectivity/ Logistics (10% weightage)]],Table9[[#This Row],[2.2. Utility (12% weightage)]],Table9[[#This Row],[2.3. Agglomeration effects (10% weightage)]],Table9[[#This Row],[2.4. Regional Policy (4% weightage)]],Table9[[#This Row],[2.5. Social (8% weightage)]],Table9[[#This Row],[2.6. Environment (6% weightage)]])</f>
        <v>1.3919999999999999</v>
      </c>
      <c r="DW19" s="232">
        <f>_xlfn.RANK.EQ(Table9[[#This Row],[Level 2 Score]],$DV$3:$DV$103)</f>
        <v>39</v>
      </c>
      <c r="DX19" s="533">
        <f>Table9[[#This Row],[Level 1 Score]]+Table9[[#This Row],[Level 2 Score]]</f>
        <v>2.5920000000000001</v>
      </c>
      <c r="DY19" s="232">
        <f>_xlfn.RANK.EQ(Table9[[#This Row],[Total Score]],$DX$3:$DX$103)</f>
        <v>19</v>
      </c>
      <c r="DZ19" s="237" t="str">
        <f>IF(Table9[[#This Row],[Count of Blanks]]&lt;=2, "Yes", "No")</f>
        <v>Yes</v>
      </c>
      <c r="EA19" s="237">
        <f>COUNTBLANK(Table9[[#This Row],[Name]:[Total Score Rank]])</f>
        <v>0</v>
      </c>
      <c r="EB19" s="613" t="s">
        <v>417</v>
      </c>
    </row>
    <row r="20" spans="2:132" ht="27" x14ac:dyDescent="0.25">
      <c r="B20" s="220">
        <v>21</v>
      </c>
      <c r="C20" s="221" t="s">
        <v>43</v>
      </c>
      <c r="D20" s="220" t="s">
        <v>104</v>
      </c>
      <c r="E20" s="220" t="s">
        <v>105</v>
      </c>
      <c r="F20" s="220" t="s">
        <v>106</v>
      </c>
      <c r="G20" s="220" t="s">
        <v>70</v>
      </c>
      <c r="H20" s="525" t="s">
        <v>410</v>
      </c>
      <c r="I20" s="70" t="s">
        <v>423</v>
      </c>
      <c r="J20" s="452" t="s">
        <v>412</v>
      </c>
      <c r="K20" s="220">
        <f>IFERROR(VLOOKUP(Table9[[#This Row],[Land Availability (Grade)​
(50%)]],'Detailed Rubric V3'!$B$8:$C$11,2), 0)</f>
        <v>4</v>
      </c>
      <c r="L20" s="220">
        <f>IFERROR(Table9[[#This Row],[Land Availability (Grade)​ Score]]*'Detailed Rubric V3'!$C$6, "")</f>
        <v>2</v>
      </c>
      <c r="M20" s="222">
        <v>441.64</v>
      </c>
      <c r="N20" s="222" cm="1">
        <f t="array" ref="N20">_xlfn.IFS(Table9[[#This Row],[Land Size (Acres)
(15%)]]&lt;100,0,Table9[[#This Row],[Land Size (Acres)
(15%)]]&gt;500,4,TRUE,2)</f>
        <v>2</v>
      </c>
      <c r="O20" s="222">
        <f>Table9[[#This Row],[Land Size (Acres) Score]]*'Detailed Rubric V3'!$G$6</f>
        <v>0.3</v>
      </c>
      <c r="P20" s="591">
        <v>594.4</v>
      </c>
      <c r="Q20" s="526">
        <f>IFERROR(Table9[[#This Row],[Site Filling Cost (Mn BDT)]]/Table9[[#This Row],[Land Size (Acres)
(15%)]],"")</f>
        <v>1.3458925821936418</v>
      </c>
      <c r="R20" s="526" cm="1">
        <f t="array" ref="R20">IF(Table9[[#This Row],[Name]]="Sitakundo Economic Zone", 4, _xlfn.IFS(Table9[[#This Row],[Site Filling Cost (Mn BDT)]]="",0,Table9[[#This Row],[Land Suitability
(Cost of Land Filling in Million BDT per acre)
(25%)]]&gt;5,0,Table9[[#This Row],[Land Suitability
(Cost of Land Filling in Million BDT per acre)
(25%)]]&lt;2,4,TRUE,2))</f>
        <v>4</v>
      </c>
      <c r="S20" s="526">
        <f>Table9[[#This Row],[Land Suitability for Construction Score]]*'Detailed Rubric V3'!$J$6</f>
        <v>1</v>
      </c>
      <c r="T20" s="526">
        <v>1650.4</v>
      </c>
      <c r="U20" s="526">
        <f>IFERROR(Table9[[#This Row],[Embankment/Dyke Cost (Mn BDT)]]/Table9[[#This Row],[Land Size (Acres)
(15%)]], 0)</f>
        <v>3.7369803459831541</v>
      </c>
      <c r="V20" s="526" cm="1">
        <f t="array" ref="V20">IF(Table9[[#This Row],[Name]]="Sitakundo Economic Zone", 2, _xlfn.IFS(Table9[[#This Row],[Embankment/Dyke Cost (Mn BDT)]]="",0,Table9[[#This Row],[Cost of DRRI Infrastructure in million BDT per acre
(10%)]]&gt;5,0,Table9[[#This Row],[Cost of DRRI Infrastructure in million BDT per acre
(10%)]]&lt;2,4,TRUE,2))</f>
        <v>2</v>
      </c>
      <c r="W20" s="526">
        <f>Table9[[#This Row],[Requirement for Distaster Risk Reduction &amp; Resilience Infrastructure Score]]*'Detailed Rubric V3'!$M$6</f>
        <v>0.2</v>
      </c>
      <c r="X20"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0.70000000000000007</v>
      </c>
      <c r="Y20" s="452" t="s">
        <v>415</v>
      </c>
      <c r="Z20" s="210">
        <f>IFERROR(VLOOKUP(Table9[[#This Row],[Zone Priority
(40%)]],'Detailed Rubric V3'!$B$18:$C$21, 2,FALSE), 0)</f>
        <v>4</v>
      </c>
      <c r="AA20" s="210">
        <f>IFERROR(Table9[[#This Row],[Zone Priority Score]]*'Detailed Rubric V3'!$C$16, 0)</f>
        <v>0</v>
      </c>
      <c r="AB20" s="237" t="s">
        <v>416</v>
      </c>
      <c r="AC20" s="237">
        <f>VLOOKUP(Table9[[#This Row],[Existing BEZA Report
(60%)]],'Detailed Rubric V3'!$E$18:$F$20,2,FALSE)</f>
        <v>4</v>
      </c>
      <c r="AD20" s="237">
        <f>Table9[[#This Row],[Existing BEZA Report Score]]*'Detailed Rubric V3'!F$16</f>
        <v>4</v>
      </c>
      <c r="AE20" s="237">
        <f>(Table9[[#This Row],[Zone Priority Weighted Score]]+Table9[[#This Row],[Existing BEZA Report Weighted Score]])*'Detailed Rubric V3'!$C$14</f>
        <v>0.6</v>
      </c>
      <c r="AF20" s="849">
        <v>5</v>
      </c>
      <c r="AG20" s="529" cm="1">
        <f t="array" ref="AG20">_xlfn.IFS(Table9[[#This Row],[Existing Sectors
(50%)]]&gt;10, 4,Table9[[#This Row],[Existing Sectors
(50%)]]&lt;5, 0, TRUE, 2)</f>
        <v>2</v>
      </c>
      <c r="AH20" s="529">
        <f>Table9[[#This Row],[Existing Sectors Score]]*'Detailed Rubric V3'!$C$25</f>
        <v>1</v>
      </c>
      <c r="AI20" s="529">
        <v>3</v>
      </c>
      <c r="AJ20" s="529">
        <v>2</v>
      </c>
      <c r="AK20" s="529" cm="1">
        <f t="array" ref="AK20">_xlfn.IFS(Table9[[#This Row],[Potential New Sectors
(50%)]]&gt;5, 4, Table9[[#This Row],[Potential New Sectors
(50%)]]&lt;2,0, TRUE, 2)</f>
        <v>2</v>
      </c>
      <c r="AL20" s="529">
        <f>Table9[[#This Row],[Potential New Sectors Score]]*'Detailed Rubric V3'!$F$25</f>
        <v>1</v>
      </c>
      <c r="AM20" s="232">
        <f>(Table9[[#This Row],[Existing Sectors Weighted Score]]+Table9[[#This Row],[Potential New Sectors Weighted Score]])*'Detailed Rubric V3'!$C$23</f>
        <v>0.3</v>
      </c>
      <c r="AN20" s="530">
        <f>SUM(Table9[[#This Row],[1.1. Land Details (20% weightage)]],Table9[[#This Row],[1.2. BEZA Existing plans (15% weightage)]],Table9[[#This Row],[1.3. Sector Demand (15% weightage):]])</f>
        <v>1.6</v>
      </c>
      <c r="AO20" s="531">
        <f>_xlfn.RANK.EQ(Table9[[#This Row],[Level 1 Score]],$AN$3:$AN$103)</f>
        <v>5</v>
      </c>
      <c r="AP20" s="529">
        <v>0</v>
      </c>
      <c r="AQ20" s="529" cm="1">
        <f t="array" ref="AQ20">_xlfn.IFS(Table9[[#This Row],[National Highway Connectivity (km)
(15%)]]="", 0, Table9[[#This Row],[National Highway Connectivity (km)
(15%)]]&gt;50, 0, Table9[[#This Row],[National Highway Connectivity (km)
(15%)]]&lt;=25, 4, TRUE, 2)</f>
        <v>4</v>
      </c>
      <c r="AR20" s="529">
        <f>Table9[[#This Row],[National Highway Connectivity Score]]*'Detailed Rubric V3'!$C$35</f>
        <v>0.6</v>
      </c>
      <c r="AS20" s="529" t="s">
        <v>417</v>
      </c>
      <c r="AT20" s="529" cm="1">
        <f t="array" ref="AT20">_xlfn.IFS(Table9[[#This Row],[Connecting Road to Highway (km)
(15%)]]="", 0, Table9[[#This Row],[Connecting Road to Highway (km)
(15%)]]="Yes", 4, TRUE, 0)</f>
        <v>4</v>
      </c>
      <c r="AU20" s="529">
        <f>Table9[[#This Row],[Connecting Road to Highway Score]]*'Detailed Rubric V3'!$F$35</f>
        <v>0.6</v>
      </c>
      <c r="AV20" s="529">
        <v>400</v>
      </c>
      <c r="AW20" s="529" cm="1">
        <f t="array" ref="AW20">_xlfn.IFS(Table9[[#This Row],[Seaport Connectivity (km)
(30%)]]="",0, Table9[[#This Row],[Seaport Connectivity (km)
(30%)]]&gt;400, 0,Table9[[#This Row],[Seaport Connectivity (km)
(30%)]]&lt;=200,4, TRUE, 2)</f>
        <v>2</v>
      </c>
      <c r="AX20" s="529">
        <f>Table9[[#This Row],[Seaport Connectivity Score]]*'Detailed Rubric V3'!$I$35</f>
        <v>0.6</v>
      </c>
      <c r="AY20" s="529">
        <v>144</v>
      </c>
      <c r="AZ20" s="529" cm="1">
        <f t="array" ref="AZ20">_xlfn.IFS(Table9[[#This Row],[Airport Connectivity (km)
(10%)]]="", 0, Table9[[#This Row],[Airport Connectivity (km)
(10%)]]&gt;200, 0, Table9[[#This Row],[Airport Connectivity (km)
(10%)]]&lt;=100,4,TRUE, 2)</f>
        <v>2</v>
      </c>
      <c r="BA20" s="529">
        <f>Table9[[#This Row],[Airport Connectivity Score]]*'Detailed Rubric V3'!$C$41</f>
        <v>0.2</v>
      </c>
      <c r="BB20" s="529">
        <v>15</v>
      </c>
      <c r="BC20" s="529" cm="1">
        <f t="array" ref="BC20">_xlfn.IFS(Table9[[#This Row],[Railway Station (km)
(10%)]]="", 0, Table9[[#This Row],[Railway Station (km)
(10%)]]&gt;150, 0,Table9[[#This Row],[Railway Station (km)
(10%)]]&lt;=50,4, TRUE, 2)</f>
        <v>4</v>
      </c>
      <c r="BD20" s="529">
        <f>Table9[[#This Row],[Railway Station Score]]*'Detailed Rubric V3'!$F$41</f>
        <v>0.4</v>
      </c>
      <c r="BE20" s="529">
        <v>400</v>
      </c>
      <c r="BF20" s="529" cm="1">
        <f t="array" ref="BF20">_xlfn.IFS(Table9[[#This Row],[Inland waterway/ Land port (km)
(20%)]]="", 0, Table9[[#This Row],[Inland waterway/ Land port (km)
(20%)]]&gt;200, 0,Table9[[#This Row],[Inland waterway/ Land port (km)
(20%)]]&lt;=50,4, TRUE, 2)</f>
        <v>0</v>
      </c>
      <c r="BG20" s="529">
        <f>Table9[[#This Row],[Inland waterway/ Land port Score]]*'Detailed Rubric V3'!$I$41</f>
        <v>0</v>
      </c>
      <c r="BH20"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0.24</v>
      </c>
      <c r="BI20" s="529">
        <v>13</v>
      </c>
      <c r="BJ20" s="529" cm="1">
        <f t="array" ref="BJ20">_xlfn.IFS(Table9[[#This Row],[Power Station (40%)]]="",0, Table9[[#This Row],[Power Station (40%)]]&gt;100, 0,Table9[[#This Row],[Power Station (40%)]]&lt;=50,4, TRUE, 2)</f>
        <v>4</v>
      </c>
      <c r="BK20" s="529">
        <f>Table9[[#This Row],[Power Station Score]]*'Detailed Rubric V3'!$C$53</f>
        <v>1.6</v>
      </c>
      <c r="BL20" s="848">
        <v>0</v>
      </c>
      <c r="BM20" s="529" cm="1">
        <f t="array" ref="BM20">IF(ISNUMBER(Table9[[#This Row],[Gas Station (20%)]]), _xlfn.IFS(Table9[[#This Row],[Gas Station (20%)]]="", 0, Table9[[#This Row],[Gas Station (20%)]]&gt;100, 0,Table9[[#This Row],[Gas Station (20%)]]&lt;=50,4, TRUE, 2), 0)</f>
        <v>4</v>
      </c>
      <c r="BN20" s="529">
        <f>Table9[[#This Row],[Gas Station Score]]*'Detailed Rubric V3'!$F$53</f>
        <v>0.8</v>
      </c>
      <c r="BO20" s="529">
        <v>40</v>
      </c>
      <c r="BP20" s="529" cm="1">
        <f t="array" ref="BP20">IF(ISNUMBER(Table9[[#This Row],[Source of Surface Water (40%)]]), _xlfn.IFS(Table9[[#This Row],[Source of Surface Water (40%)]]="", 0, Table9[[#This Row],[Source of Surface Water (40%)]]&gt;50, 0,Table9[[#This Row],[Source of Surface Water (40%)]]&lt;=20,4, TRUE, 2), 0)</f>
        <v>2</v>
      </c>
      <c r="BQ20" s="529">
        <f>Table9[[#This Row],[Source of Surface Water Score]]*'Detailed Rubric V3'!$I$53</f>
        <v>0.8</v>
      </c>
      <c r="BR20" s="529">
        <f>SUM(Table9[[#This Row],[Power Station Weighted Score]],Table9[[#This Row],[Gas Station Weighted Score]],Table9[[#This Row],[Source of Surface Water Weighted Score]])*'Detailed Rubric V3'!$C$51</f>
        <v>0.38400000000000001</v>
      </c>
      <c r="BS20" s="529" t="s">
        <v>418</v>
      </c>
      <c r="BT20" s="529" cm="1">
        <f t="array" ref="BT20">_xlfn.IFS(Table9[[#This Row],[Other BEZA EZ (20%)]]="", 0, Table9[[#This Row],[Other BEZA EZ (20%)]]="Yes", 4, TRUE, 0)</f>
        <v>0</v>
      </c>
      <c r="BU20" s="529">
        <f>Table9[[#This Row],[Other BEZA EZ Score]]*'Detailed Rubric V3'!$C$66</f>
        <v>0</v>
      </c>
      <c r="BV20" s="529" t="s">
        <v>417</v>
      </c>
      <c r="BW20" s="529" cm="1">
        <f t="array" ref="BW20">_xlfn.IFS(Table9[[#This Row],[BEPZA/ BHPTA/ BSCIC (20%)]]="", 0, Table9[[#This Row],[BEPZA/ BHPTA/ BSCIC (20%)]]="Yes", 4, TRUE, 0)</f>
        <v>4</v>
      </c>
      <c r="BX20" s="529">
        <f>Table9[[#This Row],[BEPZA/ BHPTA/ BSCIC Score]]*'Detailed Rubric V3'!$F$66</f>
        <v>0.8</v>
      </c>
      <c r="BY20" s="529">
        <v>64</v>
      </c>
      <c r="BZ20" s="529" cm="1">
        <f t="array" ref="BZ20">_xlfn.IFS(Table9[[#This Row],[Cluster Industries (from SMI) (20%)]]="", 0, Table9[[#This Row],[Cluster Industries (from SMI) (20%)]]&gt;100, 4, Table9[[#This Row],[Cluster Industries (from SMI) (20%)]]&lt;50, 0, TRUE, 2)</f>
        <v>2</v>
      </c>
      <c r="CA20" s="529">
        <f>Table9[[#This Row],[Cluster Industries (from SMI) Score]]*'Detailed Rubric V3'!$I$66</f>
        <v>0.4</v>
      </c>
      <c r="CB20" s="529" t="s">
        <v>418</v>
      </c>
      <c r="CC20" s="529" cm="1">
        <f t="array" ref="CC20">_xlfn.IFS(Table9[[#This Row],[Located on Industrial corridor (40%)]]="", 0, Table9[[#This Row],[Located on Industrial corridor (40%)]]="Yes", 4, TRUE, 0)</f>
        <v>0</v>
      </c>
      <c r="CD20" s="529">
        <f>Table9[[#This Row],[Located on Industrial corridor Score]]*'Detailed Rubric V3'!$L$66</f>
        <v>0</v>
      </c>
      <c r="CE20" s="529">
        <f>SUM(Table9[[#This Row],[Other BEZA EZ Weighted Score]],Table9[[#This Row],[BEPZA/ BHPTA/ BSCIC Weighted Score]],Table9[[#This Row],[Unorganized (from SMI) Weighted Score]],Table9[[#This Row],[Located on Industrial corridor Weighted Score]])*'Detailed Rubric V3'!$C$64</f>
        <v>0.12000000000000002</v>
      </c>
      <c r="CF20" s="529" t="s">
        <v>418</v>
      </c>
      <c r="CG20" s="529" cm="1">
        <f t="array" ref="CG20">_xlfn.IFS(Table9[[#This Row],[Economic/ Social priority (laggered area) (100%)]]="", 0, Table9[[#This Row],[Economic/ Social priority (laggered area) (100%)]]="Yes", 4, TRUE, 0)</f>
        <v>0</v>
      </c>
      <c r="CH20" s="529">
        <f>Table9[[#This Row],[Economic/ Social priority (laggered area) Score]]*'Detailed Rubric V3'!$C$82</f>
        <v>0</v>
      </c>
      <c r="CI20" s="529" t="s">
        <v>418</v>
      </c>
      <c r="CJ20" s="529" cm="1">
        <f t="array" ref="CJ20">_xlfn.IFS(Table9[[#This Row],[Regional Tax incentive  (0%)]]="", 0, Table9[[#This Row],[Regional Tax incentive  (0%)]]="Yes", 4, TRUE, 0)</f>
        <v>0</v>
      </c>
      <c r="CK20" s="529">
        <f>Table9[[#This Row],[Regional Tax incentive Score]]*'Detailed Rubric V3'!$F$82</f>
        <v>0</v>
      </c>
      <c r="CL20" s="529">
        <f>SUM(Table9[[#This Row],[Economic/ Social priority (laagered area) Weighted Score]],Table9[[#This Row],[Regional Tax incentive  Weighted Score]])*'Detailed Rubric V3'!$C$80</f>
        <v>0</v>
      </c>
      <c r="CM20" s="529">
        <v>299997</v>
      </c>
      <c r="CN20" s="529" cm="1">
        <f t="array" ref="CN20">_xlfn.IFS(Table9[[#This Row],[Employable population (40%) 2013]]="", 0, Table9[[#This Row],[Employable population (40%) 2013]]&gt;200000, 4, Table9[[#This Row],[Employable population (40%) 2013]]&lt;100000,0, TRUE, 2)</f>
        <v>4</v>
      </c>
      <c r="CO20" s="529">
        <f>Table9[[#This Row],[Employable population Score]]*'Detailed Rubric V3'!$C$92</f>
        <v>1.6</v>
      </c>
      <c r="CP20" s="529">
        <v>15</v>
      </c>
      <c r="CQ20" s="529" cm="1">
        <f t="array" ref="CQ20">_xlfn.IFS(Table9[[#This Row],[Housing (20%)]]="", 0, Table9[[#This Row],[Housing (20%)]]&gt;50, 0, Table9[[#This Row],[Housing (20%)]]&lt;25, 4, TRUE, 2)</f>
        <v>4</v>
      </c>
      <c r="CR20" s="529">
        <f>Table9[[#This Row],[Housing Score]]*'Detailed Rubric V3'!$F$92</f>
        <v>0.8</v>
      </c>
      <c r="CS20" s="529">
        <v>7</v>
      </c>
      <c r="CT20" s="529" cm="1">
        <f t="array" ref="CT20">_xlfn.IFS(Table9[[#This Row],[Hotels (10%)]]="", 0, Table9[[#This Row],[Hotels (10%)]]&gt;25, 4, Table9[[#This Row],[Hotels (10%)]]&lt;5, 0, TRUE, 2)</f>
        <v>2</v>
      </c>
      <c r="CU20" s="529">
        <f>Table9[[#This Row],[Hotels Score]]*'Detailed Rubric V3'!$I$92</f>
        <v>0.2</v>
      </c>
      <c r="CV20" s="529">
        <v>64</v>
      </c>
      <c r="CW20" s="529" cm="1">
        <f t="array" ref="CW20">_xlfn.IFS(Table9[[#This Row],[Health (Hospital) (15%)]]="", 0, Table9[[#This Row],[Health (Hospital) (15%)]]&gt;10, 4, Table9[[#This Row],[Health (Hospital) (15%)]]&lt;5, 0, TRUE, 2)</f>
        <v>4</v>
      </c>
      <c r="CX20" s="529">
        <f>Table9[[#This Row],[Health (Hospital) Score]]*'Detailed Rubric V3'!$L$92</f>
        <v>0.6</v>
      </c>
      <c r="CY20" s="529">
        <v>5</v>
      </c>
      <c r="CZ20" s="529" cm="1">
        <f t="array" ref="CZ20">_xlfn.IFS(Table9[[#This Row],[University/ Technical &amp; Vocational Institutions (15%)]]="", 0, Table9[[#This Row],[University/ Technical &amp; Vocational Institutions (15%)]]&gt;3, 4, Table9[[#This Row],[University/ Technical &amp; Vocational Institutions (15%)]]&lt;1, 0, TRUE, 2)</f>
        <v>4</v>
      </c>
      <c r="DA20" s="529">
        <f>Table9[[#This Row],[University/ Technical &amp; Vocational Institutions Score]]*'Detailed Rubric V3'!$O$92</f>
        <v>0.6</v>
      </c>
      <c r="DB20" s="529">
        <f>SUM(Table9[[#This Row],[Employable population Weighted Score]],Table9[[#This Row],[Housing Weighted Score]],Table9[[#This Row],[Hotels Weighted Score]],Table9[[#This Row],[Health (Hospital) Weighted Score]],Table9[[#This Row],[University/ Technical &amp; Vocational Institutions Weighted Score]])*'Detailed Rubric V3'!$C$90</f>
        <v>0.30400000000000005</v>
      </c>
      <c r="DC20" s="529" t="s">
        <v>417</v>
      </c>
      <c r="DD20" s="529" cm="1">
        <f t="array" ref="DD20">_xlfn.IFS(Table9[[#This Row],[Environment compliance (30%)]]="", 0, Table9[[#This Row],[Environment compliance (30%)]]="Yes", 4, TRUE, 0)</f>
        <v>4</v>
      </c>
      <c r="DE20" s="529">
        <f>Table9[[#This Row],[Environment compliance Score]]*'Detailed Rubric V3'!$C$104</f>
        <v>1.2</v>
      </c>
      <c r="DF20" s="529" t="s">
        <v>421</v>
      </c>
      <c r="DG20" s="529" cm="1">
        <f t="array" ref="DG20">_xlfn.IFS(Table9[[#This Row],[Flood Risk Index (30%)]]="", 0, Table9[[#This Row],[Flood Risk Index (30%)]]="Very Low", 4, Table9[[#This Row],[Flood Risk Index (30%)]]="Moderate &amp; Low", 2, TRUE, 0)</f>
        <v>0</v>
      </c>
      <c r="DH20" s="529">
        <f>Table9[[#This Row],[Flood Risk Index Score]]*'Detailed Rubric V3'!$F$104</f>
        <v>0</v>
      </c>
      <c r="DI20" s="529" t="s">
        <v>421</v>
      </c>
      <c r="DJ20" s="529" cm="1">
        <f t="array" ref="DJ20">_xlfn.IFS(Table9[[#This Row],[Earth Quake Risk Index (10%)]]="", 0, Table9[[#This Row],[Earth Quake Risk Index (10%)]]="Very Low", 4, Table9[[#This Row],[Earth Quake Risk Index (10%)]]="Moderate &amp; Low", 2, TRUE, 0)</f>
        <v>0</v>
      </c>
      <c r="DK20" s="529">
        <f>Table9[[#This Row],[Earth Quake Risk Index Score]]*'Detailed Rubric V3'!$I$104</f>
        <v>0</v>
      </c>
      <c r="DL20" s="529" t="s">
        <v>428</v>
      </c>
      <c r="DM20" s="529" cm="1">
        <f t="array" ref="DM20">_xlfn.IFS(Table9[[#This Row],[Sea Level Rise Risk Index (10%)]]="", 0, Table9[[#This Row],[Sea Level Rise Risk Index (10%)]]="Very Low", 4, Table9[[#This Row],[Sea Level Rise Risk Index (10%)]]="Moderate &amp; Low", 2, TRUE, 0)</f>
        <v>4</v>
      </c>
      <c r="DN20" s="529">
        <f>Table9[[#This Row],[Sea Level Rise  Risk Index Score]]*'Detailed Rubric V3'!$L$104</f>
        <v>0.4</v>
      </c>
      <c r="DO20" s="529" t="s">
        <v>419</v>
      </c>
      <c r="DP20" s="529" cm="1">
        <f t="array" ref="DP20">_xlfn.IFS(Table9[[#This Row],[Cyclone Risk Index (10%)]]="", 0, Table9[[#This Row],[Cyclone Risk Index (10%)]]="Very Low", 4, Table9[[#This Row],[Cyclone Risk Index (10%)]]="Moderate &amp; Low", 2, TRUE, 0)</f>
        <v>2</v>
      </c>
      <c r="DQ20" s="529">
        <f>Table9[[#This Row],[Cyclone Risk Index Score]]*'Detailed Rubric V3'!$O$104</f>
        <v>0.2</v>
      </c>
      <c r="DR20" s="529" t="s">
        <v>428</v>
      </c>
      <c r="DS20" s="529" cm="1">
        <f t="array" ref="DS20">_xlfn.IFS(Table9[[#This Row],[Storm Surge Risk Index (10%)]]="", 0, Table9[[#This Row],[Storm Surge Risk Index (10%)]]="Very Low", 4, Table9[[#This Row],[Storm Surge Risk Index (10%)]]="Moderate &amp; Low", 2, TRUE, 0)</f>
        <v>4</v>
      </c>
      <c r="DT20" s="529">
        <f>Table9[[#This Row],[Storm Surge Risk Index Score]]*'Detailed Rubric V3'!$R$104</f>
        <v>0.4</v>
      </c>
      <c r="DU20"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0.13200000000000001</v>
      </c>
      <c r="DV20" s="533">
        <f>SUM(Table9[[#This Row],[2.1. Connectivity/ Logistics (10% weightage)]],Table9[[#This Row],[2.2. Utility (12% weightage)]],Table9[[#This Row],[2.3. Agglomeration effects (10% weightage)]],Table9[[#This Row],[2.4. Regional Policy (4% weightage)]],Table9[[#This Row],[2.5. Social (8% weightage)]],Table9[[#This Row],[2.6. Environment (6% weightage)]])</f>
        <v>1.1800000000000002</v>
      </c>
      <c r="DW20" s="232">
        <f>_xlfn.RANK.EQ(Table9[[#This Row],[Level 2 Score]],$DV$3:$DV$103)</f>
        <v>49</v>
      </c>
      <c r="DX20" s="533">
        <f>Table9[[#This Row],[Level 1 Score]]+Table9[[#This Row],[Level 2 Score]]</f>
        <v>2.7800000000000002</v>
      </c>
      <c r="DY20" s="336">
        <f>_xlfn.RANK.EQ(Table9[[#This Row],[Total Score]],$DX$3:$DX$103)</f>
        <v>14</v>
      </c>
      <c r="DZ20" s="237" t="str">
        <f>IF(Table9[[#This Row],[Count of Blanks]]&lt;=2, "Yes", "No")</f>
        <v>Yes</v>
      </c>
      <c r="EA20" s="237">
        <f>COUNTBLANK(Table9[[#This Row],[Name]:[Total Score Rank]])</f>
        <v>0</v>
      </c>
      <c r="EB20" s="237"/>
    </row>
    <row r="21" spans="2:132" ht="27" x14ac:dyDescent="0.25">
      <c r="B21" s="594">
        <v>47</v>
      </c>
      <c r="C21" s="334" t="s">
        <v>235</v>
      </c>
      <c r="D21" s="594" t="s">
        <v>113</v>
      </c>
      <c r="E21" s="594" t="s">
        <v>236</v>
      </c>
      <c r="F21" s="594" t="s">
        <v>237</v>
      </c>
      <c r="G21" s="594" t="s">
        <v>70</v>
      </c>
      <c r="H21" s="595" t="s">
        <v>430</v>
      </c>
      <c r="I21" s="596" t="s">
        <v>454</v>
      </c>
      <c r="J21" s="597" t="s">
        <v>444</v>
      </c>
      <c r="K21" s="594">
        <f>IFERROR(VLOOKUP(Table9[[#This Row],[Land Availability (Grade)​
(50%)]],'Detailed Rubric V3'!$B$8:$C$11,2), 0)</f>
        <v>0</v>
      </c>
      <c r="L21" s="594">
        <f>IFERROR(Table9[[#This Row],[Land Availability (Grade)​ Score]]*'Detailed Rubric V3'!$C$6, "")</f>
        <v>0</v>
      </c>
      <c r="M21" s="598">
        <v>405.84</v>
      </c>
      <c r="N21" s="598" cm="1">
        <f t="array" ref="N21">_xlfn.IFS(Table9[[#This Row],[Land Size (Acres)
(15%)]]&lt;100,0,Table9[[#This Row],[Land Size (Acres)
(15%)]]&gt;500,4,TRUE,2)</f>
        <v>2</v>
      </c>
      <c r="O21" s="598">
        <f>Table9[[#This Row],[Land Size (Acres) Score]]*'Detailed Rubric V3'!$G$6</f>
        <v>0.3</v>
      </c>
      <c r="P21" s="599">
        <f>68.55*10000000/1000000</f>
        <v>685.5</v>
      </c>
      <c r="Q21" s="599">
        <f>IFERROR(Table9[[#This Row],[Site Filling Cost (Mn BDT)]]/Table9[[#This Row],[Land Size (Acres)
(15%)]],"")</f>
        <v>1.689089296274394</v>
      </c>
      <c r="R21" s="599" cm="1">
        <f t="array" ref="R21">IF(Table9[[#This Row],[Name]]="Sitakundo Economic Zone", 4, _xlfn.IFS(Table9[[#This Row],[Site Filling Cost (Mn BDT)]]="",0,Table9[[#This Row],[Land Suitability
(Cost of Land Filling in Million BDT per acre)
(25%)]]&gt;5,0,Table9[[#This Row],[Land Suitability
(Cost of Land Filling in Million BDT per acre)
(25%)]]&lt;2,4,TRUE,2))</f>
        <v>4</v>
      </c>
      <c r="S21" s="599">
        <f>Table9[[#This Row],[Land Suitability for Construction Score]]*'Detailed Rubric V3'!$J$6</f>
        <v>1</v>
      </c>
      <c r="T21" s="599">
        <v>0</v>
      </c>
      <c r="U21" s="599">
        <f>IFERROR(Table9[[#This Row],[Embankment/Dyke Cost (Mn BDT)]]/Table9[[#This Row],[Land Size (Acres)
(15%)]], 0)</f>
        <v>0</v>
      </c>
      <c r="V21" s="599" cm="1">
        <f t="array" ref="V21">IF(Table9[[#This Row],[Name]]="Sitakundo Economic Zone", 2, _xlfn.IFS(Table9[[#This Row],[Embankment/Dyke Cost (Mn BDT)]]="",0,Table9[[#This Row],[Cost of DRRI Infrastructure in million BDT per acre
(10%)]]&gt;5,0,Table9[[#This Row],[Cost of DRRI Infrastructure in million BDT per acre
(10%)]]&lt;2,4,TRUE,2))</f>
        <v>4</v>
      </c>
      <c r="W21" s="599">
        <f>Table9[[#This Row],[Requirement for Distaster Risk Reduction &amp; Resilience Infrastructure Score]]*'Detailed Rubric V3'!$M$6</f>
        <v>0.4</v>
      </c>
      <c r="X21" s="600">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0.34000000000000008</v>
      </c>
      <c r="Y21" s="601" t="s">
        <v>436</v>
      </c>
      <c r="Z21" s="602">
        <f>IFERROR(VLOOKUP(Table9[[#This Row],[Zone Priority
(40%)]],'Detailed Rubric V3'!$B$18:$C$21, 2,FALSE), 0)</f>
        <v>0</v>
      </c>
      <c r="AA21" s="602">
        <f>IFERROR(Table9[[#This Row],[Zone Priority Score]]*'Detailed Rubric V3'!$C$16, 0)</f>
        <v>0</v>
      </c>
      <c r="AB21" s="603" t="s">
        <v>416</v>
      </c>
      <c r="AC21" s="603">
        <f>VLOOKUP(Table9[[#This Row],[Existing BEZA Report
(60%)]],'Detailed Rubric V3'!$E$18:$F$20,2,FALSE)</f>
        <v>4</v>
      </c>
      <c r="AD21" s="603">
        <f>Table9[[#This Row],[Existing BEZA Report Score]]*'Detailed Rubric V3'!F$16</f>
        <v>4</v>
      </c>
      <c r="AE21" s="603">
        <f>(Table9[[#This Row],[Zone Priority Weighted Score]]+Table9[[#This Row],[Existing BEZA Report Weighted Score]])*'Detailed Rubric V3'!$C$14</f>
        <v>0.6</v>
      </c>
      <c r="AF21" s="604">
        <v>3</v>
      </c>
      <c r="AG21" s="605" cm="1">
        <f t="array" ref="AG21">_xlfn.IFS(Table9[[#This Row],[Existing Sectors
(50%)]]&gt;10, 4,Table9[[#This Row],[Existing Sectors
(50%)]]&lt;5, 0, TRUE, 2)</f>
        <v>0</v>
      </c>
      <c r="AH21" s="605">
        <f>Table9[[#This Row],[Existing Sectors Score]]*'Detailed Rubric V3'!$C$25</f>
        <v>0</v>
      </c>
      <c r="AI21" s="605">
        <v>4</v>
      </c>
      <c r="AJ21" s="605">
        <v>1</v>
      </c>
      <c r="AK21" s="605" cm="1">
        <f t="array" ref="AK21">_xlfn.IFS(Table9[[#This Row],[Potential New Sectors
(50%)]]&gt;5, 4, Table9[[#This Row],[Potential New Sectors
(50%)]]&lt;2,0, TRUE, 2)</f>
        <v>0</v>
      </c>
      <c r="AL21" s="605">
        <f>Table9[[#This Row],[Potential New Sectors Score]]*'Detailed Rubric V3'!$F$25</f>
        <v>0</v>
      </c>
      <c r="AM21" s="606">
        <f>(Table9[[#This Row],[Existing Sectors Weighted Score]]+Table9[[#This Row],[Potential New Sectors Weighted Score]])*'Detailed Rubric V3'!$C$23</f>
        <v>0</v>
      </c>
      <c r="AN21" s="607">
        <f>SUM(Table9[[#This Row],[1.1. Land Details (20% weightage)]],Table9[[#This Row],[1.2. BEZA Existing plans (15% weightage)]],Table9[[#This Row],[1.3. Sector Demand (15% weightage):]])</f>
        <v>0.94000000000000006</v>
      </c>
      <c r="AO21" s="608">
        <f>_xlfn.RANK.EQ(Table9[[#This Row],[Level 1 Score]],$AN$3:$AN$103)</f>
        <v>26</v>
      </c>
      <c r="AP21" s="609">
        <v>3.9</v>
      </c>
      <c r="AQ21" s="609" cm="1">
        <f t="array" ref="AQ21">_xlfn.IFS(Table9[[#This Row],[National Highway Connectivity (km)
(15%)]]="", 0, Table9[[#This Row],[National Highway Connectivity (km)
(15%)]]&gt;50, 0, Table9[[#This Row],[National Highway Connectivity (km)
(15%)]]&lt;=25, 4, TRUE, 2)</f>
        <v>4</v>
      </c>
      <c r="AR21" s="609">
        <f>Table9[[#This Row],[National Highway Connectivity Score]]*'Detailed Rubric V3'!$C$35</f>
        <v>0.6</v>
      </c>
      <c r="AS21" s="609" t="s">
        <v>417</v>
      </c>
      <c r="AT21" s="609" cm="1">
        <f t="array" ref="AT21">_xlfn.IFS(Table9[[#This Row],[Connecting Road to Highway (km)
(15%)]]="", 0, Table9[[#This Row],[Connecting Road to Highway (km)
(15%)]]="Yes", 4, TRUE, 0)</f>
        <v>4</v>
      </c>
      <c r="AU21" s="609">
        <f>Table9[[#This Row],[Connecting Road to Highway Score]]*'Detailed Rubric V3'!$F$35</f>
        <v>0.6</v>
      </c>
      <c r="AV21" s="609">
        <v>176.2</v>
      </c>
      <c r="AW21" s="609" cm="1">
        <f t="array" ref="AW21">_xlfn.IFS(Table9[[#This Row],[Seaport Connectivity (km)
(30%)]]="",0, Table9[[#This Row],[Seaport Connectivity (km)
(30%)]]&gt;400, 0,Table9[[#This Row],[Seaport Connectivity (km)
(30%)]]&lt;=200,4, TRUE, 2)</f>
        <v>4</v>
      </c>
      <c r="AX21" s="609">
        <f>Table9[[#This Row],[Seaport Connectivity Score]]*'Detailed Rubric V3'!$I$35</f>
        <v>1.2</v>
      </c>
      <c r="AY21" s="609">
        <v>30</v>
      </c>
      <c r="AZ21" s="609" cm="1">
        <f t="array" ref="AZ21">_xlfn.IFS(Table9[[#This Row],[Airport Connectivity (km)
(10%)]]="", 0, Table9[[#This Row],[Airport Connectivity (km)
(10%)]]&gt;200, 0, Table9[[#This Row],[Airport Connectivity (km)
(10%)]]&lt;=100,4,TRUE, 2)</f>
        <v>4</v>
      </c>
      <c r="BA21" s="609">
        <f>Table9[[#This Row],[Airport Connectivity Score]]*'Detailed Rubric V3'!$C$41</f>
        <v>0.4</v>
      </c>
      <c r="BB21" s="609">
        <v>6</v>
      </c>
      <c r="BC21" s="609" cm="1">
        <f t="array" ref="BC21">_xlfn.IFS(Table9[[#This Row],[Railway Station (km)
(10%)]]="", 0, Table9[[#This Row],[Railway Station (km)
(10%)]]&gt;150, 0,Table9[[#This Row],[Railway Station (km)
(10%)]]&lt;=50,4, TRUE, 2)</f>
        <v>4</v>
      </c>
      <c r="BD21" s="609">
        <f>Table9[[#This Row],[Railway Station Score]]*'Detailed Rubric V3'!$F$41</f>
        <v>0.4</v>
      </c>
      <c r="BE21" s="609">
        <v>150</v>
      </c>
      <c r="BF21" s="609" cm="1">
        <f t="array" ref="BF21">_xlfn.IFS(Table9[[#This Row],[Inland waterway/ Land port (km)
(20%)]]="", 0, Table9[[#This Row],[Inland waterway/ Land port (km)
(20%)]]&gt;200, 0,Table9[[#This Row],[Inland waterway/ Land port (km)
(20%)]]&lt;=50,4, TRUE, 2)</f>
        <v>2</v>
      </c>
      <c r="BG21" s="609">
        <f>Table9[[#This Row],[Inland waterway/ Land port Score]]*'Detailed Rubric V3'!$I$41</f>
        <v>0.4</v>
      </c>
      <c r="BH21" s="610">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0.36</v>
      </c>
      <c r="BI21" s="609">
        <v>8.3000000000000007</v>
      </c>
      <c r="BJ21" s="609" cm="1">
        <f t="array" ref="BJ21">_xlfn.IFS(Table9[[#This Row],[Power Station (40%)]]="",0, Table9[[#This Row],[Power Station (40%)]]&gt;100, 0,Table9[[#This Row],[Power Station (40%)]]&lt;=50,4, TRUE, 2)</f>
        <v>4</v>
      </c>
      <c r="BK21" s="609">
        <f>Table9[[#This Row],[Power Station Score]]*'Detailed Rubric V3'!$C$53</f>
        <v>1.6</v>
      </c>
      <c r="BL21" s="609">
        <v>75</v>
      </c>
      <c r="BM21" s="609" cm="1">
        <f t="array" ref="BM21">IF(ISNUMBER(Table9[[#This Row],[Gas Station (20%)]]), _xlfn.IFS(Table9[[#This Row],[Gas Station (20%)]]="", 0, Table9[[#This Row],[Gas Station (20%)]]&gt;100, 0,Table9[[#This Row],[Gas Station (20%)]]&lt;=50,4, TRUE, 2), 0)</f>
        <v>2</v>
      </c>
      <c r="BN21" s="609">
        <f>Table9[[#This Row],[Gas Station Score]]*'Detailed Rubric V3'!$F$53</f>
        <v>0.4</v>
      </c>
      <c r="BO21" s="609">
        <v>0.44</v>
      </c>
      <c r="BP21" s="609" cm="1">
        <f t="array" ref="BP21">IF(ISNUMBER(Table9[[#This Row],[Source of Surface Water (40%)]]), _xlfn.IFS(Table9[[#This Row],[Source of Surface Water (40%)]]="", 0, Table9[[#This Row],[Source of Surface Water (40%)]]&gt;50, 0,Table9[[#This Row],[Source of Surface Water (40%)]]&lt;=20,4, TRUE, 2), 0)</f>
        <v>4</v>
      </c>
      <c r="BQ21" s="609">
        <f>Table9[[#This Row],[Source of Surface Water Score]]*'Detailed Rubric V3'!$I$53</f>
        <v>1.6</v>
      </c>
      <c r="BR21" s="609">
        <f>SUM(Table9[[#This Row],[Power Station Weighted Score]],Table9[[#This Row],[Gas Station Weighted Score]],Table9[[#This Row],[Source of Surface Water Weighted Score]])*'Detailed Rubric V3'!$C$51</f>
        <v>0.432</v>
      </c>
      <c r="BS21" s="609" t="s">
        <v>418</v>
      </c>
      <c r="BT21" s="609" cm="1">
        <f t="array" ref="BT21">_xlfn.IFS(Table9[[#This Row],[Other BEZA EZ (20%)]]="", 0, Table9[[#This Row],[Other BEZA EZ (20%)]]="Yes", 4, TRUE, 0)</f>
        <v>0</v>
      </c>
      <c r="BU21" s="609">
        <f>Table9[[#This Row],[Other BEZA EZ Score]]*'Detailed Rubric V3'!$C$66</f>
        <v>0</v>
      </c>
      <c r="BV21" s="609" t="s">
        <v>417</v>
      </c>
      <c r="BW21" s="609" cm="1">
        <f t="array" ref="BW21">_xlfn.IFS(Table9[[#This Row],[BEPZA/ BHPTA/ BSCIC (20%)]]="", 0, Table9[[#This Row],[BEPZA/ BHPTA/ BSCIC (20%)]]="Yes", 4, TRUE, 0)</f>
        <v>4</v>
      </c>
      <c r="BX21" s="609">
        <f>Table9[[#This Row],[BEPZA/ BHPTA/ BSCIC Score]]*'Detailed Rubric V3'!$F$66</f>
        <v>0.8</v>
      </c>
      <c r="BY21" s="609">
        <v>144</v>
      </c>
      <c r="BZ21" s="609" cm="1">
        <f t="array" ref="BZ21">_xlfn.IFS(Table9[[#This Row],[Cluster Industries (from SMI) (20%)]]="", 0, Table9[[#This Row],[Cluster Industries (from SMI) (20%)]]&gt;100, 4, Table9[[#This Row],[Cluster Industries (from SMI) (20%)]]&lt;50, 0, TRUE, 2)</f>
        <v>4</v>
      </c>
      <c r="CA21" s="609">
        <f>Table9[[#This Row],[Cluster Industries (from SMI) Score]]*'Detailed Rubric V3'!$I$66</f>
        <v>0.8</v>
      </c>
      <c r="CB21" s="609" t="s">
        <v>417</v>
      </c>
      <c r="CC21" s="609" cm="1">
        <f t="array" ref="CC21">_xlfn.IFS(Table9[[#This Row],[Located on Industrial corridor (40%)]]="", 0, Table9[[#This Row],[Located on Industrial corridor (40%)]]="Yes", 4, TRUE, 0)</f>
        <v>4</v>
      </c>
      <c r="CD21" s="609">
        <f>Table9[[#This Row],[Located on Industrial corridor Score]]*'Detailed Rubric V3'!$L$66</f>
        <v>1.6</v>
      </c>
      <c r="CE21" s="609">
        <f>SUM(Table9[[#This Row],[Other BEZA EZ Weighted Score]],Table9[[#This Row],[BEPZA/ BHPTA/ BSCIC Weighted Score]],Table9[[#This Row],[Unorganized (from SMI) Weighted Score]],Table9[[#This Row],[Located on Industrial corridor Weighted Score]])*'Detailed Rubric V3'!$C$64</f>
        <v>0.32000000000000006</v>
      </c>
      <c r="CF21" s="609" t="s">
        <v>417</v>
      </c>
      <c r="CG21" s="609" cm="1">
        <f t="array" ref="CG21">_xlfn.IFS(Table9[[#This Row],[Economic/ Social priority (laggered area) (100%)]]="", 0, Table9[[#This Row],[Economic/ Social priority (laggered area) (100%)]]="Yes", 4, TRUE, 0)</f>
        <v>4</v>
      </c>
      <c r="CH21" s="609">
        <f>Table9[[#This Row],[Economic/ Social priority (laggered area) Score]]*'Detailed Rubric V3'!$C$82</f>
        <v>4</v>
      </c>
      <c r="CI21" s="609" t="s">
        <v>417</v>
      </c>
      <c r="CJ21" s="609" cm="1">
        <f t="array" ref="CJ21">_xlfn.IFS(Table9[[#This Row],[Regional Tax incentive  (0%)]]="", 0, Table9[[#This Row],[Regional Tax incentive  (0%)]]="Yes", 4, TRUE, 0)</f>
        <v>4</v>
      </c>
      <c r="CK21" s="609">
        <f>Table9[[#This Row],[Regional Tax incentive Score]]*'Detailed Rubric V3'!$F$82</f>
        <v>0</v>
      </c>
      <c r="CL21" s="609">
        <f>SUM(Table9[[#This Row],[Economic/ Social priority (laagered area) Weighted Score]],Table9[[#This Row],[Regional Tax incentive  Weighted Score]])*'Detailed Rubric V3'!$C$80</f>
        <v>0.16</v>
      </c>
      <c r="CM21" s="609">
        <v>453080</v>
      </c>
      <c r="CN21" s="609" cm="1">
        <f t="array" ref="CN21">_xlfn.IFS(Table9[[#This Row],[Employable population (40%) 2013]]="", 0, Table9[[#This Row],[Employable population (40%) 2013]]&gt;200000, 4, Table9[[#This Row],[Employable population (40%) 2013]]&lt;100000,0, TRUE, 2)</f>
        <v>4</v>
      </c>
      <c r="CO21" s="609">
        <f>Table9[[#This Row],[Employable population Score]]*'Detailed Rubric V3'!$C$92</f>
        <v>1.6</v>
      </c>
      <c r="CP21" s="609">
        <v>43</v>
      </c>
      <c r="CQ21" s="609" cm="1">
        <f t="array" ref="CQ21">_xlfn.IFS(Table9[[#This Row],[Housing (20%)]]="", 0, Table9[[#This Row],[Housing (20%)]]&gt;50, 0, Table9[[#This Row],[Housing (20%)]]&lt;25, 4, TRUE, 2)</f>
        <v>2</v>
      </c>
      <c r="CR21" s="609">
        <f>Table9[[#This Row],[Housing Score]]*'Detailed Rubric V3'!$F$92</f>
        <v>0.4</v>
      </c>
      <c r="CS21" s="609">
        <v>11</v>
      </c>
      <c r="CT21" s="609" cm="1">
        <f t="array" ref="CT21">_xlfn.IFS(Table9[[#This Row],[Hotels (10%)]]="", 0, Table9[[#This Row],[Hotels (10%)]]&gt;25, 4, Table9[[#This Row],[Hotels (10%)]]&lt;5, 0, TRUE, 2)</f>
        <v>2</v>
      </c>
      <c r="CU21" s="609">
        <f>Table9[[#This Row],[Hotels Score]]*'Detailed Rubric V3'!$I$92</f>
        <v>0.2</v>
      </c>
      <c r="CV21" s="609">
        <v>129</v>
      </c>
      <c r="CW21" s="609" cm="1">
        <f t="array" ref="CW21">_xlfn.IFS(Table9[[#This Row],[Health (Hospital) (15%)]]="", 0, Table9[[#This Row],[Health (Hospital) (15%)]]&gt;10, 4, Table9[[#This Row],[Health (Hospital) (15%)]]&lt;5, 0, TRUE, 2)</f>
        <v>4</v>
      </c>
      <c r="CX21" s="609">
        <f>Table9[[#This Row],[Health (Hospital) Score]]*'Detailed Rubric V3'!$L$92</f>
        <v>0.6</v>
      </c>
      <c r="CY21" s="609">
        <v>2</v>
      </c>
      <c r="CZ21" s="609" cm="1">
        <f t="array" ref="CZ21">_xlfn.IFS(Table9[[#This Row],[University/ Technical &amp; Vocational Institutions (15%)]]="", 0, Table9[[#This Row],[University/ Technical &amp; Vocational Institutions (15%)]]&gt;3, 4, Table9[[#This Row],[University/ Technical &amp; Vocational Institutions (15%)]]&lt;1, 0, TRUE, 2)</f>
        <v>2</v>
      </c>
      <c r="DA21" s="609">
        <f>Table9[[#This Row],[University/ Technical &amp; Vocational Institutions Score]]*'Detailed Rubric V3'!$O$92</f>
        <v>0.3</v>
      </c>
      <c r="DB21" s="609">
        <f>SUM(Table9[[#This Row],[Employable population Weighted Score]],Table9[[#This Row],[Housing Weighted Score]],Table9[[#This Row],[Hotels Weighted Score]],Table9[[#This Row],[Health (Hospital) Weighted Score]],Table9[[#This Row],[University/ Technical &amp; Vocational Institutions Weighted Score]])*'Detailed Rubric V3'!$C$90</f>
        <v>0.24800000000000003</v>
      </c>
      <c r="DC21" s="609" t="s">
        <v>418</v>
      </c>
      <c r="DD21" s="609" cm="1">
        <f t="array" ref="DD21">_xlfn.IFS(Table9[[#This Row],[Environment compliance (30%)]]="", 0, Table9[[#This Row],[Environment compliance (30%)]]="Yes", 4, TRUE, 0)</f>
        <v>0</v>
      </c>
      <c r="DE21" s="609">
        <f>Table9[[#This Row],[Environment compliance Score]]*'Detailed Rubric V3'!$C$104</f>
        <v>0</v>
      </c>
      <c r="DF21" s="609" t="s">
        <v>421</v>
      </c>
      <c r="DG21" s="609" cm="1">
        <f t="array" ref="DG21">_xlfn.IFS(Table9[[#This Row],[Flood Risk Index (30%)]]="", 0, Table9[[#This Row],[Flood Risk Index (30%)]]="Very Low", 4, Table9[[#This Row],[Flood Risk Index (30%)]]="Moderate &amp; Low", 2, TRUE, 0)</f>
        <v>0</v>
      </c>
      <c r="DH21" s="609">
        <f>Table9[[#This Row],[Flood Risk Index Score]]*'Detailed Rubric V3'!$F$104</f>
        <v>0</v>
      </c>
      <c r="DI21" s="609" t="s">
        <v>419</v>
      </c>
      <c r="DJ21" s="609" cm="1">
        <f t="array" ref="DJ21">_xlfn.IFS(Table9[[#This Row],[Earth Quake Risk Index (10%)]]="", 0, Table9[[#This Row],[Earth Quake Risk Index (10%)]]="Very Low", 4, Table9[[#This Row],[Earth Quake Risk Index (10%)]]="Moderate &amp; Low", 2, TRUE, 0)</f>
        <v>2</v>
      </c>
      <c r="DK21" s="609">
        <f>Table9[[#This Row],[Earth Quake Risk Index Score]]*'Detailed Rubric V3'!$I$104</f>
        <v>0.2</v>
      </c>
      <c r="DL21" s="609" t="s">
        <v>428</v>
      </c>
      <c r="DM21" s="609" cm="1">
        <f t="array" ref="DM21">_xlfn.IFS(Table9[[#This Row],[Sea Level Rise Risk Index (10%)]]="", 0, Table9[[#This Row],[Sea Level Rise Risk Index (10%)]]="Very Low", 4, Table9[[#This Row],[Sea Level Rise Risk Index (10%)]]="Moderate &amp; Low", 2, TRUE, 0)</f>
        <v>4</v>
      </c>
      <c r="DN21" s="609">
        <f>Table9[[#This Row],[Sea Level Rise  Risk Index Score]]*'Detailed Rubric V3'!$L$104</f>
        <v>0.4</v>
      </c>
      <c r="DO21" s="609" t="s">
        <v>419</v>
      </c>
      <c r="DP21" s="609" cm="1">
        <f t="array" ref="DP21">_xlfn.IFS(Table9[[#This Row],[Cyclone Risk Index (10%)]]="", 0, Table9[[#This Row],[Cyclone Risk Index (10%)]]="Very Low", 4, Table9[[#This Row],[Cyclone Risk Index (10%)]]="Moderate &amp; Low", 2, TRUE, 0)</f>
        <v>2</v>
      </c>
      <c r="DQ21" s="609">
        <f>Table9[[#This Row],[Cyclone Risk Index Score]]*'Detailed Rubric V3'!$O$104</f>
        <v>0.2</v>
      </c>
      <c r="DR21" s="609" t="s">
        <v>428</v>
      </c>
      <c r="DS21" s="609" cm="1">
        <f t="array" ref="DS21">_xlfn.IFS(Table9[[#This Row],[Storm Surge Risk Index (10%)]]="", 0, Table9[[#This Row],[Storm Surge Risk Index (10%)]]="Very Low", 4, Table9[[#This Row],[Storm Surge Risk Index (10%)]]="Moderate &amp; Low", 2, TRUE, 0)</f>
        <v>4</v>
      </c>
      <c r="DT21" s="609">
        <f>Table9[[#This Row],[Storm Surge Risk Index Score]]*'Detailed Rubric V3'!$R$104</f>
        <v>0.4</v>
      </c>
      <c r="DU21" s="60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7.2000000000000008E-2</v>
      </c>
      <c r="DV21" s="611">
        <f>SUM(Table9[[#This Row],[2.1. Connectivity/ Logistics (10% weightage)]],Table9[[#This Row],[2.2. Utility (12% weightage)]],Table9[[#This Row],[2.3. Agglomeration effects (10% weightage)]],Table9[[#This Row],[2.4. Regional Policy (4% weightage)]],Table9[[#This Row],[2.5. Social (8% weightage)]],Table9[[#This Row],[2.6. Environment (6% weightage)]])</f>
        <v>1.5920000000000001</v>
      </c>
      <c r="DW21" s="612">
        <f>_xlfn.RANK.EQ(Table9[[#This Row],[Level 2 Score]],$DV$3:$DV$103)</f>
        <v>18</v>
      </c>
      <c r="DX21" s="611">
        <f>Table9[[#This Row],[Level 1 Score]]+Table9[[#This Row],[Level 2 Score]]</f>
        <v>2.532</v>
      </c>
      <c r="DY21" s="612">
        <f>_xlfn.RANK.EQ(Table9[[#This Row],[Total Score]],$DX$3:$DX$103)</f>
        <v>20</v>
      </c>
      <c r="DZ21" s="609" t="str">
        <f>IF(Table9[[#This Row],[Count of Blanks]]&lt;=2, "Yes", "No")</f>
        <v>Yes</v>
      </c>
      <c r="EA21" s="609">
        <f>COUNTBLANK(Table9[[#This Row],[Name]:[Total Score Rank]])</f>
        <v>0</v>
      </c>
      <c r="EB21" s="709" t="s">
        <v>1440</v>
      </c>
    </row>
    <row r="22" spans="2:132" ht="27" x14ac:dyDescent="0.25">
      <c r="B22" s="220">
        <v>58</v>
      </c>
      <c r="C22" s="221" t="s">
        <v>36</v>
      </c>
      <c r="D22" s="220" t="s">
        <v>94</v>
      </c>
      <c r="E22" s="220" t="s">
        <v>95</v>
      </c>
      <c r="F22" s="220" t="s">
        <v>96</v>
      </c>
      <c r="G22" s="220" t="s">
        <v>70</v>
      </c>
      <c r="H22" s="525" t="s">
        <v>410</v>
      </c>
      <c r="I22" s="70" t="s">
        <v>426</v>
      </c>
      <c r="J22" s="227" t="s">
        <v>412</v>
      </c>
      <c r="K22" s="220">
        <f>IFERROR(VLOOKUP(Table9[[#This Row],[Land Availability (Grade)​
(50%)]],'Detailed Rubric V3'!$B$8:$C$11,2), 0)</f>
        <v>4</v>
      </c>
      <c r="L22" s="220">
        <f>IFERROR(Table9[[#This Row],[Land Availability (Grade)​ Score]]*'Detailed Rubric V3'!$C$6, "")</f>
        <v>2</v>
      </c>
      <c r="M22" s="222">
        <v>352.12</v>
      </c>
      <c r="N22" s="222" cm="1">
        <f t="array" ref="N22">_xlfn.IFS(Table9[[#This Row],[Land Size (Acres)
(15%)]]&lt;100,0,Table9[[#This Row],[Land Size (Acres)
(15%)]]&gt;500,4,TRUE,2)</f>
        <v>2</v>
      </c>
      <c r="O22" s="222">
        <f>Table9[[#This Row],[Land Size (Acres) Score]]*'Detailed Rubric V3'!$G$6</f>
        <v>0.3</v>
      </c>
      <c r="P22" s="526">
        <v>978</v>
      </c>
      <c r="Q22" s="526">
        <f>IFERROR(Table9[[#This Row],[Site Filling Cost (Mn BDT)]]/Table9[[#This Row],[Land Size (Acres)
(15%)]],"")</f>
        <v>2.7774622287856414</v>
      </c>
      <c r="R22" s="526" cm="1">
        <f t="array" ref="R22">IF(Table9[[#This Row],[Name]]="Sitakundo Economic Zone", 4, _xlfn.IFS(Table9[[#This Row],[Site Filling Cost (Mn BDT)]]="",0,Table9[[#This Row],[Land Suitability
(Cost of Land Filling in Million BDT per acre)
(25%)]]&gt;5,0,Table9[[#This Row],[Land Suitability
(Cost of Land Filling in Million BDT per acre)
(25%)]]&lt;2,4,TRUE,2))</f>
        <v>2</v>
      </c>
      <c r="S22" s="526">
        <f>Table9[[#This Row],[Land Suitability for Construction Score]]*'Detailed Rubric V3'!$J$6</f>
        <v>0.5</v>
      </c>
      <c r="T22" s="526">
        <v>173</v>
      </c>
      <c r="U22" s="526">
        <f>IFERROR(Table9[[#This Row],[Embankment/Dyke Cost (Mn BDT)]]/Table9[[#This Row],[Land Size (Acres)
(15%)]], 0)</f>
        <v>0.49130978075656023</v>
      </c>
      <c r="V22" s="526" cm="1">
        <f t="array" ref="V22">IF(Table9[[#This Row],[Name]]="Sitakundo Economic Zone", 2, _xlfn.IFS(Table9[[#This Row],[Embankment/Dyke Cost (Mn BDT)]]="",0,Table9[[#This Row],[Cost of DRRI Infrastructure in million BDT per acre
(10%)]]&gt;5,0,Table9[[#This Row],[Cost of DRRI Infrastructure in million BDT per acre
(10%)]]&lt;2,4,TRUE,2))</f>
        <v>4</v>
      </c>
      <c r="W22" s="526">
        <f>Table9[[#This Row],[Requirement for Distaster Risk Reduction &amp; Resilience Infrastructure Score]]*'Detailed Rubric V3'!$M$6</f>
        <v>0.4</v>
      </c>
      <c r="X22"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0.64</v>
      </c>
      <c r="Y22" s="227" t="s">
        <v>415</v>
      </c>
      <c r="Z22" s="210">
        <f>IFERROR(VLOOKUP(Table9[[#This Row],[Zone Priority
(40%)]],'Detailed Rubric V3'!$B$18:$C$21, 2,FALSE), 0)</f>
        <v>4</v>
      </c>
      <c r="AA22" s="210">
        <f>IFERROR(Table9[[#This Row],[Zone Priority Score]]*'Detailed Rubric V3'!$C$16, 0)</f>
        <v>0</v>
      </c>
      <c r="AB22" s="237" t="s">
        <v>416</v>
      </c>
      <c r="AC22" s="237">
        <f>VLOOKUP(Table9[[#This Row],[Existing BEZA Report
(60%)]],'Detailed Rubric V3'!$E$18:$F$20,2,FALSE)</f>
        <v>4</v>
      </c>
      <c r="AD22" s="237">
        <f>Table9[[#This Row],[Existing BEZA Report Score]]*'Detailed Rubric V3'!F$16</f>
        <v>4</v>
      </c>
      <c r="AE22" s="237">
        <f>(Table9[[#This Row],[Zone Priority Weighted Score]]+Table9[[#This Row],[Existing BEZA Report Weighted Score]])*'Detailed Rubric V3'!$C$14</f>
        <v>0.6</v>
      </c>
      <c r="AF22" s="849">
        <v>5</v>
      </c>
      <c r="AG22" s="529" cm="1">
        <f t="array" ref="AG22">_xlfn.IFS(Table9[[#This Row],[Existing Sectors
(50%)]]&gt;10, 4,Table9[[#This Row],[Existing Sectors
(50%)]]&lt;5, 0, TRUE, 2)</f>
        <v>2</v>
      </c>
      <c r="AH22" s="529">
        <f>Table9[[#This Row],[Existing Sectors Score]]*'Detailed Rubric V3'!$C$25</f>
        <v>1</v>
      </c>
      <c r="AI22" s="529">
        <v>11</v>
      </c>
      <c r="AJ22" s="850">
        <v>0</v>
      </c>
      <c r="AK22" s="529" cm="1">
        <f t="array" ref="AK22">_xlfn.IFS(Table9[[#This Row],[Potential New Sectors
(50%)]]&gt;5, 4, Table9[[#This Row],[Potential New Sectors
(50%)]]&lt;2,0, TRUE, 2)</f>
        <v>0</v>
      </c>
      <c r="AL22" s="529">
        <f>Table9[[#This Row],[Potential New Sectors Score]]*'Detailed Rubric V3'!$F$25</f>
        <v>0</v>
      </c>
      <c r="AM22" s="232">
        <f>(Table9[[#This Row],[Existing Sectors Weighted Score]]+Table9[[#This Row],[Potential New Sectors Weighted Score]])*'Detailed Rubric V3'!$C$23</f>
        <v>0.15</v>
      </c>
      <c r="AN22" s="530">
        <f>SUM(Table9[[#This Row],[1.1. Land Details (20% weightage)]],Table9[[#This Row],[1.2. BEZA Existing plans (15% weightage)]],Table9[[#This Row],[1.3. Sector Demand (15% weightage):]])</f>
        <v>1.39</v>
      </c>
      <c r="AO22" s="531">
        <f>_xlfn.RANK.EQ(Table9[[#This Row],[Level 1 Score]],$AN$3:$AN$103)</f>
        <v>10</v>
      </c>
      <c r="AP22" s="529">
        <v>23</v>
      </c>
      <c r="AQ22" s="529" cm="1">
        <f t="array" ref="AQ22">_xlfn.IFS(Table9[[#This Row],[National Highway Connectivity (km)
(15%)]]="", 0, Table9[[#This Row],[National Highway Connectivity (km)
(15%)]]&gt;50, 0, Table9[[#This Row],[National Highway Connectivity (km)
(15%)]]&lt;=25, 4, TRUE, 2)</f>
        <v>4</v>
      </c>
      <c r="AR22" s="529">
        <f>Table9[[#This Row],[National Highway Connectivity Score]]*'Detailed Rubric V3'!$C$35</f>
        <v>0.6</v>
      </c>
      <c r="AS22" s="529" t="s">
        <v>417</v>
      </c>
      <c r="AT22" s="529" cm="1">
        <f t="array" ref="AT22">_xlfn.IFS(Table9[[#This Row],[Connecting Road to Highway (km)
(15%)]]="", 0, Table9[[#This Row],[Connecting Road to Highway (km)
(15%)]]="Yes", 4, TRUE, 0)</f>
        <v>4</v>
      </c>
      <c r="AU22" s="529">
        <f>Table9[[#This Row],[Connecting Road to Highway Score]]*'Detailed Rubric V3'!$F$35</f>
        <v>0.6</v>
      </c>
      <c r="AV22" s="529">
        <v>435</v>
      </c>
      <c r="AW22" s="529" cm="1">
        <f t="array" ref="AW22">_xlfn.IFS(Table9[[#This Row],[Seaport Connectivity (km)
(30%)]]="",0, Table9[[#This Row],[Seaport Connectivity (km)
(30%)]]&gt;400, 0,Table9[[#This Row],[Seaport Connectivity (km)
(30%)]]&lt;=200,4, TRUE, 2)</f>
        <v>0</v>
      </c>
      <c r="AX22" s="529">
        <f>Table9[[#This Row],[Seaport Connectivity Score]]*'Detailed Rubric V3'!$I$35</f>
        <v>0</v>
      </c>
      <c r="AY22" s="529">
        <v>55</v>
      </c>
      <c r="AZ22" s="529" cm="1">
        <f t="array" ref="AZ22">_xlfn.IFS(Table9[[#This Row],[Airport Connectivity (km)
(10%)]]="", 0, Table9[[#This Row],[Airport Connectivity (km)
(10%)]]&gt;200, 0, Table9[[#This Row],[Airport Connectivity (km)
(10%)]]&lt;=100,4,TRUE, 2)</f>
        <v>4</v>
      </c>
      <c r="BA22" s="529">
        <f>Table9[[#This Row],[Airport Connectivity Score]]*'Detailed Rubric V3'!$C$41</f>
        <v>0.4</v>
      </c>
      <c r="BB22" s="529">
        <v>43</v>
      </c>
      <c r="BC22" s="529" cm="1">
        <f t="array" ref="BC22">_xlfn.IFS(Table9[[#This Row],[Railway Station (km)
(10%)]]="", 0, Table9[[#This Row],[Railway Station (km)
(10%)]]&gt;150, 0,Table9[[#This Row],[Railway Station (km)
(10%)]]&lt;=50,4, TRUE, 2)</f>
        <v>4</v>
      </c>
      <c r="BD22" s="529">
        <f>Table9[[#This Row],[Railway Station Score]]*'Detailed Rubric V3'!$F$41</f>
        <v>0.4</v>
      </c>
      <c r="BE22" s="529">
        <v>208</v>
      </c>
      <c r="BF22" s="529" cm="1">
        <f t="array" ref="BF22">_xlfn.IFS(Table9[[#This Row],[Inland waterway/ Land port (km)
(20%)]]="", 0, Table9[[#This Row],[Inland waterway/ Land port (km)
(20%)]]&gt;200, 0,Table9[[#This Row],[Inland waterway/ Land port (km)
(20%)]]&lt;=50,4, TRUE, 2)</f>
        <v>0</v>
      </c>
      <c r="BG22" s="529">
        <f>Table9[[#This Row],[Inland waterway/ Land port Score]]*'Detailed Rubric V3'!$I$41</f>
        <v>0</v>
      </c>
      <c r="BH22"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0.2</v>
      </c>
      <c r="BI22" s="848">
        <v>5</v>
      </c>
      <c r="BJ22" s="529" cm="1">
        <f t="array" ref="BJ22">_xlfn.IFS(Table9[[#This Row],[Power Station (40%)]]="",0, Table9[[#This Row],[Power Station (40%)]]&gt;100, 0,Table9[[#This Row],[Power Station (40%)]]&lt;=50,4, TRUE, 2)</f>
        <v>4</v>
      </c>
      <c r="BK22" s="529">
        <f>Table9[[#This Row],[Power Station Score]]*'Detailed Rubric V3'!$C$53</f>
        <v>1.6</v>
      </c>
      <c r="BL22" s="529">
        <v>6</v>
      </c>
      <c r="BM22" s="529" cm="1">
        <f t="array" ref="BM22">IF(ISNUMBER(Table9[[#This Row],[Gas Station (20%)]]), _xlfn.IFS(Table9[[#This Row],[Gas Station (20%)]]="", 0, Table9[[#This Row],[Gas Station (20%)]]&gt;100, 0,Table9[[#This Row],[Gas Station (20%)]]&lt;=50,4, TRUE, 2), 0)</f>
        <v>4</v>
      </c>
      <c r="BN22" s="529">
        <f>Table9[[#This Row],[Gas Station Score]]*'Detailed Rubric V3'!$F$53</f>
        <v>0.8</v>
      </c>
      <c r="BO22" s="529">
        <v>1</v>
      </c>
      <c r="BP22" s="529" cm="1">
        <f t="array" ref="BP22">IF(ISNUMBER(Table9[[#This Row],[Source of Surface Water (40%)]]), _xlfn.IFS(Table9[[#This Row],[Source of Surface Water (40%)]]="", 0, Table9[[#This Row],[Source of Surface Water (40%)]]&gt;50, 0,Table9[[#This Row],[Source of Surface Water (40%)]]&lt;=20,4, TRUE, 2), 0)</f>
        <v>4</v>
      </c>
      <c r="BQ22" s="529">
        <f>Table9[[#This Row],[Source of Surface Water Score]]*'Detailed Rubric V3'!$I$53</f>
        <v>1.6</v>
      </c>
      <c r="BR22" s="529">
        <f>SUM(Table9[[#This Row],[Power Station Weighted Score]],Table9[[#This Row],[Gas Station Weighted Score]],Table9[[#This Row],[Source of Surface Water Weighted Score]])*'Detailed Rubric V3'!$C$51</f>
        <v>0.48</v>
      </c>
      <c r="BS22" s="529" t="s">
        <v>418</v>
      </c>
      <c r="BT22" s="529" cm="1">
        <f t="array" ref="BT22">_xlfn.IFS(Table9[[#This Row],[Other BEZA EZ (20%)]]="", 0, Table9[[#This Row],[Other BEZA EZ (20%)]]="Yes", 4, TRUE, 0)</f>
        <v>0</v>
      </c>
      <c r="BU22" s="529">
        <f>Table9[[#This Row],[Other BEZA EZ Score]]*'Detailed Rubric V3'!$C$66</f>
        <v>0</v>
      </c>
      <c r="BV22" s="529" t="s">
        <v>417</v>
      </c>
      <c r="BW22" s="529" cm="1">
        <f t="array" ref="BW22">_xlfn.IFS(Table9[[#This Row],[BEPZA/ BHPTA/ BSCIC (20%)]]="", 0, Table9[[#This Row],[BEPZA/ BHPTA/ BSCIC (20%)]]="Yes", 4, TRUE, 0)</f>
        <v>4</v>
      </c>
      <c r="BX22" s="529">
        <f>Table9[[#This Row],[BEPZA/ BHPTA/ BSCIC Score]]*'Detailed Rubric V3'!$F$66</f>
        <v>0.8</v>
      </c>
      <c r="BY22" s="529">
        <v>72</v>
      </c>
      <c r="BZ22" s="529" cm="1">
        <f t="array" ref="BZ22">_xlfn.IFS(Table9[[#This Row],[Cluster Industries (from SMI) (20%)]]="", 0, Table9[[#This Row],[Cluster Industries (from SMI) (20%)]]&gt;100, 4, Table9[[#This Row],[Cluster Industries (from SMI) (20%)]]&lt;50, 0, TRUE, 2)</f>
        <v>2</v>
      </c>
      <c r="CA22" s="529">
        <f>Table9[[#This Row],[Cluster Industries (from SMI) Score]]*'Detailed Rubric V3'!$I$66</f>
        <v>0.4</v>
      </c>
      <c r="CB22" s="848" t="s">
        <v>417</v>
      </c>
      <c r="CC22" s="529" cm="1">
        <f t="array" ref="CC22">_xlfn.IFS(Table9[[#This Row],[Located on Industrial corridor (40%)]]="", 0, Table9[[#This Row],[Located on Industrial corridor (40%)]]="Yes", 4, TRUE, 0)</f>
        <v>4</v>
      </c>
      <c r="CD22" s="529">
        <f>Table9[[#This Row],[Located on Industrial corridor Score]]*'Detailed Rubric V3'!$L$66</f>
        <v>1.6</v>
      </c>
      <c r="CE22" s="529">
        <f>SUM(Table9[[#This Row],[Other BEZA EZ Weighted Score]],Table9[[#This Row],[BEPZA/ BHPTA/ BSCIC Weighted Score]],Table9[[#This Row],[Unorganized (from SMI) Weighted Score]],Table9[[#This Row],[Located on Industrial corridor Weighted Score]])*'Detailed Rubric V3'!$C$64</f>
        <v>0.28000000000000003</v>
      </c>
      <c r="CF22" s="529" t="s">
        <v>417</v>
      </c>
      <c r="CG22" s="529" cm="1">
        <f t="array" ref="CG22">_xlfn.IFS(Table9[[#This Row],[Economic/ Social priority (laggered area) (100%)]]="", 0, Table9[[#This Row],[Economic/ Social priority (laggered area) (100%)]]="Yes", 4, TRUE, 0)</f>
        <v>4</v>
      </c>
      <c r="CH22" s="529">
        <f>Table9[[#This Row],[Economic/ Social priority (laggered area) Score]]*'Detailed Rubric V3'!$C$82</f>
        <v>4</v>
      </c>
      <c r="CI22" s="529" t="s">
        <v>417</v>
      </c>
      <c r="CJ22" s="529" cm="1">
        <f t="array" ref="CJ22">_xlfn.IFS(Table9[[#This Row],[Regional Tax incentive  (0%)]]="", 0, Table9[[#This Row],[Regional Tax incentive  (0%)]]="Yes", 4, TRUE, 0)</f>
        <v>4</v>
      </c>
      <c r="CK22" s="529">
        <f>Table9[[#This Row],[Regional Tax incentive Score]]*'Detailed Rubric V3'!$F$82</f>
        <v>0</v>
      </c>
      <c r="CL22" s="529">
        <f>SUM(Table9[[#This Row],[Economic/ Social priority (laagered area) Weighted Score]],Table9[[#This Row],[Regional Tax incentive  Weighted Score]])*'Detailed Rubric V3'!$C$80</f>
        <v>0.16</v>
      </c>
      <c r="CM22" s="529">
        <v>236537</v>
      </c>
      <c r="CN22" s="529" cm="1">
        <f t="array" ref="CN22">_xlfn.IFS(Table9[[#This Row],[Employable population (40%) 2013]]="", 0, Table9[[#This Row],[Employable population (40%) 2013]]&gt;200000, 4, Table9[[#This Row],[Employable population (40%) 2013]]&lt;100000,0, TRUE, 2)</f>
        <v>4</v>
      </c>
      <c r="CO22" s="529">
        <f>Table9[[#This Row],[Employable population Score]]*'Detailed Rubric V3'!$C$92</f>
        <v>1.6</v>
      </c>
      <c r="CP22" s="529">
        <v>1</v>
      </c>
      <c r="CQ22" s="529" cm="1">
        <f t="array" ref="CQ22">_xlfn.IFS(Table9[[#This Row],[Housing (20%)]]="", 0, Table9[[#This Row],[Housing (20%)]]&gt;50, 0, Table9[[#This Row],[Housing (20%)]]&lt;25, 4, TRUE, 2)</f>
        <v>4</v>
      </c>
      <c r="CR22" s="529">
        <f>Table9[[#This Row],[Housing Score]]*'Detailed Rubric V3'!$F$92</f>
        <v>0.8</v>
      </c>
      <c r="CS22" s="529">
        <v>41</v>
      </c>
      <c r="CT22" s="529" cm="1">
        <f t="array" ref="CT22">_xlfn.IFS(Table9[[#This Row],[Hotels (10%)]]="", 0, Table9[[#This Row],[Hotels (10%)]]&gt;25, 4, Table9[[#This Row],[Hotels (10%)]]&lt;5, 0, TRUE, 2)</f>
        <v>4</v>
      </c>
      <c r="CU22" s="529">
        <f>Table9[[#This Row],[Hotels Score]]*'Detailed Rubric V3'!$I$92</f>
        <v>0.4</v>
      </c>
      <c r="CV22" s="529">
        <v>68</v>
      </c>
      <c r="CW22" s="529" cm="1">
        <f t="array" ref="CW22">_xlfn.IFS(Table9[[#This Row],[Health (Hospital) (15%)]]="", 0, Table9[[#This Row],[Health (Hospital) (15%)]]&gt;10, 4, Table9[[#This Row],[Health (Hospital) (15%)]]&lt;5, 0, TRUE, 2)</f>
        <v>4</v>
      </c>
      <c r="CX22" s="529">
        <f>Table9[[#This Row],[Health (Hospital) Score]]*'Detailed Rubric V3'!$L$92</f>
        <v>0.6</v>
      </c>
      <c r="CY22" s="529">
        <v>9</v>
      </c>
      <c r="CZ22" s="529" cm="1">
        <f t="array" ref="CZ22">_xlfn.IFS(Table9[[#This Row],[University/ Technical &amp; Vocational Institutions (15%)]]="", 0, Table9[[#This Row],[University/ Technical &amp; Vocational Institutions (15%)]]&gt;3, 4, Table9[[#This Row],[University/ Technical &amp; Vocational Institutions (15%)]]&lt;1, 0, TRUE, 2)</f>
        <v>4</v>
      </c>
      <c r="DA22" s="529">
        <f>Table9[[#This Row],[University/ Technical &amp; Vocational Institutions Score]]*'Detailed Rubric V3'!$O$92</f>
        <v>0.6</v>
      </c>
      <c r="DB22"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22" s="529" t="s">
        <v>417</v>
      </c>
      <c r="DD22" s="529" cm="1">
        <f t="array" ref="DD22">_xlfn.IFS(Table9[[#This Row],[Environment compliance (30%)]]="", 0, Table9[[#This Row],[Environment compliance (30%)]]="Yes", 4, TRUE, 0)</f>
        <v>4</v>
      </c>
      <c r="DE22" s="529">
        <f>Table9[[#This Row],[Environment compliance Score]]*'Detailed Rubric V3'!$C$104</f>
        <v>1.2</v>
      </c>
      <c r="DF22" s="529" t="s">
        <v>419</v>
      </c>
      <c r="DG22" s="529" cm="1">
        <f t="array" ref="DG22">_xlfn.IFS(Table9[[#This Row],[Flood Risk Index (30%)]]="", 0, Table9[[#This Row],[Flood Risk Index (30%)]]="Very Low", 4, Table9[[#This Row],[Flood Risk Index (30%)]]="Moderate &amp; Low", 2, TRUE, 0)</f>
        <v>2</v>
      </c>
      <c r="DH22" s="529">
        <f>Table9[[#This Row],[Flood Risk Index Score]]*'Detailed Rubric V3'!$F$104</f>
        <v>0.6</v>
      </c>
      <c r="DI22" s="529" t="s">
        <v>419</v>
      </c>
      <c r="DJ22" s="529" cm="1">
        <f t="array" ref="DJ22">_xlfn.IFS(Table9[[#This Row],[Earth Quake Risk Index (10%)]]="", 0, Table9[[#This Row],[Earth Quake Risk Index (10%)]]="Very Low", 4, Table9[[#This Row],[Earth Quake Risk Index (10%)]]="Moderate &amp; Low", 2, TRUE, 0)</f>
        <v>2</v>
      </c>
      <c r="DK22" s="529">
        <f>Table9[[#This Row],[Earth Quake Risk Index Score]]*'Detailed Rubric V3'!$I$104</f>
        <v>0.2</v>
      </c>
      <c r="DL22" s="529" t="s">
        <v>428</v>
      </c>
      <c r="DM22" s="529" cm="1">
        <f t="array" ref="DM22">_xlfn.IFS(Table9[[#This Row],[Sea Level Rise Risk Index (10%)]]="", 0, Table9[[#This Row],[Sea Level Rise Risk Index (10%)]]="Very Low", 4, Table9[[#This Row],[Sea Level Rise Risk Index (10%)]]="Moderate &amp; Low", 2, TRUE, 0)</f>
        <v>4</v>
      </c>
      <c r="DN22" s="529">
        <f>Table9[[#This Row],[Sea Level Rise  Risk Index Score]]*'Detailed Rubric V3'!$L$104</f>
        <v>0.4</v>
      </c>
      <c r="DO22" s="529" t="s">
        <v>428</v>
      </c>
      <c r="DP22" s="529" cm="1">
        <f t="array" ref="DP22">_xlfn.IFS(Table9[[#This Row],[Cyclone Risk Index (10%)]]="", 0, Table9[[#This Row],[Cyclone Risk Index (10%)]]="Very Low", 4, Table9[[#This Row],[Cyclone Risk Index (10%)]]="Moderate &amp; Low", 2, TRUE, 0)</f>
        <v>4</v>
      </c>
      <c r="DQ22" s="529">
        <f>Table9[[#This Row],[Cyclone Risk Index Score]]*'Detailed Rubric V3'!$O$104</f>
        <v>0.4</v>
      </c>
      <c r="DR22" s="529" t="s">
        <v>428</v>
      </c>
      <c r="DS22" s="529" cm="1">
        <f t="array" ref="DS22">_xlfn.IFS(Table9[[#This Row],[Storm Surge Risk Index (10%)]]="", 0, Table9[[#This Row],[Storm Surge Risk Index (10%)]]="Very Low", 4, Table9[[#This Row],[Storm Surge Risk Index (10%)]]="Moderate &amp; Low", 2, TRUE, 0)</f>
        <v>4</v>
      </c>
      <c r="DT22" s="529">
        <f>Table9[[#This Row],[Storm Surge Risk Index Score]]*'Detailed Rubric V3'!$R$104</f>
        <v>0.4</v>
      </c>
      <c r="DU22"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0.19199999999999998</v>
      </c>
      <c r="DV22" s="533">
        <f>SUM(Table9[[#This Row],[2.1. Connectivity/ Logistics (10% weightage)]],Table9[[#This Row],[2.2. Utility (12% weightage)]],Table9[[#This Row],[2.3. Agglomeration effects (10% weightage)]],Table9[[#This Row],[2.4. Regional Policy (4% weightage)]],Table9[[#This Row],[2.5. Social (8% weightage)]],Table9[[#This Row],[2.6. Environment (6% weightage)]])</f>
        <v>1.6319999999999999</v>
      </c>
      <c r="DW22" s="232">
        <f>_xlfn.RANK.EQ(Table9[[#This Row],[Level 2 Score]],$DV$3:$DV$103)</f>
        <v>11</v>
      </c>
      <c r="DX22" s="533">
        <f>Table9[[#This Row],[Level 1 Score]]+Table9[[#This Row],[Level 2 Score]]</f>
        <v>3.0219999999999998</v>
      </c>
      <c r="DY22" s="335">
        <f>_xlfn.RANK.EQ(Table9[[#This Row],[Total Score]],$DX$3:$DX$103)</f>
        <v>8</v>
      </c>
      <c r="DZ22" s="237" t="str">
        <f>IF(Table9[[#This Row],[Count of Blanks]]&lt;=2, "Yes", "No")</f>
        <v>Yes</v>
      </c>
      <c r="EA22" s="237">
        <f>COUNTBLANK(Table9[[#This Row],[Name]:[Total Score Rank]])</f>
        <v>0</v>
      </c>
      <c r="EB22" s="237"/>
    </row>
    <row r="23" spans="2:132" x14ac:dyDescent="0.25">
      <c r="B23" s="220">
        <v>34</v>
      </c>
      <c r="C23" s="221" t="s">
        <v>37</v>
      </c>
      <c r="D23" s="220" t="s">
        <v>84</v>
      </c>
      <c r="E23" s="220" t="s">
        <v>97</v>
      </c>
      <c r="F23" s="220" t="s">
        <v>98</v>
      </c>
      <c r="G23" s="220" t="s">
        <v>70</v>
      </c>
      <c r="H23" s="525" t="s">
        <v>422</v>
      </c>
      <c r="I23" s="70" t="s">
        <v>426</v>
      </c>
      <c r="J23" s="227" t="s">
        <v>412</v>
      </c>
      <c r="K23" s="220">
        <f>IFERROR(VLOOKUP(Table9[[#This Row],[Land Availability (Grade)​
(50%)]],'Detailed Rubric V3'!$B$8:$C$11,2), 0)</f>
        <v>4</v>
      </c>
      <c r="L23" s="220">
        <f>IFERROR(Table9[[#This Row],[Land Availability (Grade)​ Score]]*'Detailed Rubric V3'!$C$6, "")</f>
        <v>2</v>
      </c>
      <c r="M23" s="222">
        <v>205.22</v>
      </c>
      <c r="N23" s="222" cm="1">
        <f t="array" ref="N23">_xlfn.IFS(Table9[[#This Row],[Land Size (Acres)
(15%)]]&lt;100,0,Table9[[#This Row],[Land Size (Acres)
(15%)]]&gt;500,4,TRUE,2)</f>
        <v>2</v>
      </c>
      <c r="O23" s="222">
        <f>Table9[[#This Row],[Land Size (Acres) Score]]*'Detailed Rubric V3'!$G$6</f>
        <v>0.3</v>
      </c>
      <c r="P23" s="526"/>
      <c r="Q23" s="526">
        <f>IFERROR(Table9[[#This Row],[Site Filling Cost (Mn BDT)]]/Table9[[#This Row],[Land Size (Acres)
(15%)]],"")</f>
        <v>0</v>
      </c>
      <c r="R23" s="526" cm="1">
        <f t="array" ref="R23">IF(Table9[[#This Row],[Name]]="Sitakundo Economic Zone", 4, _xlfn.IFS(Table9[[#This Row],[Site Filling Cost (Mn BDT)]]="",0,Table9[[#This Row],[Land Suitability
(Cost of Land Filling in Million BDT per acre)
(25%)]]&gt;5,0,Table9[[#This Row],[Land Suitability
(Cost of Land Filling in Million BDT per acre)
(25%)]]&lt;2,4,TRUE,2))</f>
        <v>0</v>
      </c>
      <c r="S23" s="526">
        <f>Table9[[#This Row],[Land Suitability for Construction Score]]*'Detailed Rubric V3'!$J$6</f>
        <v>0</v>
      </c>
      <c r="T23" s="526"/>
      <c r="U23" s="526">
        <f>IFERROR(Table9[[#This Row],[Embankment/Dyke Cost (Mn BDT)]]/Table9[[#This Row],[Land Size (Acres)
(15%)]], 0)</f>
        <v>0</v>
      </c>
      <c r="V23" s="526" cm="1">
        <f t="array" ref="V23">IF(Table9[[#This Row],[Name]]="Sitakundo Economic Zone", 2, _xlfn.IFS(Table9[[#This Row],[Embankment/Dyke Cost (Mn BDT)]]="",0,Table9[[#This Row],[Cost of DRRI Infrastructure in million BDT per acre
(10%)]]&gt;5,0,Table9[[#This Row],[Cost of DRRI Infrastructure in million BDT per acre
(10%)]]&lt;2,4,TRUE,2))</f>
        <v>0</v>
      </c>
      <c r="W23" s="526">
        <f>Table9[[#This Row],[Requirement for Distaster Risk Reduction &amp; Resilience Infrastructure Score]]*'Detailed Rubric V3'!$M$6</f>
        <v>0</v>
      </c>
      <c r="X23"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0.45999999999999996</v>
      </c>
      <c r="Y23" s="452" t="s">
        <v>415</v>
      </c>
      <c r="Z23" s="210">
        <f>IFERROR(VLOOKUP(Table9[[#This Row],[Zone Priority
(40%)]],'Detailed Rubric V3'!$B$18:$C$21, 2,FALSE), 0)</f>
        <v>4</v>
      </c>
      <c r="AA23" s="210">
        <f>IFERROR(Table9[[#This Row],[Zone Priority Score]]*'Detailed Rubric V3'!$C$16, 0)</f>
        <v>0</v>
      </c>
      <c r="AB23" s="237" t="s">
        <v>416</v>
      </c>
      <c r="AC23" s="237">
        <f>VLOOKUP(Table9[[#This Row],[Existing BEZA Report
(60%)]],'Detailed Rubric V3'!$E$18:$F$20,2,FALSE)</f>
        <v>4</v>
      </c>
      <c r="AD23" s="237">
        <f>Table9[[#This Row],[Existing BEZA Report Score]]*'Detailed Rubric V3'!F$16</f>
        <v>4</v>
      </c>
      <c r="AE23" s="237">
        <f>(Table9[[#This Row],[Zone Priority Weighted Score]]+Table9[[#This Row],[Existing BEZA Report Weighted Score]])*'Detailed Rubric V3'!$C$14</f>
        <v>0.6</v>
      </c>
      <c r="AF23" s="528">
        <v>0</v>
      </c>
      <c r="AG23" s="529" cm="1">
        <f t="array" ref="AG23">_xlfn.IFS(Table9[[#This Row],[Existing Sectors
(50%)]]&gt;10, 4,Table9[[#This Row],[Existing Sectors
(50%)]]&lt;5, 0, TRUE, 2)</f>
        <v>0</v>
      </c>
      <c r="AH23" s="529">
        <f>Table9[[#This Row],[Existing Sectors Score]]*'Detailed Rubric V3'!$C$25</f>
        <v>0</v>
      </c>
      <c r="AI23" s="529">
        <v>1</v>
      </c>
      <c r="AJ23" s="529">
        <v>1</v>
      </c>
      <c r="AK23" s="529" cm="1">
        <f t="array" ref="AK23">_xlfn.IFS(Table9[[#This Row],[Potential New Sectors
(50%)]]&gt;5, 4, Table9[[#This Row],[Potential New Sectors
(50%)]]&lt;2,0, TRUE, 2)</f>
        <v>0</v>
      </c>
      <c r="AL23" s="529">
        <f>Table9[[#This Row],[Potential New Sectors Score]]*'Detailed Rubric V3'!$F$25</f>
        <v>0</v>
      </c>
      <c r="AM23" s="232">
        <f>(Table9[[#This Row],[Existing Sectors Weighted Score]]+Table9[[#This Row],[Potential New Sectors Weighted Score]])*'Detailed Rubric V3'!$C$23</f>
        <v>0</v>
      </c>
      <c r="AN23" s="530">
        <f>SUM(Table9[[#This Row],[1.1. Land Details (20% weightage)]],Table9[[#This Row],[1.2. BEZA Existing plans (15% weightage)]],Table9[[#This Row],[1.3. Sector Demand (15% weightage):]])</f>
        <v>1.06</v>
      </c>
      <c r="AO23" s="531">
        <f>_xlfn.RANK.EQ(Table9[[#This Row],[Level 1 Score]],$AN$3:$AN$103)</f>
        <v>21</v>
      </c>
      <c r="AP23" s="529">
        <v>0</v>
      </c>
      <c r="AQ23" s="529" cm="1">
        <f t="array" ref="AQ23">_xlfn.IFS(Table9[[#This Row],[National Highway Connectivity (km)
(15%)]]="", 0, Table9[[#This Row],[National Highway Connectivity (km)
(15%)]]&gt;50, 0, Table9[[#This Row],[National Highway Connectivity (km)
(15%)]]&lt;=25, 4, TRUE, 2)</f>
        <v>4</v>
      </c>
      <c r="AR23" s="529">
        <f>Table9[[#This Row],[National Highway Connectivity Score]]*'Detailed Rubric V3'!$C$35</f>
        <v>0.6</v>
      </c>
      <c r="AS23" s="529" t="s">
        <v>417</v>
      </c>
      <c r="AT23" s="529" cm="1">
        <f t="array" ref="AT23">_xlfn.IFS(Table9[[#This Row],[Connecting Road to Highway (km)
(15%)]]="", 0, Table9[[#This Row],[Connecting Road to Highway (km)
(15%)]]="Yes", 4, TRUE, 0)</f>
        <v>4</v>
      </c>
      <c r="AU23" s="529">
        <f>Table9[[#This Row],[Connecting Road to Highway Score]]*'Detailed Rubric V3'!$F$35</f>
        <v>0.6</v>
      </c>
      <c r="AV23" s="529">
        <v>0.2</v>
      </c>
      <c r="AW23" s="529" cm="1">
        <f t="array" ref="AW23">_xlfn.IFS(Table9[[#This Row],[Seaport Connectivity (km)
(30%)]]="",0, Table9[[#This Row],[Seaport Connectivity (km)
(30%)]]&gt;400, 0,Table9[[#This Row],[Seaport Connectivity (km)
(30%)]]&lt;=200,4, TRUE, 2)</f>
        <v>4</v>
      </c>
      <c r="AX23" s="529">
        <f>Table9[[#This Row],[Seaport Connectivity Score]]*'Detailed Rubric V3'!$I$35</f>
        <v>1.2</v>
      </c>
      <c r="AY23" s="529">
        <v>85</v>
      </c>
      <c r="AZ23" s="529" cm="1">
        <f t="array" ref="AZ23">_xlfn.IFS(Table9[[#This Row],[Airport Connectivity (km)
(10%)]]="", 0, Table9[[#This Row],[Airport Connectivity (km)
(10%)]]&gt;200, 0, Table9[[#This Row],[Airport Connectivity (km)
(10%)]]&lt;=100,4,TRUE, 2)</f>
        <v>4</v>
      </c>
      <c r="BA23" s="529">
        <f>Table9[[#This Row],[Airport Connectivity Score]]*'Detailed Rubric V3'!$C$41</f>
        <v>0.4</v>
      </c>
      <c r="BB23" s="529">
        <v>44</v>
      </c>
      <c r="BC23" s="529" cm="1">
        <f t="array" ref="BC23">_xlfn.IFS(Table9[[#This Row],[Railway Station (km)
(10%)]]="", 0, Table9[[#This Row],[Railway Station (km)
(10%)]]&gt;150, 0,Table9[[#This Row],[Railway Station (km)
(10%)]]&lt;=50,4, TRUE, 2)</f>
        <v>4</v>
      </c>
      <c r="BD23" s="529">
        <f>Table9[[#This Row],[Railway Station Score]]*'Detailed Rubric V3'!$F$41</f>
        <v>0.4</v>
      </c>
      <c r="BE23" s="529">
        <v>0.2</v>
      </c>
      <c r="BF23" s="529" cm="1">
        <f t="array" ref="BF23">_xlfn.IFS(Table9[[#This Row],[Inland waterway/ Land port (km)
(20%)]]="", 0, Table9[[#This Row],[Inland waterway/ Land port (km)
(20%)]]&gt;200, 0,Table9[[#This Row],[Inland waterway/ Land port (km)
(20%)]]&lt;=50,4, TRUE, 2)</f>
        <v>4</v>
      </c>
      <c r="BG23" s="529">
        <f>Table9[[#This Row],[Inland waterway/ Land port Score]]*'Detailed Rubric V3'!$I$41</f>
        <v>0.8</v>
      </c>
      <c r="BH23"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0.4</v>
      </c>
      <c r="BI23" s="529">
        <v>3</v>
      </c>
      <c r="BJ23" s="529" cm="1">
        <f t="array" ref="BJ23">_xlfn.IFS(Table9[[#This Row],[Power Station (40%)]]="",0, Table9[[#This Row],[Power Station (40%)]]&gt;100, 0,Table9[[#This Row],[Power Station (40%)]]&lt;=50,4, TRUE, 2)</f>
        <v>4</v>
      </c>
      <c r="BK23" s="529">
        <f>Table9[[#This Row],[Power Station Score]]*'Detailed Rubric V3'!$C$53</f>
        <v>1.6</v>
      </c>
      <c r="BL23" s="529" t="s">
        <v>433</v>
      </c>
      <c r="BM23" s="529" cm="1">
        <f t="array" ref="BM23">IF(ISNUMBER(Table9[[#This Row],[Gas Station (20%)]]), _xlfn.IFS(Table9[[#This Row],[Gas Station (20%)]]="", 0, Table9[[#This Row],[Gas Station (20%)]]&gt;100, 0,Table9[[#This Row],[Gas Station (20%)]]&lt;=50,4, TRUE, 2), 0)</f>
        <v>0</v>
      </c>
      <c r="BN23" s="529">
        <f>Table9[[#This Row],[Gas Station Score]]*'Detailed Rubric V3'!$F$53</f>
        <v>0</v>
      </c>
      <c r="BO23" s="529" t="s">
        <v>437</v>
      </c>
      <c r="BP23" s="529" cm="1">
        <f t="array" ref="BP23">IF(ISNUMBER(Table9[[#This Row],[Source of Surface Water (40%)]]), _xlfn.IFS(Table9[[#This Row],[Source of Surface Water (40%)]]="", 0, Table9[[#This Row],[Source of Surface Water (40%)]]&gt;50, 0,Table9[[#This Row],[Source of Surface Water (40%)]]&lt;=20,4, TRUE, 2), 0)</f>
        <v>0</v>
      </c>
      <c r="BQ23" s="529">
        <f>Table9[[#This Row],[Source of Surface Water Score]]*'Detailed Rubric V3'!$I$53</f>
        <v>0</v>
      </c>
      <c r="BR23" s="529">
        <f>SUM(Table9[[#This Row],[Power Station Weighted Score]],Table9[[#This Row],[Gas Station Weighted Score]],Table9[[#This Row],[Source of Surface Water Weighted Score]])*'Detailed Rubric V3'!$C$51</f>
        <v>0.192</v>
      </c>
      <c r="BS23" s="529" t="s">
        <v>417</v>
      </c>
      <c r="BT23" s="529" cm="1">
        <f t="array" ref="BT23">_xlfn.IFS(Table9[[#This Row],[Other BEZA EZ (20%)]]="", 0, Table9[[#This Row],[Other BEZA EZ (20%)]]="Yes", 4, TRUE, 0)</f>
        <v>4</v>
      </c>
      <c r="BU23" s="529">
        <f>Table9[[#This Row],[Other BEZA EZ Score]]*'Detailed Rubric V3'!$C$66</f>
        <v>0.8</v>
      </c>
      <c r="BV23" s="529" t="s">
        <v>417</v>
      </c>
      <c r="BW23" s="529" cm="1">
        <f t="array" ref="BW23">_xlfn.IFS(Table9[[#This Row],[BEPZA/ BHPTA/ BSCIC (20%)]]="", 0, Table9[[#This Row],[BEPZA/ BHPTA/ BSCIC (20%)]]="Yes", 4, TRUE, 0)</f>
        <v>4</v>
      </c>
      <c r="BX23" s="529">
        <f>Table9[[#This Row],[BEPZA/ BHPTA/ BSCIC Score]]*'Detailed Rubric V3'!$F$66</f>
        <v>0.8</v>
      </c>
      <c r="BY23" s="529">
        <v>106</v>
      </c>
      <c r="BZ23" s="529" cm="1">
        <f t="array" ref="BZ23">_xlfn.IFS(Table9[[#This Row],[Cluster Industries (from SMI) (20%)]]="", 0, Table9[[#This Row],[Cluster Industries (from SMI) (20%)]]&gt;100, 4, Table9[[#This Row],[Cluster Industries (from SMI) (20%)]]&lt;50, 0, TRUE, 2)</f>
        <v>4</v>
      </c>
      <c r="CA23" s="529">
        <f>Table9[[#This Row],[Cluster Industries (from SMI) Score]]*'Detailed Rubric V3'!$I$66</f>
        <v>0.8</v>
      </c>
      <c r="CB23" s="529" t="s">
        <v>417</v>
      </c>
      <c r="CC23" s="529" cm="1">
        <f t="array" ref="CC23">_xlfn.IFS(Table9[[#This Row],[Located on Industrial corridor (40%)]]="", 0, Table9[[#This Row],[Located on Industrial corridor (40%)]]="Yes", 4, TRUE, 0)</f>
        <v>4</v>
      </c>
      <c r="CD23" s="529">
        <f>Table9[[#This Row],[Located on Industrial corridor Score]]*'Detailed Rubric V3'!$L$66</f>
        <v>1.6</v>
      </c>
      <c r="CE23" s="529">
        <f>SUM(Table9[[#This Row],[Other BEZA EZ Weighted Score]],Table9[[#This Row],[BEPZA/ BHPTA/ BSCIC Weighted Score]],Table9[[#This Row],[Unorganized (from SMI) Weighted Score]],Table9[[#This Row],[Located on Industrial corridor Weighted Score]])*'Detailed Rubric V3'!$C$64</f>
        <v>0.4</v>
      </c>
      <c r="CF23" s="529" t="s">
        <v>418</v>
      </c>
      <c r="CG23" s="529" cm="1">
        <f t="array" ref="CG23">_xlfn.IFS(Table9[[#This Row],[Economic/ Social priority (laggered area) (100%)]]="", 0, Table9[[#This Row],[Economic/ Social priority (laggered area) (100%)]]="Yes", 4, TRUE, 0)</f>
        <v>0</v>
      </c>
      <c r="CH23" s="529">
        <f>Table9[[#This Row],[Economic/ Social priority (laggered area) Score]]*'Detailed Rubric V3'!$C$82</f>
        <v>0</v>
      </c>
      <c r="CI23" s="529" t="s">
        <v>418</v>
      </c>
      <c r="CJ23" s="529" cm="1">
        <f t="array" ref="CJ23">_xlfn.IFS(Table9[[#This Row],[Regional Tax incentive  (0%)]]="", 0, Table9[[#This Row],[Regional Tax incentive  (0%)]]="Yes", 4, TRUE, 0)</f>
        <v>0</v>
      </c>
      <c r="CK23" s="529">
        <f>Table9[[#This Row],[Regional Tax incentive Score]]*'Detailed Rubric V3'!$F$82</f>
        <v>0</v>
      </c>
      <c r="CL23" s="529">
        <f>SUM(Table9[[#This Row],[Economic/ Social priority (laagered area) Weighted Score]],Table9[[#This Row],[Regional Tax incentive  Weighted Score]])*'Detailed Rubric V3'!$C$80</f>
        <v>0</v>
      </c>
      <c r="CM23" s="529">
        <v>271512</v>
      </c>
      <c r="CN23" s="529" cm="1">
        <f t="array" ref="CN23">_xlfn.IFS(Table9[[#This Row],[Employable population (40%) 2013]]="", 0, Table9[[#This Row],[Employable population (40%) 2013]]&gt;200000, 4, Table9[[#This Row],[Employable population (40%) 2013]]&lt;100000,0, TRUE, 2)</f>
        <v>4</v>
      </c>
      <c r="CO23" s="529">
        <f>Table9[[#This Row],[Employable population Score]]*'Detailed Rubric V3'!$C$92</f>
        <v>1.6</v>
      </c>
      <c r="CP23" s="529">
        <v>26</v>
      </c>
      <c r="CQ23" s="529" cm="1">
        <f t="array" ref="CQ23">_xlfn.IFS(Table9[[#This Row],[Housing (20%)]]="", 0, Table9[[#This Row],[Housing (20%)]]&gt;50, 0, Table9[[#This Row],[Housing (20%)]]&lt;25, 4, TRUE, 2)</f>
        <v>2</v>
      </c>
      <c r="CR23" s="529">
        <f>Table9[[#This Row],[Housing Score]]*'Detailed Rubric V3'!$F$92</f>
        <v>0.4</v>
      </c>
      <c r="CS23" s="529">
        <v>15</v>
      </c>
      <c r="CT23" s="529" cm="1">
        <f t="array" ref="CT23">_xlfn.IFS(Table9[[#This Row],[Hotels (10%)]]="", 0, Table9[[#This Row],[Hotels (10%)]]&gt;25, 4, Table9[[#This Row],[Hotels (10%)]]&lt;5, 0, TRUE, 2)</f>
        <v>2</v>
      </c>
      <c r="CU23" s="529">
        <f>Table9[[#This Row],[Hotels Score]]*'Detailed Rubric V3'!$I$92</f>
        <v>0.2</v>
      </c>
      <c r="CV23" s="529">
        <v>63</v>
      </c>
      <c r="CW23" s="529" cm="1">
        <f t="array" ref="CW23">_xlfn.IFS(Table9[[#This Row],[Health (Hospital) (15%)]]="", 0, Table9[[#This Row],[Health (Hospital) (15%)]]&gt;10, 4, Table9[[#This Row],[Health (Hospital) (15%)]]&lt;5, 0, TRUE, 2)</f>
        <v>4</v>
      </c>
      <c r="CX23" s="529">
        <f>Table9[[#This Row],[Health (Hospital) Score]]*'Detailed Rubric V3'!$L$92</f>
        <v>0.6</v>
      </c>
      <c r="CY23" s="529">
        <f>3</f>
        <v>3</v>
      </c>
      <c r="CZ23" s="529" cm="1">
        <f t="array" ref="CZ23">_xlfn.IFS(Table9[[#This Row],[University/ Technical &amp; Vocational Institutions (15%)]]="", 0, Table9[[#This Row],[University/ Technical &amp; Vocational Institutions (15%)]]&gt;3, 4, Table9[[#This Row],[University/ Technical &amp; Vocational Institutions (15%)]]&lt;1, 0, TRUE, 2)</f>
        <v>2</v>
      </c>
      <c r="DA23" s="529">
        <f>Table9[[#This Row],[University/ Technical &amp; Vocational Institutions Score]]*'Detailed Rubric V3'!$O$92</f>
        <v>0.3</v>
      </c>
      <c r="DB23" s="529">
        <f>SUM(Table9[[#This Row],[Employable population Weighted Score]],Table9[[#This Row],[Housing Weighted Score]],Table9[[#This Row],[Hotels Weighted Score]],Table9[[#This Row],[Health (Hospital) Weighted Score]],Table9[[#This Row],[University/ Technical &amp; Vocational Institutions Weighted Score]])*'Detailed Rubric V3'!$C$90</f>
        <v>0.24800000000000003</v>
      </c>
      <c r="DC23" s="529" t="s">
        <v>417</v>
      </c>
      <c r="DD23" s="529" cm="1">
        <f t="array" ref="DD23">_xlfn.IFS(Table9[[#This Row],[Environment compliance (30%)]]="", 0, Table9[[#This Row],[Environment compliance (30%)]]="Yes", 4, TRUE, 0)</f>
        <v>4</v>
      </c>
      <c r="DE23" s="529">
        <f>Table9[[#This Row],[Environment compliance Score]]*'Detailed Rubric V3'!$C$104</f>
        <v>1.2</v>
      </c>
      <c r="DF23" s="529" t="s">
        <v>428</v>
      </c>
      <c r="DG23" s="529" cm="1">
        <f t="array" ref="DG23">_xlfn.IFS(Table9[[#This Row],[Flood Risk Index (30%)]]="", 0, Table9[[#This Row],[Flood Risk Index (30%)]]="Very Low", 4, Table9[[#This Row],[Flood Risk Index (30%)]]="Moderate &amp; Low", 2, TRUE, 0)</f>
        <v>4</v>
      </c>
      <c r="DH23" s="529">
        <f>Table9[[#This Row],[Flood Risk Index Score]]*'Detailed Rubric V3'!$F$104</f>
        <v>1.2</v>
      </c>
      <c r="DI23" s="529" t="s">
        <v>428</v>
      </c>
      <c r="DJ23" s="529" cm="1">
        <f t="array" ref="DJ23">_xlfn.IFS(Table9[[#This Row],[Earth Quake Risk Index (10%)]]="", 0, Table9[[#This Row],[Earth Quake Risk Index (10%)]]="Very Low", 4, Table9[[#This Row],[Earth Quake Risk Index (10%)]]="Moderate &amp; Low", 2, TRUE, 0)</f>
        <v>4</v>
      </c>
      <c r="DK23" s="529">
        <f>Table9[[#This Row],[Earth Quake Risk Index Score]]*'Detailed Rubric V3'!$I$104</f>
        <v>0.4</v>
      </c>
      <c r="DL23" s="529" t="s">
        <v>419</v>
      </c>
      <c r="DM23" s="529" cm="1">
        <f t="array" ref="DM23">_xlfn.IFS(Table9[[#This Row],[Sea Level Rise Risk Index (10%)]]="", 0, Table9[[#This Row],[Sea Level Rise Risk Index (10%)]]="Very Low", 4, Table9[[#This Row],[Sea Level Rise Risk Index (10%)]]="Moderate &amp; Low", 2, TRUE, 0)</f>
        <v>2</v>
      </c>
      <c r="DN23" s="529">
        <f>Table9[[#This Row],[Sea Level Rise  Risk Index Score]]*'Detailed Rubric V3'!$L$104</f>
        <v>0.2</v>
      </c>
      <c r="DO23" s="529" t="s">
        <v>419</v>
      </c>
      <c r="DP23" s="529" cm="1">
        <f t="array" ref="DP23">_xlfn.IFS(Table9[[#This Row],[Cyclone Risk Index (10%)]]="", 0, Table9[[#This Row],[Cyclone Risk Index (10%)]]="Very Low", 4, Table9[[#This Row],[Cyclone Risk Index (10%)]]="Moderate &amp; Low", 2, TRUE, 0)</f>
        <v>2</v>
      </c>
      <c r="DQ23" s="529">
        <f>Table9[[#This Row],[Cyclone Risk Index Score]]*'Detailed Rubric V3'!$O$104</f>
        <v>0.2</v>
      </c>
      <c r="DR23" s="529" t="s">
        <v>419</v>
      </c>
      <c r="DS23" s="529" cm="1">
        <f t="array" ref="DS23">_xlfn.IFS(Table9[[#This Row],[Storm Surge Risk Index (10%)]]="", 0, Table9[[#This Row],[Storm Surge Risk Index (10%)]]="Very Low", 4, Table9[[#This Row],[Storm Surge Risk Index (10%)]]="Moderate &amp; Low", 2, TRUE, 0)</f>
        <v>2</v>
      </c>
      <c r="DT23" s="529">
        <f>Table9[[#This Row],[Storm Surge Risk Index Score]]*'Detailed Rubric V3'!$R$104</f>
        <v>0.2</v>
      </c>
      <c r="DU23"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0.20400000000000001</v>
      </c>
      <c r="DV23" s="533">
        <f>SUM(Table9[[#This Row],[2.1. Connectivity/ Logistics (10% weightage)]],Table9[[#This Row],[2.2. Utility (12% weightage)]],Table9[[#This Row],[2.3. Agglomeration effects (10% weightage)]],Table9[[#This Row],[2.4. Regional Policy (4% weightage)]],Table9[[#This Row],[2.5. Social (8% weightage)]],Table9[[#This Row],[2.6. Environment (6% weightage)]])</f>
        <v>1.4440000000000002</v>
      </c>
      <c r="DW23" s="232">
        <f>_xlfn.RANK.EQ(Table9[[#This Row],[Level 2 Score]],$DV$3:$DV$103)</f>
        <v>38</v>
      </c>
      <c r="DX23" s="533">
        <f>Table9[[#This Row],[Level 1 Score]]+Table9[[#This Row],[Level 2 Score]]</f>
        <v>2.5040000000000004</v>
      </c>
      <c r="DY23" s="308">
        <f>_xlfn.RANK.EQ(Table9[[#This Row],[Total Score]],$DX$3:$DX$103)</f>
        <v>21</v>
      </c>
      <c r="DZ23" s="237" t="str">
        <f>IF(Table9[[#This Row],[Count of Blanks]]&lt;=2, "Yes", "No")</f>
        <v>Yes</v>
      </c>
      <c r="EA23" s="237">
        <f>COUNTBLANK(Table9[[#This Row],[Name]:[Total Score Rank]])</f>
        <v>2</v>
      </c>
      <c r="EB23" s="237"/>
    </row>
    <row r="24" spans="2:132" ht="27" x14ac:dyDescent="0.25">
      <c r="B24" s="220">
        <v>1</v>
      </c>
      <c r="C24" s="334" t="s">
        <v>53</v>
      </c>
      <c r="D24" s="220" t="s">
        <v>119</v>
      </c>
      <c r="E24" s="220" t="s">
        <v>119</v>
      </c>
      <c r="F24" s="220" t="s">
        <v>120</v>
      </c>
      <c r="G24" s="220" t="s">
        <v>70</v>
      </c>
      <c r="H24" s="525" t="s">
        <v>422</v>
      </c>
      <c r="I24" s="70" t="s">
        <v>451</v>
      </c>
      <c r="J24" s="535" t="s">
        <v>444</v>
      </c>
      <c r="K24" s="220">
        <f>IFERROR(VLOOKUP(Table9[[#This Row],[Land Availability (Grade)​
(50%)]],'Detailed Rubric V3'!$B$8:$C$11,2), 0)</f>
        <v>0</v>
      </c>
      <c r="L24" s="220">
        <f>IFERROR(Table9[[#This Row],[Land Availability (Grade)​ Score]]*'Detailed Rubric V3'!$C$6, "")</f>
        <v>0</v>
      </c>
      <c r="M24" s="222">
        <v>300</v>
      </c>
      <c r="N24" s="222" cm="1">
        <f t="array" ref="N24">_xlfn.IFS(Table9[[#This Row],[Land Size (Acres)
(15%)]]&lt;100,0,Table9[[#This Row],[Land Size (Acres)
(15%)]]&gt;500,4,TRUE,2)</f>
        <v>2</v>
      </c>
      <c r="O24" s="222">
        <f>Table9[[#This Row],[Land Size (Acres) Score]]*'Detailed Rubric V3'!$G$6</f>
        <v>0.3</v>
      </c>
      <c r="P24" s="526"/>
      <c r="Q24" s="526">
        <f>IFERROR(Table9[[#This Row],[Site Filling Cost (Mn BDT)]]/Table9[[#This Row],[Land Size (Acres)
(15%)]],"")</f>
        <v>0</v>
      </c>
      <c r="R24" s="526" cm="1">
        <f t="array" ref="R24">IF(Table9[[#This Row],[Name]]="Sitakundo Economic Zone", 4, _xlfn.IFS(Table9[[#This Row],[Site Filling Cost (Mn BDT)]]="",0,Table9[[#This Row],[Land Suitability
(Cost of Land Filling in Million BDT per acre)
(25%)]]&gt;5,0,Table9[[#This Row],[Land Suitability
(Cost of Land Filling in Million BDT per acre)
(25%)]]&lt;2,4,TRUE,2))</f>
        <v>0</v>
      </c>
      <c r="S24" s="526">
        <f>Table9[[#This Row],[Land Suitability for Construction Score]]*'Detailed Rubric V3'!$J$6</f>
        <v>0</v>
      </c>
      <c r="T24" s="526"/>
      <c r="U24" s="526">
        <f>IFERROR(Table9[[#This Row],[Embankment/Dyke Cost (Mn BDT)]]/Table9[[#This Row],[Land Size (Acres)
(15%)]], 0)</f>
        <v>0</v>
      </c>
      <c r="V24" s="526" cm="1">
        <f t="array" ref="V24">IF(Table9[[#This Row],[Name]]="Sitakundo Economic Zone", 2, _xlfn.IFS(Table9[[#This Row],[Embankment/Dyke Cost (Mn BDT)]]="",0,Table9[[#This Row],[Cost of DRRI Infrastructure in million BDT per acre
(10%)]]&gt;5,0,Table9[[#This Row],[Cost of DRRI Infrastructure in million BDT per acre
(10%)]]&lt;2,4,TRUE,2))</f>
        <v>0</v>
      </c>
      <c r="W24" s="526">
        <f>Table9[[#This Row],[Requirement for Distaster Risk Reduction &amp; Resilience Infrastructure Score]]*'Detailed Rubric V3'!$M$6</f>
        <v>0</v>
      </c>
      <c r="X24"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24" s="452" t="s">
        <v>436</v>
      </c>
      <c r="Z24" s="583">
        <f>IFERROR(VLOOKUP(Table9[[#This Row],[Zone Priority
(40%)]],'Detailed Rubric V3'!$B$18:$C$21, 2,FALSE), 0)</f>
        <v>0</v>
      </c>
      <c r="AA24" s="583">
        <f>IFERROR(Table9[[#This Row],[Zone Priority Score]]*'Detailed Rubric V3'!$C$16, 0)</f>
        <v>0</v>
      </c>
      <c r="AB24" s="584" t="s">
        <v>416</v>
      </c>
      <c r="AC24" s="584">
        <f>VLOOKUP(Table9[[#This Row],[Existing BEZA Report
(60%)]],'Detailed Rubric V3'!$E$18:$F$20,2,FALSE)</f>
        <v>4</v>
      </c>
      <c r="AD24" s="584">
        <f>Table9[[#This Row],[Existing BEZA Report Score]]*'Detailed Rubric V3'!F$16</f>
        <v>4</v>
      </c>
      <c r="AE24" s="237">
        <f>(Table9[[#This Row],[Zone Priority Weighted Score]]+Table9[[#This Row],[Existing BEZA Report Weighted Score]])*'Detailed Rubric V3'!$C$14</f>
        <v>0.6</v>
      </c>
      <c r="AF24" s="528">
        <v>4</v>
      </c>
      <c r="AG24" s="585" cm="1">
        <f t="array" ref="AG24">_xlfn.IFS(Table9[[#This Row],[Existing Sectors
(50%)]]&gt;10, 4,Table9[[#This Row],[Existing Sectors
(50%)]]&lt;5, 0, TRUE, 2)</f>
        <v>0</v>
      </c>
      <c r="AH24" s="585">
        <f>Table9[[#This Row],[Existing Sectors Score]]*'Detailed Rubric V3'!$C$25</f>
        <v>0</v>
      </c>
      <c r="AI24" s="585">
        <v>11</v>
      </c>
      <c r="AJ24" s="585">
        <v>7</v>
      </c>
      <c r="AK24" s="585" cm="1">
        <f t="array" ref="AK24">_xlfn.IFS(Table9[[#This Row],[Potential New Sectors
(50%)]]&gt;5, 4, Table9[[#This Row],[Potential New Sectors
(50%)]]&lt;2,0, TRUE, 2)</f>
        <v>4</v>
      </c>
      <c r="AL24" s="585">
        <f>Table9[[#This Row],[Potential New Sectors Score]]*'Detailed Rubric V3'!$F$25</f>
        <v>2</v>
      </c>
      <c r="AM24" s="586">
        <f>(Table9[[#This Row],[Existing Sectors Weighted Score]]+Table9[[#This Row],[Potential New Sectors Weighted Score]])*'Detailed Rubric V3'!$C$23</f>
        <v>0.3</v>
      </c>
      <c r="AN24" s="530">
        <f>SUM(Table9[[#This Row],[1.1. Land Details (20% weightage)]],Table9[[#This Row],[1.2. BEZA Existing plans (15% weightage)]],Table9[[#This Row],[1.3. Sector Demand (15% weightage):]])</f>
        <v>0.96</v>
      </c>
      <c r="AO24" s="531">
        <f>_xlfn.RANK.EQ(Table9[[#This Row],[Level 1 Score]],$AN$3:$AN$103)</f>
        <v>25</v>
      </c>
      <c r="AP24" s="529">
        <v>15</v>
      </c>
      <c r="AQ24" s="529" cm="1">
        <f t="array" ref="AQ24">_xlfn.IFS(Table9[[#This Row],[National Highway Connectivity (km)
(15%)]]="", 0, Table9[[#This Row],[National Highway Connectivity (km)
(15%)]]&gt;50, 0, Table9[[#This Row],[National Highway Connectivity (km)
(15%)]]&lt;=25, 4, TRUE, 2)</f>
        <v>4</v>
      </c>
      <c r="AR24" s="529">
        <f>Table9[[#This Row],[National Highway Connectivity Score]]*'Detailed Rubric V3'!$C$35</f>
        <v>0.6</v>
      </c>
      <c r="AS24" s="529" t="s">
        <v>417</v>
      </c>
      <c r="AT24" s="529" cm="1">
        <f t="array" ref="AT24">_xlfn.IFS(Table9[[#This Row],[Connecting Road to Highway (km)
(15%)]]="", 0, Table9[[#This Row],[Connecting Road to Highway (km)
(15%)]]="Yes", 4, TRUE, 0)</f>
        <v>4</v>
      </c>
      <c r="AU24" s="529">
        <f>Table9[[#This Row],[Connecting Road to Highway Score]]*'Detailed Rubric V3'!$F$35</f>
        <v>0.6</v>
      </c>
      <c r="AV24" s="529">
        <v>110</v>
      </c>
      <c r="AW24" s="529" cm="1">
        <f t="array" ref="AW24">_xlfn.IFS(Table9[[#This Row],[Seaport Connectivity (km)
(30%)]]="",0, Table9[[#This Row],[Seaport Connectivity (km)
(30%)]]&gt;400, 0,Table9[[#This Row],[Seaport Connectivity (km)
(30%)]]&lt;=200,4, TRUE, 2)</f>
        <v>4</v>
      </c>
      <c r="AX24" s="529">
        <f>Table9[[#This Row],[Seaport Connectivity Score]]*'Detailed Rubric V3'!$I$35</f>
        <v>1.2</v>
      </c>
      <c r="AY24" s="529">
        <v>45</v>
      </c>
      <c r="AZ24" s="529" cm="1">
        <f t="array" ref="AZ24">_xlfn.IFS(Table9[[#This Row],[Airport Connectivity (km)
(10%)]]="", 0, Table9[[#This Row],[Airport Connectivity (km)
(10%)]]&gt;200, 0, Table9[[#This Row],[Airport Connectivity (km)
(10%)]]&lt;=100,4,TRUE, 2)</f>
        <v>4</v>
      </c>
      <c r="BA24" s="529">
        <f>Table9[[#This Row],[Airport Connectivity Score]]*'Detailed Rubric V3'!$C$41</f>
        <v>0.4</v>
      </c>
      <c r="BB24" s="529">
        <v>94</v>
      </c>
      <c r="BC24" s="529" cm="1">
        <f t="array" ref="BC24">_xlfn.IFS(Table9[[#This Row],[Railway Station (km)
(10%)]]="", 0, Table9[[#This Row],[Railway Station (km)
(10%)]]&gt;150, 0,Table9[[#This Row],[Railway Station (km)
(10%)]]&lt;=50,4, TRUE, 2)</f>
        <v>2</v>
      </c>
      <c r="BD24" s="529">
        <f>Table9[[#This Row],[Railway Station Score]]*'Detailed Rubric V3'!$F$41</f>
        <v>0.2</v>
      </c>
      <c r="BE24" s="529">
        <v>45</v>
      </c>
      <c r="BF24" s="529" cm="1">
        <f t="array" ref="BF24">_xlfn.IFS(Table9[[#This Row],[Inland waterway/ Land port (km)
(20%)]]="", 0, Table9[[#This Row],[Inland waterway/ Land port (km)
(20%)]]&gt;200, 0,Table9[[#This Row],[Inland waterway/ Land port (km)
(20%)]]&lt;=50,4, TRUE, 2)</f>
        <v>4</v>
      </c>
      <c r="BG24" s="529">
        <f>Table9[[#This Row],[Inland waterway/ Land port Score]]*'Detailed Rubric V3'!$I$41</f>
        <v>0.8</v>
      </c>
      <c r="BH24"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0.38</v>
      </c>
      <c r="BI24" s="529">
        <v>4</v>
      </c>
      <c r="BJ24" s="529" cm="1">
        <f t="array" ref="BJ24">_xlfn.IFS(Table9[[#This Row],[Power Station (40%)]]="",0, Table9[[#This Row],[Power Station (40%)]]&gt;100, 0,Table9[[#This Row],[Power Station (40%)]]&lt;=50,4, TRUE, 2)</f>
        <v>4</v>
      </c>
      <c r="BK24" s="529">
        <f>Table9[[#This Row],[Power Station Score]]*'Detailed Rubric V3'!$C$53</f>
        <v>1.6</v>
      </c>
      <c r="BL24" s="529">
        <v>96</v>
      </c>
      <c r="BM24" s="529" cm="1">
        <f t="array" ref="BM24">IF(ISNUMBER(Table9[[#This Row],[Gas Station (20%)]]), _xlfn.IFS(Table9[[#This Row],[Gas Station (20%)]]="", 0, Table9[[#This Row],[Gas Station (20%)]]&gt;100, 0,Table9[[#This Row],[Gas Station (20%)]]&lt;=50,4, TRUE, 2), 0)</f>
        <v>2</v>
      </c>
      <c r="BN24" s="529">
        <f>Table9[[#This Row],[Gas Station Score]]*'Detailed Rubric V3'!$F$53</f>
        <v>0.4</v>
      </c>
      <c r="BO24" s="529">
        <v>2</v>
      </c>
      <c r="BP24" s="529" cm="1">
        <f t="array" ref="BP24">IF(ISNUMBER(Table9[[#This Row],[Source of Surface Water (40%)]]), _xlfn.IFS(Table9[[#This Row],[Source of Surface Water (40%)]]="", 0, Table9[[#This Row],[Source of Surface Water (40%)]]&gt;50, 0,Table9[[#This Row],[Source of Surface Water (40%)]]&lt;=20,4, TRUE, 2), 0)</f>
        <v>4</v>
      </c>
      <c r="BQ24" s="529">
        <f>Table9[[#This Row],[Source of Surface Water Score]]*'Detailed Rubric V3'!$I$53</f>
        <v>1.6</v>
      </c>
      <c r="BR24" s="529">
        <f>SUM(Table9[[#This Row],[Power Station Weighted Score]],Table9[[#This Row],[Gas Station Weighted Score]],Table9[[#This Row],[Source of Surface Water Weighted Score]])*'Detailed Rubric V3'!$C$51</f>
        <v>0.432</v>
      </c>
      <c r="BS24" s="529" t="s">
        <v>417</v>
      </c>
      <c r="BT24" s="529" cm="1">
        <f t="array" ref="BT24">_xlfn.IFS(Table9[[#This Row],[Other BEZA EZ (20%)]]="", 0, Table9[[#This Row],[Other BEZA EZ (20%)]]="Yes", 4, TRUE, 0)</f>
        <v>4</v>
      </c>
      <c r="BU24" s="529">
        <f>Table9[[#This Row],[Other BEZA EZ Score]]*'Detailed Rubric V3'!$C$66</f>
        <v>0.8</v>
      </c>
      <c r="BV24" s="529" t="s">
        <v>417</v>
      </c>
      <c r="BW24" s="529" cm="1">
        <f t="array" ref="BW24">_xlfn.IFS(Table9[[#This Row],[BEPZA/ BHPTA/ BSCIC (20%)]]="", 0, Table9[[#This Row],[BEPZA/ BHPTA/ BSCIC (20%)]]="Yes", 4, TRUE, 0)</f>
        <v>4</v>
      </c>
      <c r="BX24" s="529">
        <f>Table9[[#This Row],[BEPZA/ BHPTA/ BSCIC Score]]*'Detailed Rubric V3'!$F$66</f>
        <v>0.8</v>
      </c>
      <c r="BY24" s="529">
        <v>123</v>
      </c>
      <c r="BZ24" s="529" cm="1">
        <f t="array" ref="BZ24">_xlfn.IFS(Table9[[#This Row],[Cluster Industries (from SMI) (20%)]]="", 0, Table9[[#This Row],[Cluster Industries (from SMI) (20%)]]&gt;100, 4, Table9[[#This Row],[Cluster Industries (from SMI) (20%)]]&lt;50, 0, TRUE, 2)</f>
        <v>4</v>
      </c>
      <c r="CA24" s="529">
        <f>Table9[[#This Row],[Cluster Industries (from SMI) Score]]*'Detailed Rubric V3'!$I$66</f>
        <v>0.8</v>
      </c>
      <c r="CB24" s="529" t="s">
        <v>417</v>
      </c>
      <c r="CC24" s="529" cm="1">
        <f t="array" ref="CC24">_xlfn.IFS(Table9[[#This Row],[Located on Industrial corridor (40%)]]="", 0, Table9[[#This Row],[Located on Industrial corridor (40%)]]="Yes", 4, TRUE, 0)</f>
        <v>4</v>
      </c>
      <c r="CD24" s="529">
        <f>Table9[[#This Row],[Located on Industrial corridor Score]]*'Detailed Rubric V3'!$L$66</f>
        <v>1.6</v>
      </c>
      <c r="CE24" s="529">
        <f>SUM(Table9[[#This Row],[Other BEZA EZ Weighted Score]],Table9[[#This Row],[BEPZA/ BHPTA/ BSCIC Weighted Score]],Table9[[#This Row],[Unorganized (from SMI) Weighted Score]],Table9[[#This Row],[Located on Industrial corridor Weighted Score]])*'Detailed Rubric V3'!$C$64</f>
        <v>0.4</v>
      </c>
      <c r="CF24" s="529" t="s">
        <v>418</v>
      </c>
      <c r="CG24" s="529" cm="1">
        <f t="array" ref="CG24">_xlfn.IFS(Table9[[#This Row],[Economic/ Social priority (laggered area) (100%)]]="", 0, Table9[[#This Row],[Economic/ Social priority (laggered area) (100%)]]="Yes", 4, TRUE, 0)</f>
        <v>0</v>
      </c>
      <c r="CH24" s="529">
        <f>Table9[[#This Row],[Economic/ Social priority (laggered area) Score]]*'Detailed Rubric V3'!$C$82</f>
        <v>0</v>
      </c>
      <c r="CI24" s="529" t="s">
        <v>418</v>
      </c>
      <c r="CJ24" s="529" cm="1">
        <f t="array" ref="CJ24">_xlfn.IFS(Table9[[#This Row],[Regional Tax incentive  (0%)]]="", 0, Table9[[#This Row],[Regional Tax incentive  (0%)]]="Yes", 4, TRUE, 0)</f>
        <v>0</v>
      </c>
      <c r="CK24" s="529">
        <f>Table9[[#This Row],[Regional Tax incentive Score]]*'Detailed Rubric V3'!$F$82</f>
        <v>0</v>
      </c>
      <c r="CL24" s="529">
        <f>SUM(Table9[[#This Row],[Economic/ Social priority (laagered area) Weighted Score]],Table9[[#This Row],[Regional Tax incentive  Weighted Score]])*'Detailed Rubric V3'!$C$80</f>
        <v>0</v>
      </c>
      <c r="CM24" s="529">
        <v>342511</v>
      </c>
      <c r="CN24" s="529" cm="1">
        <f t="array" ref="CN24">_xlfn.IFS(Table9[[#This Row],[Employable population (40%) 2013]]="", 0, Table9[[#This Row],[Employable population (40%) 2013]]&gt;200000, 4, Table9[[#This Row],[Employable population (40%) 2013]]&lt;100000,0, TRUE, 2)</f>
        <v>4</v>
      </c>
      <c r="CO24" s="529">
        <f>Table9[[#This Row],[Employable population Score]]*'Detailed Rubric V3'!$C$92</f>
        <v>1.6</v>
      </c>
      <c r="CP24" s="529">
        <v>45</v>
      </c>
      <c r="CQ24" s="529" cm="1">
        <f t="array" ref="CQ24">_xlfn.IFS(Table9[[#This Row],[Housing (20%)]]="", 0, Table9[[#This Row],[Housing (20%)]]&gt;50, 0, Table9[[#This Row],[Housing (20%)]]&lt;25, 4, TRUE, 2)</f>
        <v>2</v>
      </c>
      <c r="CR24" s="529">
        <f>Table9[[#This Row],[Housing Score]]*'Detailed Rubric V3'!$F$92</f>
        <v>0.4</v>
      </c>
      <c r="CS24" s="529">
        <v>14</v>
      </c>
      <c r="CT24" s="529" cm="1">
        <f t="array" ref="CT24">_xlfn.IFS(Table9[[#This Row],[Hotels (10%)]]="", 0, Table9[[#This Row],[Hotels (10%)]]&gt;25, 4, Table9[[#This Row],[Hotels (10%)]]&lt;5, 0, TRUE, 2)</f>
        <v>2</v>
      </c>
      <c r="CU24" s="529">
        <f>Table9[[#This Row],[Hotels Score]]*'Detailed Rubric V3'!$I$92</f>
        <v>0.2</v>
      </c>
      <c r="CV24" s="529">
        <v>140</v>
      </c>
      <c r="CW24" s="529" cm="1">
        <f t="array" ref="CW24">_xlfn.IFS(Table9[[#This Row],[Health (Hospital) (15%)]]="", 0, Table9[[#This Row],[Health (Hospital) (15%)]]&gt;10, 4, Table9[[#This Row],[Health (Hospital) (15%)]]&lt;5, 0, TRUE, 2)</f>
        <v>4</v>
      </c>
      <c r="CX24" s="529">
        <f>Table9[[#This Row],[Health (Hospital) Score]]*'Detailed Rubric V3'!$L$92</f>
        <v>0.6</v>
      </c>
      <c r="CY24" s="529">
        <f>12+4</f>
        <v>16</v>
      </c>
      <c r="CZ24" s="529" cm="1">
        <f t="array" ref="CZ24">_xlfn.IFS(Table9[[#This Row],[University/ Technical &amp; Vocational Institutions (15%)]]="", 0, Table9[[#This Row],[University/ Technical &amp; Vocational Institutions (15%)]]&gt;3, 4, Table9[[#This Row],[University/ Technical &amp; Vocational Institutions (15%)]]&lt;1, 0, TRUE, 2)</f>
        <v>4</v>
      </c>
      <c r="DA24" s="529">
        <f>Table9[[#This Row],[University/ Technical &amp; Vocational Institutions Score]]*'Detailed Rubric V3'!$O$92</f>
        <v>0.6</v>
      </c>
      <c r="DB24" s="529">
        <f>SUM(Table9[[#This Row],[Employable population Weighted Score]],Table9[[#This Row],[Housing Weighted Score]],Table9[[#This Row],[Hotels Weighted Score]],Table9[[#This Row],[Health (Hospital) Weighted Score]],Table9[[#This Row],[University/ Technical &amp; Vocational Institutions Weighted Score]])*'Detailed Rubric V3'!$C$90</f>
        <v>0.27200000000000002</v>
      </c>
      <c r="DC24" s="529" t="s">
        <v>418</v>
      </c>
      <c r="DD24" s="529" cm="1">
        <f t="array" ref="DD24">_xlfn.IFS(Table9[[#This Row],[Environment compliance (30%)]]="", 0, Table9[[#This Row],[Environment compliance (30%)]]="Yes", 4, TRUE, 0)</f>
        <v>0</v>
      </c>
      <c r="DE24" s="529">
        <f>Table9[[#This Row],[Environment compliance Score]]*'Detailed Rubric V3'!$C$104</f>
        <v>0</v>
      </c>
      <c r="DF24" s="529" t="s">
        <v>419</v>
      </c>
      <c r="DG24" s="529" cm="1">
        <f t="array" ref="DG24">_xlfn.IFS(Table9[[#This Row],[Flood Risk Index (30%)]]="", 0, Table9[[#This Row],[Flood Risk Index (30%)]]="Very Low", 4, Table9[[#This Row],[Flood Risk Index (30%)]]="Moderate &amp; Low", 2, TRUE, 0)</f>
        <v>2</v>
      </c>
      <c r="DH24" s="529">
        <f>Table9[[#This Row],[Flood Risk Index Score]]*'Detailed Rubric V3'!$F$104</f>
        <v>0.6</v>
      </c>
      <c r="DI24" s="529" t="s">
        <v>419</v>
      </c>
      <c r="DJ24" s="529" cm="1">
        <f t="array" ref="DJ24">_xlfn.IFS(Table9[[#This Row],[Earth Quake Risk Index (10%)]]="", 0, Table9[[#This Row],[Earth Quake Risk Index (10%)]]="Very Low", 4, Table9[[#This Row],[Earth Quake Risk Index (10%)]]="Moderate &amp; Low", 2, TRUE, 0)</f>
        <v>2</v>
      </c>
      <c r="DK24" s="529">
        <f>Table9[[#This Row],[Earth Quake Risk Index Score]]*'Detailed Rubric V3'!$I$104</f>
        <v>0.2</v>
      </c>
      <c r="DL24" s="529" t="s">
        <v>420</v>
      </c>
      <c r="DM24" s="529" cm="1">
        <f t="array" ref="DM24">_xlfn.IFS(Table9[[#This Row],[Sea Level Rise Risk Index (10%)]]="", 0, Table9[[#This Row],[Sea Level Rise Risk Index (10%)]]="Very Low", 4, Table9[[#This Row],[Sea Level Rise Risk Index (10%)]]="Moderate &amp; Low", 2, TRUE, 0)</f>
        <v>0</v>
      </c>
      <c r="DN24" s="529">
        <f>Table9[[#This Row],[Sea Level Rise  Risk Index Score]]*'Detailed Rubric V3'!$L$104</f>
        <v>0</v>
      </c>
      <c r="DO24" s="529" t="s">
        <v>420</v>
      </c>
      <c r="DP24" s="529" cm="1">
        <f t="array" ref="DP24">_xlfn.IFS(Table9[[#This Row],[Cyclone Risk Index (10%)]]="", 0, Table9[[#This Row],[Cyclone Risk Index (10%)]]="Very Low", 4, Table9[[#This Row],[Cyclone Risk Index (10%)]]="Moderate &amp; Low", 2, TRUE, 0)</f>
        <v>0</v>
      </c>
      <c r="DQ24" s="529">
        <f>Table9[[#This Row],[Cyclone Risk Index Score]]*'Detailed Rubric V3'!$O$104</f>
        <v>0</v>
      </c>
      <c r="DR24" s="529" t="s">
        <v>419</v>
      </c>
      <c r="DS24" s="529" cm="1">
        <f t="array" ref="DS24">_xlfn.IFS(Table9[[#This Row],[Storm Surge Risk Index (10%)]]="", 0, Table9[[#This Row],[Storm Surge Risk Index (10%)]]="Very Low", 4, Table9[[#This Row],[Storm Surge Risk Index (10%)]]="Moderate &amp; Low", 2, TRUE, 0)</f>
        <v>2</v>
      </c>
      <c r="DT24" s="529">
        <f>Table9[[#This Row],[Storm Surge Risk Index Score]]*'Detailed Rubric V3'!$R$104</f>
        <v>0.2</v>
      </c>
      <c r="DU24"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24" s="533">
        <f>SUM(Table9[[#This Row],[2.1. Connectivity/ Logistics (10% weightage)]],Table9[[#This Row],[2.2. Utility (12% weightage)]],Table9[[#This Row],[2.3. Agglomeration effects (10% weightage)]],Table9[[#This Row],[2.4. Regional Policy (4% weightage)]],Table9[[#This Row],[2.5. Social (8% weightage)]],Table9[[#This Row],[2.6. Environment (6% weightage)]])</f>
        <v>1.5440000000000003</v>
      </c>
      <c r="DW24" s="232">
        <f>_xlfn.RANK.EQ(Table9[[#This Row],[Level 2 Score]],$DV$3:$DV$103)</f>
        <v>28</v>
      </c>
      <c r="DX24" s="533">
        <f>Table9[[#This Row],[Level 1 Score]]+Table9[[#This Row],[Level 2 Score]]</f>
        <v>2.5040000000000004</v>
      </c>
      <c r="DY24" s="336">
        <f>_xlfn.RANK.EQ(Table9[[#This Row],[Total Score]],$DX$3:$DX$103)</f>
        <v>21</v>
      </c>
      <c r="DZ24" s="237" t="str">
        <f>IF(Table9[[#This Row],[Count of Blanks]]&lt;=2, "Yes", "No")</f>
        <v>Yes</v>
      </c>
      <c r="EA24" s="237">
        <f>COUNTBLANK(Table9[[#This Row],[Name]:[Total Score Rank]])</f>
        <v>2</v>
      </c>
      <c r="EB24" s="237"/>
    </row>
    <row r="25" spans="2:132" ht="27" x14ac:dyDescent="0.25">
      <c r="B25" s="220">
        <v>63</v>
      </c>
      <c r="C25" s="221" t="s">
        <v>50</v>
      </c>
      <c r="D25" s="220" t="s">
        <v>94</v>
      </c>
      <c r="E25" s="220" t="s">
        <v>94</v>
      </c>
      <c r="F25" s="220" t="s">
        <v>116</v>
      </c>
      <c r="G25" s="220" t="s">
        <v>70</v>
      </c>
      <c r="H25" s="525" t="s">
        <v>422</v>
      </c>
      <c r="I25" s="70" t="s">
        <v>449</v>
      </c>
      <c r="J25" s="227" t="s">
        <v>435</v>
      </c>
      <c r="K25" s="220">
        <f>IFERROR(VLOOKUP(Table9[[#This Row],[Land Availability (Grade)​
(50%)]],'Detailed Rubric V3'!$B$8:$C$11,2), 0)</f>
        <v>2</v>
      </c>
      <c r="L25" s="220">
        <f>IFERROR(Table9[[#This Row],[Land Availability (Grade)​ Score]]*'Detailed Rubric V3'!$C$6, "")</f>
        <v>1</v>
      </c>
      <c r="M25" s="222">
        <v>255.86</v>
      </c>
      <c r="N25" s="222" cm="1">
        <f t="array" ref="N25">_xlfn.IFS(Table9[[#This Row],[Land Size (Acres)
(15%)]]&lt;100,0,Table9[[#This Row],[Land Size (Acres)
(15%)]]&gt;500,4,TRUE,2)</f>
        <v>2</v>
      </c>
      <c r="O25" s="222">
        <f>Table9[[#This Row],[Land Size (Acres) Score]]*'Detailed Rubric V3'!$G$6</f>
        <v>0.3</v>
      </c>
      <c r="P25" s="526">
        <v>836.7</v>
      </c>
      <c r="Q25" s="526">
        <f>IFERROR(Table9[[#This Row],[Site Filling Cost (Mn BDT)]]/Table9[[#This Row],[Land Size (Acres)
(15%)]],"")</f>
        <v>3.270147737043696</v>
      </c>
      <c r="R25" s="526" cm="1">
        <f t="array" ref="R25">IF(Table9[[#This Row],[Name]]="Sitakundo Economic Zone", 4, _xlfn.IFS(Table9[[#This Row],[Site Filling Cost (Mn BDT)]]="",0,Table9[[#This Row],[Land Suitability
(Cost of Land Filling in Million BDT per acre)
(25%)]]&gt;5,0,Table9[[#This Row],[Land Suitability
(Cost of Land Filling in Million BDT per acre)
(25%)]]&lt;2,4,TRUE,2))</f>
        <v>2</v>
      </c>
      <c r="S25" s="526">
        <f>Table9[[#This Row],[Land Suitability for Construction Score]]*'Detailed Rubric V3'!$J$6</f>
        <v>0.5</v>
      </c>
      <c r="T25" s="526">
        <v>1047.7</v>
      </c>
      <c r="U25" s="526">
        <f>IFERROR(Table9[[#This Row],[Embankment/Dyke Cost (Mn BDT)]]/Table9[[#This Row],[Land Size (Acres)
(15%)]], 0)</f>
        <v>4.0948174783084497</v>
      </c>
      <c r="V25" s="526" cm="1">
        <f t="array" ref="V25">IF(Table9[[#This Row],[Name]]="Sitakundo Economic Zone", 2, _xlfn.IFS(Table9[[#This Row],[Embankment/Dyke Cost (Mn BDT)]]="",0,Table9[[#This Row],[Cost of DRRI Infrastructure in million BDT per acre
(10%)]]&gt;5,0,Table9[[#This Row],[Cost of DRRI Infrastructure in million BDT per acre
(10%)]]&lt;2,4,TRUE,2))</f>
        <v>2</v>
      </c>
      <c r="W25" s="526">
        <f>Table9[[#This Row],[Requirement for Distaster Risk Reduction &amp; Resilience Infrastructure Score]]*'Detailed Rubric V3'!$M$6</f>
        <v>0.2</v>
      </c>
      <c r="X25"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v>
      </c>
      <c r="Y25" s="227" t="s">
        <v>443</v>
      </c>
      <c r="Z25" s="210">
        <f>IFERROR(VLOOKUP(Table9[[#This Row],[Zone Priority
(40%)]],'Detailed Rubric V3'!$B$18:$C$21, 2,FALSE), 0)</f>
        <v>2</v>
      </c>
      <c r="AA25" s="210">
        <f>IFERROR(Table9[[#This Row],[Zone Priority Score]]*'Detailed Rubric V3'!$C$16, 0)</f>
        <v>0</v>
      </c>
      <c r="AB25" s="237" t="s">
        <v>416</v>
      </c>
      <c r="AC25" s="237">
        <f>VLOOKUP(Table9[[#This Row],[Existing BEZA Report
(60%)]],'Detailed Rubric V3'!$E$18:$F$20,2,FALSE)</f>
        <v>4</v>
      </c>
      <c r="AD25" s="237">
        <f>Table9[[#This Row],[Existing BEZA Report Score]]*'Detailed Rubric V3'!F$16</f>
        <v>4</v>
      </c>
      <c r="AE25" s="237">
        <f>(Table9[[#This Row],[Zone Priority Weighted Score]]+Table9[[#This Row],[Existing BEZA Report Weighted Score]])*'Detailed Rubric V3'!$C$14</f>
        <v>0.6</v>
      </c>
      <c r="AF25" s="528">
        <v>8</v>
      </c>
      <c r="AG25" s="529" cm="1">
        <f t="array" ref="AG25">_xlfn.IFS(Table9[[#This Row],[Existing Sectors
(50%)]]&gt;10, 4,Table9[[#This Row],[Existing Sectors
(50%)]]&lt;5, 0, TRUE, 2)</f>
        <v>2</v>
      </c>
      <c r="AH25" s="529">
        <f>Table9[[#This Row],[Existing Sectors Score]]*'Detailed Rubric V3'!$C$25</f>
        <v>1</v>
      </c>
      <c r="AI25" s="529">
        <v>8</v>
      </c>
      <c r="AJ25" s="529">
        <v>0</v>
      </c>
      <c r="AK25" s="529" cm="1">
        <f t="array" ref="AK25">_xlfn.IFS(Table9[[#This Row],[Potential New Sectors
(50%)]]&gt;5, 4, Table9[[#This Row],[Potential New Sectors
(50%)]]&lt;2,0, TRUE, 2)</f>
        <v>0</v>
      </c>
      <c r="AL25" s="529">
        <f>Table9[[#This Row],[Potential New Sectors Score]]*'Detailed Rubric V3'!$F$25</f>
        <v>0</v>
      </c>
      <c r="AM25" s="232">
        <f>(Table9[[#This Row],[Existing Sectors Weighted Score]]+Table9[[#This Row],[Potential New Sectors Weighted Score]])*'Detailed Rubric V3'!$C$23</f>
        <v>0.15</v>
      </c>
      <c r="AN25" s="530">
        <f>SUM(Table9[[#This Row],[1.1. Land Details (20% weightage)]],Table9[[#This Row],[1.2. BEZA Existing plans (15% weightage)]],Table9[[#This Row],[1.3. Sector Demand (15% weightage):]])</f>
        <v>1.1499999999999999</v>
      </c>
      <c r="AO25" s="531">
        <f>_xlfn.RANK.EQ(Table9[[#This Row],[Level 1 Score]],$AN$3:$AN$103)</f>
        <v>18</v>
      </c>
      <c r="AP25" s="529">
        <v>0</v>
      </c>
      <c r="AQ25" s="529" cm="1">
        <f t="array" ref="AQ25">_xlfn.IFS(Table9[[#This Row],[National Highway Connectivity (km)
(15%)]]="", 0, Table9[[#This Row],[National Highway Connectivity (km)
(15%)]]&gt;50, 0, Table9[[#This Row],[National Highway Connectivity (km)
(15%)]]&lt;=25, 4, TRUE, 2)</f>
        <v>4</v>
      </c>
      <c r="AR25" s="529">
        <f>Table9[[#This Row],[National Highway Connectivity Score]]*'Detailed Rubric V3'!$C$35</f>
        <v>0.6</v>
      </c>
      <c r="AS25" s="529" t="s">
        <v>417</v>
      </c>
      <c r="AT25" s="529" cm="1">
        <f t="array" ref="AT25">_xlfn.IFS(Table9[[#This Row],[Connecting Road to Highway (km)
(15%)]]="", 0, Table9[[#This Row],[Connecting Road to Highway (km)
(15%)]]="Yes", 4, TRUE, 0)</f>
        <v>4</v>
      </c>
      <c r="AU25" s="529">
        <f>Table9[[#This Row],[Connecting Road to Highway Score]]*'Detailed Rubric V3'!$F$35</f>
        <v>0.6</v>
      </c>
      <c r="AV25" s="529">
        <v>427</v>
      </c>
      <c r="AW25" s="529" cm="1">
        <f t="array" ref="AW25">_xlfn.IFS(Table9[[#This Row],[Seaport Connectivity (km)
(30%)]]="",0, Table9[[#This Row],[Seaport Connectivity (km)
(30%)]]&gt;400, 0,Table9[[#This Row],[Seaport Connectivity (km)
(30%)]]&lt;=200,4, TRUE, 2)</f>
        <v>0</v>
      </c>
      <c r="AX25" s="529">
        <f>Table9[[#This Row],[Seaport Connectivity Score]]*'Detailed Rubric V3'!$I$35</f>
        <v>0</v>
      </c>
      <c r="AY25" s="529">
        <v>52</v>
      </c>
      <c r="AZ25" s="529" cm="1">
        <f t="array" ref="AZ25">_xlfn.IFS(Table9[[#This Row],[Airport Connectivity (km)
(10%)]]="", 0, Table9[[#This Row],[Airport Connectivity (km)
(10%)]]&gt;200, 0, Table9[[#This Row],[Airport Connectivity (km)
(10%)]]&lt;=100,4,TRUE, 2)</f>
        <v>4</v>
      </c>
      <c r="BA25" s="529">
        <f>Table9[[#This Row],[Airport Connectivity Score]]*'Detailed Rubric V3'!$C$41</f>
        <v>0.4</v>
      </c>
      <c r="BB25" s="529">
        <v>52</v>
      </c>
      <c r="BC25" s="529" cm="1">
        <f t="array" ref="BC25">_xlfn.IFS(Table9[[#This Row],[Railway Station (km)
(10%)]]="", 0, Table9[[#This Row],[Railway Station (km)
(10%)]]&gt;150, 0,Table9[[#This Row],[Railway Station (km)
(10%)]]&lt;=50,4, TRUE, 2)</f>
        <v>2</v>
      </c>
      <c r="BD25" s="529">
        <f>Table9[[#This Row],[Railway Station Score]]*'Detailed Rubric V3'!$F$41</f>
        <v>0.2</v>
      </c>
      <c r="BE25" s="529">
        <v>2</v>
      </c>
      <c r="BF25" s="529" cm="1">
        <f t="array" ref="BF25">_xlfn.IFS(Table9[[#This Row],[Inland waterway/ Land port (km)
(20%)]]="", 0, Table9[[#This Row],[Inland waterway/ Land port (km)
(20%)]]&gt;200, 0,Table9[[#This Row],[Inland waterway/ Land port (km)
(20%)]]&lt;=50,4, TRUE, 2)</f>
        <v>4</v>
      </c>
      <c r="BG25" s="529">
        <f>Table9[[#This Row],[Inland waterway/ Land port Score]]*'Detailed Rubric V3'!$I$41</f>
        <v>0.8</v>
      </c>
      <c r="BH25"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0.26</v>
      </c>
      <c r="BI25" s="529">
        <v>12</v>
      </c>
      <c r="BJ25" s="529" cm="1">
        <f t="array" ref="BJ25">_xlfn.IFS(Table9[[#This Row],[Power Station (40%)]]="",0, Table9[[#This Row],[Power Station (40%)]]&gt;100, 0,Table9[[#This Row],[Power Station (40%)]]&lt;=50,4, TRUE, 2)</f>
        <v>4</v>
      </c>
      <c r="BK25" s="529">
        <f>Table9[[#This Row],[Power Station Score]]*'Detailed Rubric V3'!$C$53</f>
        <v>1.6</v>
      </c>
      <c r="BL25" s="529">
        <v>57</v>
      </c>
      <c r="BM25" s="529" cm="1">
        <f t="array" ref="BM25">IF(ISNUMBER(Table9[[#This Row],[Gas Station (20%)]]), _xlfn.IFS(Table9[[#This Row],[Gas Station (20%)]]="", 0, Table9[[#This Row],[Gas Station (20%)]]&gt;100, 0,Table9[[#This Row],[Gas Station (20%)]]&lt;=50,4, TRUE, 2), 0)</f>
        <v>2</v>
      </c>
      <c r="BN25" s="529">
        <f>Table9[[#This Row],[Gas Station Score]]*'Detailed Rubric V3'!$F$53</f>
        <v>0.4</v>
      </c>
      <c r="BO25" s="529">
        <v>2.5</v>
      </c>
      <c r="BP25" s="529" cm="1">
        <f t="array" ref="BP25">IF(ISNUMBER(Table9[[#This Row],[Source of Surface Water (40%)]]), _xlfn.IFS(Table9[[#This Row],[Source of Surface Water (40%)]]="", 0, Table9[[#This Row],[Source of Surface Water (40%)]]&gt;50, 0,Table9[[#This Row],[Source of Surface Water (40%)]]&lt;=20,4, TRUE, 2), 0)</f>
        <v>4</v>
      </c>
      <c r="BQ25" s="529">
        <f>Table9[[#This Row],[Source of Surface Water Score]]*'Detailed Rubric V3'!$I$53</f>
        <v>1.6</v>
      </c>
      <c r="BR25" s="529">
        <f>SUM(Table9[[#This Row],[Power Station Weighted Score]],Table9[[#This Row],[Gas Station Weighted Score]],Table9[[#This Row],[Source of Surface Water Weighted Score]])*'Detailed Rubric V3'!$C$51</f>
        <v>0.432</v>
      </c>
      <c r="BS25" s="529" t="s">
        <v>418</v>
      </c>
      <c r="BT25" s="529" cm="1">
        <f t="array" ref="BT25">_xlfn.IFS(Table9[[#This Row],[Other BEZA EZ (20%)]]="", 0, Table9[[#This Row],[Other BEZA EZ (20%)]]="Yes", 4, TRUE, 0)</f>
        <v>0</v>
      </c>
      <c r="BU25" s="529">
        <f>Table9[[#This Row],[Other BEZA EZ Score]]*'Detailed Rubric V3'!$C$66</f>
        <v>0</v>
      </c>
      <c r="BV25" s="529" t="s">
        <v>417</v>
      </c>
      <c r="BW25" s="529" cm="1">
        <f t="array" ref="BW25">_xlfn.IFS(Table9[[#This Row],[BEPZA/ BHPTA/ BSCIC (20%)]]="", 0, Table9[[#This Row],[BEPZA/ BHPTA/ BSCIC (20%)]]="Yes", 4, TRUE, 0)</f>
        <v>4</v>
      </c>
      <c r="BX25" s="529">
        <f>Table9[[#This Row],[BEPZA/ BHPTA/ BSCIC Score]]*'Detailed Rubric V3'!$F$66</f>
        <v>0.8</v>
      </c>
      <c r="BY25" s="529">
        <v>73</v>
      </c>
      <c r="BZ25" s="529" cm="1">
        <f t="array" ref="BZ25">_xlfn.IFS(Table9[[#This Row],[Cluster Industries (from SMI) (20%)]]="", 0, Table9[[#This Row],[Cluster Industries (from SMI) (20%)]]&gt;100, 4, Table9[[#This Row],[Cluster Industries (from SMI) (20%)]]&lt;50, 0, TRUE, 2)</f>
        <v>2</v>
      </c>
      <c r="CA25" s="529">
        <f>Table9[[#This Row],[Cluster Industries (from SMI) Score]]*'Detailed Rubric V3'!$I$66</f>
        <v>0.4</v>
      </c>
      <c r="CB25" s="529" t="s">
        <v>417</v>
      </c>
      <c r="CC25" s="529" cm="1">
        <f t="array" ref="CC25">_xlfn.IFS(Table9[[#This Row],[Located on Industrial corridor (40%)]]="", 0, Table9[[#This Row],[Located on Industrial corridor (40%)]]="Yes", 4, TRUE, 0)</f>
        <v>4</v>
      </c>
      <c r="CD25" s="529">
        <f>Table9[[#This Row],[Located on Industrial corridor Score]]*'Detailed Rubric V3'!$L$66</f>
        <v>1.6</v>
      </c>
      <c r="CE25" s="529">
        <f>SUM(Table9[[#This Row],[Other BEZA EZ Weighted Score]],Table9[[#This Row],[BEPZA/ BHPTA/ BSCIC Weighted Score]],Table9[[#This Row],[Unorganized (from SMI) Weighted Score]],Table9[[#This Row],[Located on Industrial corridor Weighted Score]])*'Detailed Rubric V3'!$C$64</f>
        <v>0.28000000000000003</v>
      </c>
      <c r="CF25" s="529" t="s">
        <v>418</v>
      </c>
      <c r="CG25" s="529" cm="1">
        <f t="array" ref="CG25">_xlfn.IFS(Table9[[#This Row],[Economic/ Social priority (laggered area) (100%)]]="", 0, Table9[[#This Row],[Economic/ Social priority (laggered area) (100%)]]="Yes", 4, TRUE, 0)</f>
        <v>0</v>
      </c>
      <c r="CH25" s="529">
        <f>Table9[[#This Row],[Economic/ Social priority (laggered area) Score]]*'Detailed Rubric V3'!$C$82</f>
        <v>0</v>
      </c>
      <c r="CI25" s="529" t="s">
        <v>418</v>
      </c>
      <c r="CJ25" s="529" cm="1">
        <f t="array" ref="CJ25">_xlfn.IFS(Table9[[#This Row],[Regional Tax incentive  (0%)]]="", 0, Table9[[#This Row],[Regional Tax incentive  (0%)]]="Yes", 4, TRUE, 0)</f>
        <v>0</v>
      </c>
      <c r="CK25" s="529">
        <f>Table9[[#This Row],[Regional Tax incentive Score]]*'Detailed Rubric V3'!$F$82</f>
        <v>0</v>
      </c>
      <c r="CL25" s="529">
        <f>SUM(Table9[[#This Row],[Economic/ Social priority (laagered area) Weighted Score]],Table9[[#This Row],[Regional Tax incentive  Weighted Score]])*'Detailed Rubric V3'!$C$80</f>
        <v>0</v>
      </c>
      <c r="CM25" s="529">
        <v>433534</v>
      </c>
      <c r="CN25" s="529" cm="1">
        <f t="array" ref="CN25">_xlfn.IFS(Table9[[#This Row],[Employable population (40%) 2013]]="", 0, Table9[[#This Row],[Employable population (40%) 2013]]&gt;200000, 4, Table9[[#This Row],[Employable population (40%) 2013]]&lt;100000,0, TRUE, 2)</f>
        <v>4</v>
      </c>
      <c r="CO25" s="529">
        <f>Table9[[#This Row],[Employable population Score]]*'Detailed Rubric V3'!$C$92</f>
        <v>1.6</v>
      </c>
      <c r="CP25" s="529">
        <v>52</v>
      </c>
      <c r="CQ25" s="529" cm="1">
        <f t="array" ref="CQ25">_xlfn.IFS(Table9[[#This Row],[Housing (20%)]]="", 0, Table9[[#This Row],[Housing (20%)]]&gt;50, 0, Table9[[#This Row],[Housing (20%)]]&lt;25, 4, TRUE, 2)</f>
        <v>0</v>
      </c>
      <c r="CR25" s="529">
        <f>Table9[[#This Row],[Housing Score]]*'Detailed Rubric V3'!$F$92</f>
        <v>0</v>
      </c>
      <c r="CS25" s="529">
        <v>82</v>
      </c>
      <c r="CT25" s="529" cm="1">
        <f t="array" ref="CT25">_xlfn.IFS(Table9[[#This Row],[Hotels (10%)]]="", 0, Table9[[#This Row],[Hotels (10%)]]&gt;25, 4, Table9[[#This Row],[Hotels (10%)]]&lt;5, 0, TRUE, 2)</f>
        <v>4</v>
      </c>
      <c r="CU25" s="529">
        <f>Table9[[#This Row],[Hotels Score]]*'Detailed Rubric V3'!$I$92</f>
        <v>0.4</v>
      </c>
      <c r="CV25" s="529">
        <v>95</v>
      </c>
      <c r="CW25" s="529" cm="1">
        <f t="array" ref="CW25">_xlfn.IFS(Table9[[#This Row],[Health (Hospital) (15%)]]="", 0, Table9[[#This Row],[Health (Hospital) (15%)]]&gt;10, 4, Table9[[#This Row],[Health (Hospital) (15%)]]&lt;5, 0, TRUE, 2)</f>
        <v>4</v>
      </c>
      <c r="CX25" s="529">
        <f>Table9[[#This Row],[Health (Hospital) Score]]*'Detailed Rubric V3'!$L$92</f>
        <v>0.6</v>
      </c>
      <c r="CY25" s="529">
        <f>12+8</f>
        <v>20</v>
      </c>
      <c r="CZ25" s="529" cm="1">
        <f t="array" ref="CZ25">_xlfn.IFS(Table9[[#This Row],[University/ Technical &amp; Vocational Institutions (15%)]]="", 0, Table9[[#This Row],[University/ Technical &amp; Vocational Institutions (15%)]]&gt;3, 4, Table9[[#This Row],[University/ Technical &amp; Vocational Institutions (15%)]]&lt;1, 0, TRUE, 2)</f>
        <v>4</v>
      </c>
      <c r="DA25" s="529">
        <f>Table9[[#This Row],[University/ Technical &amp; Vocational Institutions Score]]*'Detailed Rubric V3'!$O$92</f>
        <v>0.6</v>
      </c>
      <c r="DB25" s="529">
        <f>SUM(Table9[[#This Row],[Employable population Weighted Score]],Table9[[#This Row],[Housing Weighted Score]],Table9[[#This Row],[Hotels Weighted Score]],Table9[[#This Row],[Health (Hospital) Weighted Score]],Table9[[#This Row],[University/ Technical &amp; Vocational Institutions Weighted Score]])*'Detailed Rubric V3'!$C$90</f>
        <v>0.25600000000000001</v>
      </c>
      <c r="DC25" s="529" t="s">
        <v>418</v>
      </c>
      <c r="DD25" s="529" cm="1">
        <f t="array" ref="DD25">_xlfn.IFS(Table9[[#This Row],[Environment compliance (30%)]]="", 0, Table9[[#This Row],[Environment compliance (30%)]]="Yes", 4, TRUE, 0)</f>
        <v>0</v>
      </c>
      <c r="DE25" s="529">
        <f>Table9[[#This Row],[Environment compliance Score]]*'Detailed Rubric V3'!$C$104</f>
        <v>0</v>
      </c>
      <c r="DF25" s="529" t="s">
        <v>419</v>
      </c>
      <c r="DG25" s="529" cm="1">
        <f t="array" ref="DG25">_xlfn.IFS(Table9[[#This Row],[Flood Risk Index (30%)]]="", 0, Table9[[#This Row],[Flood Risk Index (30%)]]="Very Low", 4, Table9[[#This Row],[Flood Risk Index (30%)]]="Moderate &amp; Low", 2, TRUE, 0)</f>
        <v>2</v>
      </c>
      <c r="DH25" s="529">
        <f>Table9[[#This Row],[Flood Risk Index Score]]*'Detailed Rubric V3'!$F$104</f>
        <v>0.6</v>
      </c>
      <c r="DI25" s="529" t="s">
        <v>421</v>
      </c>
      <c r="DJ25" s="529" cm="1">
        <f t="array" ref="DJ25">_xlfn.IFS(Table9[[#This Row],[Earth Quake Risk Index (10%)]]="", 0, Table9[[#This Row],[Earth Quake Risk Index (10%)]]="Very Low", 4, Table9[[#This Row],[Earth Quake Risk Index (10%)]]="Moderate &amp; Low", 2, TRUE, 0)</f>
        <v>0</v>
      </c>
      <c r="DK25" s="529">
        <f>Table9[[#This Row],[Earth Quake Risk Index Score]]*'Detailed Rubric V3'!$I$104</f>
        <v>0</v>
      </c>
      <c r="DL25" s="529" t="s">
        <v>428</v>
      </c>
      <c r="DM25" s="529" cm="1">
        <f t="array" ref="DM25">_xlfn.IFS(Table9[[#This Row],[Sea Level Rise Risk Index (10%)]]="", 0, Table9[[#This Row],[Sea Level Rise Risk Index (10%)]]="Very Low", 4, Table9[[#This Row],[Sea Level Rise Risk Index (10%)]]="Moderate &amp; Low", 2, TRUE, 0)</f>
        <v>4</v>
      </c>
      <c r="DN25" s="529">
        <f>Table9[[#This Row],[Sea Level Rise  Risk Index Score]]*'Detailed Rubric V3'!$L$104</f>
        <v>0.4</v>
      </c>
      <c r="DO25" s="529" t="s">
        <v>419</v>
      </c>
      <c r="DP25" s="529" cm="1">
        <f t="array" ref="DP25">_xlfn.IFS(Table9[[#This Row],[Cyclone Risk Index (10%)]]="", 0, Table9[[#This Row],[Cyclone Risk Index (10%)]]="Very Low", 4, Table9[[#This Row],[Cyclone Risk Index (10%)]]="Moderate &amp; Low", 2, TRUE, 0)</f>
        <v>2</v>
      </c>
      <c r="DQ25" s="529">
        <f>Table9[[#This Row],[Cyclone Risk Index Score]]*'Detailed Rubric V3'!$O$104</f>
        <v>0.2</v>
      </c>
      <c r="DR25" s="529" t="s">
        <v>428</v>
      </c>
      <c r="DS25" s="529" cm="1">
        <f t="array" ref="DS25">_xlfn.IFS(Table9[[#This Row],[Storm Surge Risk Index (10%)]]="", 0, Table9[[#This Row],[Storm Surge Risk Index (10%)]]="Very Low", 4, Table9[[#This Row],[Storm Surge Risk Index (10%)]]="Moderate &amp; Low", 2, TRUE, 0)</f>
        <v>4</v>
      </c>
      <c r="DT25" s="529">
        <f>Table9[[#This Row],[Storm Surge Risk Index Score]]*'Detailed Rubric V3'!$R$104</f>
        <v>0.4</v>
      </c>
      <c r="DU25"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9.6000000000000002E-2</v>
      </c>
      <c r="DV25" s="533">
        <f>SUM(Table9[[#This Row],[2.1. Connectivity/ Logistics (10% weightage)]],Table9[[#This Row],[2.2. Utility (12% weightage)]],Table9[[#This Row],[2.3. Agglomeration effects (10% weightage)]],Table9[[#This Row],[2.4. Regional Policy (4% weightage)]],Table9[[#This Row],[2.5. Social (8% weightage)]],Table9[[#This Row],[2.6. Environment (6% weightage)]])</f>
        <v>1.3240000000000001</v>
      </c>
      <c r="DW25" s="232">
        <f>_xlfn.RANK.EQ(Table9[[#This Row],[Level 2 Score]],$DV$3:$DV$103)</f>
        <v>43</v>
      </c>
      <c r="DX25" s="533">
        <f>Table9[[#This Row],[Level 1 Score]]+Table9[[#This Row],[Level 2 Score]]</f>
        <v>2.4740000000000002</v>
      </c>
      <c r="DY25" s="232">
        <f>_xlfn.RANK.EQ(Table9[[#This Row],[Total Score]],$DX$3:$DX$103)</f>
        <v>23</v>
      </c>
      <c r="DZ25" s="237" t="str">
        <f>IF(Table9[[#This Row],[Count of Blanks]]&lt;=2, "Yes", "No")</f>
        <v>Yes</v>
      </c>
      <c r="EA25" s="237">
        <f>COUNTBLANK(Table9[[#This Row],[Name]:[Total Score Rank]])</f>
        <v>0</v>
      </c>
      <c r="EB25" s="613" t="s">
        <v>417</v>
      </c>
    </row>
    <row r="26" spans="2:132" ht="27" x14ac:dyDescent="0.25">
      <c r="B26" s="220">
        <v>7</v>
      </c>
      <c r="C26" s="221" t="s">
        <v>49</v>
      </c>
      <c r="D26" s="220" t="s">
        <v>113</v>
      </c>
      <c r="E26" s="220" t="s">
        <v>114</v>
      </c>
      <c r="F26" s="220" t="s">
        <v>115</v>
      </c>
      <c r="G26" s="220" t="s">
        <v>70</v>
      </c>
      <c r="H26" s="525" t="s">
        <v>422</v>
      </c>
      <c r="I26" s="70" t="s">
        <v>448</v>
      </c>
      <c r="J26" s="227" t="s">
        <v>444</v>
      </c>
      <c r="K26" s="220">
        <f>IFERROR(VLOOKUP(Table9[[#This Row],[Land Availability (Grade)​
(50%)]],'Detailed Rubric V3'!$B$8:$C$11,2), 0)</f>
        <v>0</v>
      </c>
      <c r="L26" s="220">
        <f>IFERROR(Table9[[#This Row],[Land Availability (Grade)​ Score]]*'Detailed Rubric V3'!$C$6, "")</f>
        <v>0</v>
      </c>
      <c r="M26" s="222">
        <v>251.43</v>
      </c>
      <c r="N26" s="222" cm="1">
        <f t="array" ref="N26">_xlfn.IFS(Table9[[#This Row],[Land Size (Acres)
(15%)]]&lt;100,0,Table9[[#This Row],[Land Size (Acres)
(15%)]]&gt;500,4,TRUE,2)</f>
        <v>2</v>
      </c>
      <c r="O26" s="222">
        <f>Table9[[#This Row],[Land Size (Acres) Score]]*'Detailed Rubric V3'!$G$6</f>
        <v>0.3</v>
      </c>
      <c r="P26" s="526">
        <v>1036</v>
      </c>
      <c r="Q26" s="526">
        <f>IFERROR(Table9[[#This Row],[Site Filling Cost (Mn BDT)]]/Table9[[#This Row],[Land Size (Acres)
(15%)]],"")</f>
        <v>4.1204311339140114</v>
      </c>
      <c r="R26" s="526" cm="1">
        <f t="array" ref="R26">IF(Table9[[#This Row],[Name]]="Sitakundo Economic Zone", 4, _xlfn.IFS(Table9[[#This Row],[Site Filling Cost (Mn BDT)]]="",0,Table9[[#This Row],[Land Suitability
(Cost of Land Filling in Million BDT per acre)
(25%)]]&gt;5,0,Table9[[#This Row],[Land Suitability
(Cost of Land Filling in Million BDT per acre)
(25%)]]&lt;2,4,TRUE,2))</f>
        <v>2</v>
      </c>
      <c r="S26" s="526">
        <f>Table9[[#This Row],[Land Suitability for Construction Score]]*'Detailed Rubric V3'!$J$6</f>
        <v>0.5</v>
      </c>
      <c r="T26" s="526">
        <v>0</v>
      </c>
      <c r="U26" s="526">
        <f>IFERROR(Table9[[#This Row],[Embankment/Dyke Cost (Mn BDT)]]/Table9[[#This Row],[Land Size (Acres)
(15%)]], 0)</f>
        <v>0</v>
      </c>
      <c r="V26" s="526" cm="1">
        <f t="array" ref="V26">IF(Table9[[#This Row],[Name]]="Sitakundo Economic Zone", 2, _xlfn.IFS(Table9[[#This Row],[Embankment/Dyke Cost (Mn BDT)]]="",0,Table9[[#This Row],[Cost of DRRI Infrastructure in million BDT per acre
(10%)]]&gt;5,0,Table9[[#This Row],[Cost of DRRI Infrastructure in million BDT per acre
(10%)]]&lt;2,4,TRUE,2))</f>
        <v>4</v>
      </c>
      <c r="W26" s="526">
        <f>Table9[[#This Row],[Requirement for Distaster Risk Reduction &amp; Resilience Infrastructure Score]]*'Detailed Rubric V3'!$M$6</f>
        <v>0.4</v>
      </c>
      <c r="X26"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0.24000000000000005</v>
      </c>
      <c r="Y26" s="452" t="s">
        <v>415</v>
      </c>
      <c r="Z26" s="583">
        <f>IFERROR(VLOOKUP(Table9[[#This Row],[Zone Priority
(40%)]],'Detailed Rubric V3'!$B$18:$C$21, 2,FALSE), 0)</f>
        <v>4</v>
      </c>
      <c r="AA26" s="583">
        <f>IFERROR(Table9[[#This Row],[Zone Priority Score]]*'Detailed Rubric V3'!$C$16, 0)</f>
        <v>0</v>
      </c>
      <c r="AB26" s="584" t="s">
        <v>416</v>
      </c>
      <c r="AC26" s="584">
        <f>VLOOKUP(Table9[[#This Row],[Existing BEZA Report
(60%)]],'Detailed Rubric V3'!$E$18:$F$20,2,FALSE)</f>
        <v>4</v>
      </c>
      <c r="AD26" s="584">
        <f>Table9[[#This Row],[Existing BEZA Report Score]]*'Detailed Rubric V3'!F$16</f>
        <v>4</v>
      </c>
      <c r="AE26" s="237">
        <f>(Table9[[#This Row],[Zone Priority Weighted Score]]+Table9[[#This Row],[Existing BEZA Report Weighted Score]])*'Detailed Rubric V3'!$C$14</f>
        <v>0.6</v>
      </c>
      <c r="AF26" s="528">
        <v>4</v>
      </c>
      <c r="AG26" s="585" cm="1">
        <f t="array" ref="AG26">_xlfn.IFS(Table9[[#This Row],[Existing Sectors
(50%)]]&gt;10, 4,Table9[[#This Row],[Existing Sectors
(50%)]]&lt;5, 0, TRUE, 2)</f>
        <v>0</v>
      </c>
      <c r="AH26" s="585">
        <f>Table9[[#This Row],[Existing Sectors Score]]*'Detailed Rubric V3'!$C$25</f>
        <v>0</v>
      </c>
      <c r="AI26" s="585">
        <v>7</v>
      </c>
      <c r="AJ26" s="585">
        <v>3</v>
      </c>
      <c r="AK26" s="585" cm="1">
        <f t="array" ref="AK26">_xlfn.IFS(Table9[[#This Row],[Potential New Sectors
(50%)]]&gt;5, 4, Table9[[#This Row],[Potential New Sectors
(50%)]]&lt;2,0, TRUE, 2)</f>
        <v>2</v>
      </c>
      <c r="AL26" s="585">
        <f>Table9[[#This Row],[Potential New Sectors Score]]*'Detailed Rubric V3'!$F$25</f>
        <v>1</v>
      </c>
      <c r="AM26" s="586">
        <f>(Table9[[#This Row],[Existing Sectors Weighted Score]]+Table9[[#This Row],[Potential New Sectors Weighted Score]])*'Detailed Rubric V3'!$C$23</f>
        <v>0.15</v>
      </c>
      <c r="AN26" s="530">
        <f>SUM(Table9[[#This Row],[1.1. Land Details (20% weightage)]],Table9[[#This Row],[1.2. BEZA Existing plans (15% weightage)]],Table9[[#This Row],[1.3. Sector Demand (15% weightage):]])</f>
        <v>0.9900000000000001</v>
      </c>
      <c r="AO26" s="531">
        <f>_xlfn.RANK.EQ(Table9[[#This Row],[Level 1 Score]],$AN$3:$AN$103)</f>
        <v>24</v>
      </c>
      <c r="AP26" s="529">
        <v>3.5</v>
      </c>
      <c r="AQ26" s="529" cm="1">
        <f t="array" ref="AQ26">_xlfn.IFS(Table9[[#This Row],[National Highway Connectivity (km)
(15%)]]="", 0, Table9[[#This Row],[National Highway Connectivity (km)
(15%)]]&gt;50, 0, Table9[[#This Row],[National Highway Connectivity (km)
(15%)]]&lt;=25, 4, TRUE, 2)</f>
        <v>4</v>
      </c>
      <c r="AR26" s="529">
        <f>Table9[[#This Row],[National Highway Connectivity Score]]*'Detailed Rubric V3'!$C$35</f>
        <v>0.6</v>
      </c>
      <c r="AS26" s="529" t="s">
        <v>417</v>
      </c>
      <c r="AT26" s="529" cm="1">
        <f t="array" ref="AT26">_xlfn.IFS(Table9[[#This Row],[Connecting Road to Highway (km)
(15%)]]="", 0, Table9[[#This Row],[Connecting Road to Highway (km)
(15%)]]="Yes", 4, TRUE, 0)</f>
        <v>4</v>
      </c>
      <c r="AU26" s="529">
        <f>Table9[[#This Row],[Connecting Road to Highway Score]]*'Detailed Rubric V3'!$F$35</f>
        <v>0.6</v>
      </c>
      <c r="AV26" s="529">
        <v>330</v>
      </c>
      <c r="AW26" s="529" cm="1">
        <f t="array" ref="AW26">_xlfn.IFS(Table9[[#This Row],[Seaport Connectivity (km)
(30%)]]="",0, Table9[[#This Row],[Seaport Connectivity (km)
(30%)]]&gt;400, 0,Table9[[#This Row],[Seaport Connectivity (km)
(30%)]]&lt;=200,4, TRUE, 2)</f>
        <v>2</v>
      </c>
      <c r="AX26" s="529">
        <f>Table9[[#This Row],[Seaport Connectivity Score]]*'Detailed Rubric V3'!$I$35</f>
        <v>0.6</v>
      </c>
      <c r="AY26" s="529">
        <v>109</v>
      </c>
      <c r="AZ26" s="529" cm="1">
        <f t="array" ref="AZ26">_xlfn.IFS(Table9[[#This Row],[Airport Connectivity (km)
(10%)]]="", 0, Table9[[#This Row],[Airport Connectivity (km)
(10%)]]&gt;200, 0, Table9[[#This Row],[Airport Connectivity (km)
(10%)]]&lt;=100,4,TRUE, 2)</f>
        <v>2</v>
      </c>
      <c r="BA26" s="529">
        <f>Table9[[#This Row],[Airport Connectivity Score]]*'Detailed Rubric V3'!$C$41</f>
        <v>0.2</v>
      </c>
      <c r="BB26" s="529">
        <v>7.5</v>
      </c>
      <c r="BC26" s="529" cm="1">
        <f t="array" ref="BC26">_xlfn.IFS(Table9[[#This Row],[Railway Station (km)
(10%)]]="", 0, Table9[[#This Row],[Railway Station (km)
(10%)]]&gt;150, 0,Table9[[#This Row],[Railway Station (km)
(10%)]]&lt;=50,4, TRUE, 2)</f>
        <v>4</v>
      </c>
      <c r="BD26" s="529">
        <f>Table9[[#This Row],[Railway Station Score]]*'Detailed Rubric V3'!$F$41</f>
        <v>0.4</v>
      </c>
      <c r="BE26" s="529">
        <v>160</v>
      </c>
      <c r="BF26" s="529" cm="1">
        <f t="array" ref="BF26">_xlfn.IFS(Table9[[#This Row],[Inland waterway/ Land port (km)
(20%)]]="", 0, Table9[[#This Row],[Inland waterway/ Land port (km)
(20%)]]&gt;200, 0,Table9[[#This Row],[Inland waterway/ Land port (km)
(20%)]]&lt;=50,4, TRUE, 2)</f>
        <v>2</v>
      </c>
      <c r="BG26" s="529">
        <f>Table9[[#This Row],[Inland waterway/ Land port Score]]*'Detailed Rubric V3'!$I$41</f>
        <v>0.4</v>
      </c>
      <c r="BH26"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0.27999999999999997</v>
      </c>
      <c r="BI26" s="529">
        <v>6</v>
      </c>
      <c r="BJ26" s="529" cm="1">
        <f t="array" ref="BJ26">_xlfn.IFS(Table9[[#This Row],[Power Station (40%)]]="",0, Table9[[#This Row],[Power Station (40%)]]&gt;100, 0,Table9[[#This Row],[Power Station (40%)]]&lt;=50,4, TRUE, 2)</f>
        <v>4</v>
      </c>
      <c r="BK26" s="529">
        <f>Table9[[#This Row],[Power Station Score]]*'Detailed Rubric V3'!$C$53</f>
        <v>1.6</v>
      </c>
      <c r="BL26" s="529">
        <v>4.3</v>
      </c>
      <c r="BM26" s="529" cm="1">
        <f t="array" ref="BM26">IF(ISNUMBER(Table9[[#This Row],[Gas Station (20%)]]), _xlfn.IFS(Table9[[#This Row],[Gas Station (20%)]]="", 0, Table9[[#This Row],[Gas Station (20%)]]&gt;100, 0,Table9[[#This Row],[Gas Station (20%)]]&lt;=50,4, TRUE, 2), 0)</f>
        <v>4</v>
      </c>
      <c r="BN26" s="529">
        <f>Table9[[#This Row],[Gas Station Score]]*'Detailed Rubric V3'!$F$53</f>
        <v>0.8</v>
      </c>
      <c r="BO26" s="529">
        <v>5.2</v>
      </c>
      <c r="BP26" s="529" cm="1">
        <f t="array" ref="BP26">IF(ISNUMBER(Table9[[#This Row],[Source of Surface Water (40%)]]), _xlfn.IFS(Table9[[#This Row],[Source of Surface Water (40%)]]="", 0, Table9[[#This Row],[Source of Surface Water (40%)]]&gt;50, 0,Table9[[#This Row],[Source of Surface Water (40%)]]&lt;=20,4, TRUE, 2), 0)</f>
        <v>4</v>
      </c>
      <c r="BQ26" s="529">
        <f>Table9[[#This Row],[Source of Surface Water Score]]*'Detailed Rubric V3'!$I$53</f>
        <v>1.6</v>
      </c>
      <c r="BR26" s="529">
        <f>SUM(Table9[[#This Row],[Power Station Weighted Score]],Table9[[#This Row],[Gas Station Weighted Score]],Table9[[#This Row],[Source of Surface Water Weighted Score]])*'Detailed Rubric V3'!$C$51</f>
        <v>0.48</v>
      </c>
      <c r="BS26" s="529" t="s">
        <v>418</v>
      </c>
      <c r="BT26" s="529" cm="1">
        <f t="array" ref="BT26">_xlfn.IFS(Table9[[#This Row],[Other BEZA EZ (20%)]]="", 0, Table9[[#This Row],[Other BEZA EZ (20%)]]="Yes", 4, TRUE, 0)</f>
        <v>0</v>
      </c>
      <c r="BU26" s="529">
        <f>Table9[[#This Row],[Other BEZA EZ Score]]*'Detailed Rubric V3'!$C$66</f>
        <v>0</v>
      </c>
      <c r="BV26" s="529" t="s">
        <v>417</v>
      </c>
      <c r="BW26" s="529" cm="1">
        <f t="array" ref="BW26">_xlfn.IFS(Table9[[#This Row],[BEPZA/ BHPTA/ BSCIC (20%)]]="", 0, Table9[[#This Row],[BEPZA/ BHPTA/ BSCIC (20%)]]="Yes", 4, TRUE, 0)</f>
        <v>4</v>
      </c>
      <c r="BX26" s="529">
        <f>Table9[[#This Row],[BEPZA/ BHPTA/ BSCIC Score]]*'Detailed Rubric V3'!$F$66</f>
        <v>0.8</v>
      </c>
      <c r="BY26" s="529">
        <v>173</v>
      </c>
      <c r="BZ26" s="529" cm="1">
        <f t="array" ref="BZ26">_xlfn.IFS(Table9[[#This Row],[Cluster Industries (from SMI) (20%)]]="", 0, Table9[[#This Row],[Cluster Industries (from SMI) (20%)]]&gt;100, 4, Table9[[#This Row],[Cluster Industries (from SMI) (20%)]]&lt;50, 0, TRUE, 2)</f>
        <v>4</v>
      </c>
      <c r="CA26" s="529">
        <f>Table9[[#This Row],[Cluster Industries (from SMI) Score]]*'Detailed Rubric V3'!$I$66</f>
        <v>0.8</v>
      </c>
      <c r="CB26" s="529" t="s">
        <v>417</v>
      </c>
      <c r="CC26" s="529" cm="1">
        <f t="array" ref="CC26">_xlfn.IFS(Table9[[#This Row],[Located on Industrial corridor (40%)]]="", 0, Table9[[#This Row],[Located on Industrial corridor (40%)]]="Yes", 4, TRUE, 0)</f>
        <v>4</v>
      </c>
      <c r="CD26" s="529">
        <f>Table9[[#This Row],[Located on Industrial corridor Score]]*'Detailed Rubric V3'!$L$66</f>
        <v>1.6</v>
      </c>
      <c r="CE26" s="529">
        <f>SUM(Table9[[#This Row],[Other BEZA EZ Weighted Score]],Table9[[#This Row],[BEPZA/ BHPTA/ BSCIC Weighted Score]],Table9[[#This Row],[Unorganized (from SMI) Weighted Score]],Table9[[#This Row],[Located on Industrial corridor Weighted Score]])*'Detailed Rubric V3'!$C$64</f>
        <v>0.32000000000000006</v>
      </c>
      <c r="CF26" s="529" t="s">
        <v>418</v>
      </c>
      <c r="CG26" s="529" cm="1">
        <f t="array" ref="CG26">_xlfn.IFS(Table9[[#This Row],[Economic/ Social priority (laggered area) (100%)]]="", 0, Table9[[#This Row],[Economic/ Social priority (laggered area) (100%)]]="Yes", 4, TRUE, 0)</f>
        <v>0</v>
      </c>
      <c r="CH26" s="529">
        <f>Table9[[#This Row],[Economic/ Social priority (laggered area) Score]]*'Detailed Rubric V3'!$C$82</f>
        <v>0</v>
      </c>
      <c r="CI26" s="529" t="s">
        <v>418</v>
      </c>
      <c r="CJ26" s="529" cm="1">
        <f t="array" ref="CJ26">_xlfn.IFS(Table9[[#This Row],[Regional Tax incentive  (0%)]]="", 0, Table9[[#This Row],[Regional Tax incentive  (0%)]]="Yes", 4, TRUE, 0)</f>
        <v>0</v>
      </c>
      <c r="CK26" s="529">
        <f>Table9[[#This Row],[Regional Tax incentive Score]]*'Detailed Rubric V3'!$F$82</f>
        <v>0</v>
      </c>
      <c r="CL26" s="529">
        <f>SUM(Table9[[#This Row],[Economic/ Social priority (laagered area) Weighted Score]],Table9[[#This Row],[Regional Tax incentive  Weighted Score]])*'Detailed Rubric V3'!$C$80</f>
        <v>0</v>
      </c>
      <c r="CM26" s="529">
        <v>724353</v>
      </c>
      <c r="CN26" s="529" cm="1">
        <f t="array" ref="CN26">_xlfn.IFS(Table9[[#This Row],[Employable population (40%) 2013]]="", 0, Table9[[#This Row],[Employable population (40%) 2013]]&gt;200000, 4, Table9[[#This Row],[Employable population (40%) 2013]]&lt;100000,0, TRUE, 2)</f>
        <v>4</v>
      </c>
      <c r="CO26" s="529">
        <f>Table9[[#This Row],[Employable population Score]]*'Detailed Rubric V3'!$C$92</f>
        <v>1.6</v>
      </c>
      <c r="CP26" s="529">
        <v>11</v>
      </c>
      <c r="CQ26" s="529" cm="1">
        <f t="array" ref="CQ26">_xlfn.IFS(Table9[[#This Row],[Housing (20%)]]="", 0, Table9[[#This Row],[Housing (20%)]]&gt;50, 0, Table9[[#This Row],[Housing (20%)]]&lt;25, 4, TRUE, 2)</f>
        <v>4</v>
      </c>
      <c r="CR26" s="529">
        <f>Table9[[#This Row],[Housing Score]]*'Detailed Rubric V3'!$F$92</f>
        <v>0.8</v>
      </c>
      <c r="CS26" s="529">
        <v>32</v>
      </c>
      <c r="CT26" s="529" cm="1">
        <f t="array" ref="CT26">_xlfn.IFS(Table9[[#This Row],[Hotels (10%)]]="", 0, Table9[[#This Row],[Hotels (10%)]]&gt;25, 4, Table9[[#This Row],[Hotels (10%)]]&lt;5, 0, TRUE, 2)</f>
        <v>4</v>
      </c>
      <c r="CU26" s="529">
        <f>Table9[[#This Row],[Hotels Score]]*'Detailed Rubric V3'!$I$92</f>
        <v>0.4</v>
      </c>
      <c r="CV26" s="529">
        <v>171</v>
      </c>
      <c r="CW26" s="529" cm="1">
        <f t="array" ref="CW26">_xlfn.IFS(Table9[[#This Row],[Health (Hospital) (15%)]]="", 0, Table9[[#This Row],[Health (Hospital) (15%)]]&gt;10, 4, Table9[[#This Row],[Health (Hospital) (15%)]]&lt;5, 0, TRUE, 2)</f>
        <v>4</v>
      </c>
      <c r="CX26" s="529">
        <f>Table9[[#This Row],[Health (Hospital) Score]]*'Detailed Rubric V3'!$L$92</f>
        <v>0.6</v>
      </c>
      <c r="CY26" s="529">
        <f>11+1</f>
        <v>12</v>
      </c>
      <c r="CZ26" s="529" cm="1">
        <f t="array" ref="CZ26">_xlfn.IFS(Table9[[#This Row],[University/ Technical &amp; Vocational Institutions (15%)]]="", 0, Table9[[#This Row],[University/ Technical &amp; Vocational Institutions (15%)]]&gt;3, 4, Table9[[#This Row],[University/ Technical &amp; Vocational Institutions (15%)]]&lt;1, 0, TRUE, 2)</f>
        <v>4</v>
      </c>
      <c r="DA26" s="529">
        <f>Table9[[#This Row],[University/ Technical &amp; Vocational Institutions Score]]*'Detailed Rubric V3'!$O$92</f>
        <v>0.6</v>
      </c>
      <c r="DB26"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26" s="529" t="s">
        <v>418</v>
      </c>
      <c r="DD26" s="529" cm="1">
        <f t="array" ref="DD26">_xlfn.IFS(Table9[[#This Row],[Environment compliance (30%)]]="", 0, Table9[[#This Row],[Environment compliance (30%)]]="Yes", 4, TRUE, 0)</f>
        <v>0</v>
      </c>
      <c r="DE26" s="529">
        <f>Table9[[#This Row],[Environment compliance Score]]*'Detailed Rubric V3'!$C$104</f>
        <v>0</v>
      </c>
      <c r="DF26" s="529" t="s">
        <v>421</v>
      </c>
      <c r="DG26" s="529" cm="1">
        <f t="array" ref="DG26">_xlfn.IFS(Table9[[#This Row],[Flood Risk Index (30%)]]="", 0, Table9[[#This Row],[Flood Risk Index (30%)]]="Very Low", 4, Table9[[#This Row],[Flood Risk Index (30%)]]="Moderate &amp; Low", 2, TRUE, 0)</f>
        <v>0</v>
      </c>
      <c r="DH26" s="529">
        <f>Table9[[#This Row],[Flood Risk Index Score]]*'Detailed Rubric V3'!$F$104</f>
        <v>0</v>
      </c>
      <c r="DI26" s="529" t="s">
        <v>421</v>
      </c>
      <c r="DJ26" s="529" cm="1">
        <f t="array" ref="DJ26">_xlfn.IFS(Table9[[#This Row],[Earth Quake Risk Index (10%)]]="", 0, Table9[[#This Row],[Earth Quake Risk Index (10%)]]="Very Low", 4, Table9[[#This Row],[Earth Quake Risk Index (10%)]]="Moderate &amp; Low", 2, TRUE, 0)</f>
        <v>0</v>
      </c>
      <c r="DK26" s="529">
        <f>Table9[[#This Row],[Earth Quake Risk Index Score]]*'Detailed Rubric V3'!$I$104</f>
        <v>0</v>
      </c>
      <c r="DL26" s="529" t="s">
        <v>428</v>
      </c>
      <c r="DM26" s="529" cm="1">
        <f t="array" ref="DM26">_xlfn.IFS(Table9[[#This Row],[Sea Level Rise Risk Index (10%)]]="", 0, Table9[[#This Row],[Sea Level Rise Risk Index (10%)]]="Very Low", 4, Table9[[#This Row],[Sea Level Rise Risk Index (10%)]]="Moderate &amp; Low", 2, TRUE, 0)</f>
        <v>4</v>
      </c>
      <c r="DN26" s="529">
        <f>Table9[[#This Row],[Sea Level Rise  Risk Index Score]]*'Detailed Rubric V3'!$L$104</f>
        <v>0.4</v>
      </c>
      <c r="DO26" s="529" t="s">
        <v>419</v>
      </c>
      <c r="DP26" s="529" cm="1">
        <f t="array" ref="DP26">_xlfn.IFS(Table9[[#This Row],[Cyclone Risk Index (10%)]]="", 0, Table9[[#This Row],[Cyclone Risk Index (10%)]]="Very Low", 4, Table9[[#This Row],[Cyclone Risk Index (10%)]]="Moderate &amp; Low", 2, TRUE, 0)</f>
        <v>2</v>
      </c>
      <c r="DQ26" s="529">
        <f>Table9[[#This Row],[Cyclone Risk Index Score]]*'Detailed Rubric V3'!$O$104</f>
        <v>0.2</v>
      </c>
      <c r="DR26" s="529" t="s">
        <v>428</v>
      </c>
      <c r="DS26" s="529" cm="1">
        <f t="array" ref="DS26">_xlfn.IFS(Table9[[#This Row],[Storm Surge Risk Index (10%)]]="", 0, Table9[[#This Row],[Storm Surge Risk Index (10%)]]="Very Low", 4, Table9[[#This Row],[Storm Surge Risk Index (10%)]]="Moderate &amp; Low", 2, TRUE, 0)</f>
        <v>4</v>
      </c>
      <c r="DT26" s="529">
        <f>Table9[[#This Row],[Storm Surge Risk Index Score]]*'Detailed Rubric V3'!$R$104</f>
        <v>0.4</v>
      </c>
      <c r="DU26"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26" s="533">
        <f>SUM(Table9[[#This Row],[2.1. Connectivity/ Logistics (10% weightage)]],Table9[[#This Row],[2.2. Utility (12% weightage)]],Table9[[#This Row],[2.3. Agglomeration effects (10% weightage)]],Table9[[#This Row],[2.4. Regional Policy (4% weightage)]],Table9[[#This Row],[2.5. Social (8% weightage)]],Table9[[#This Row],[2.6. Environment (6% weightage)]])</f>
        <v>1.4600000000000002</v>
      </c>
      <c r="DW26" s="232">
        <f>_xlfn.RANK.EQ(Table9[[#This Row],[Level 2 Score]],$DV$3:$DV$103)</f>
        <v>33</v>
      </c>
      <c r="DX26" s="533">
        <f>Table9[[#This Row],[Level 1 Score]]+Table9[[#This Row],[Level 2 Score]]</f>
        <v>2.4500000000000002</v>
      </c>
      <c r="DY26" s="336">
        <f>_xlfn.RANK.EQ(Table9[[#This Row],[Total Score]],$DX$3:$DX$103)</f>
        <v>24</v>
      </c>
      <c r="DZ26" s="237" t="str">
        <f>IF(Table9[[#This Row],[Count of Blanks]]&lt;=2, "Yes", "No")</f>
        <v>Yes</v>
      </c>
      <c r="EA26" s="237">
        <f>COUNTBLANK(Table9[[#This Row],[Name]:[Total Score Rank]])</f>
        <v>0</v>
      </c>
      <c r="EB26" s="709" t="s">
        <v>1440</v>
      </c>
    </row>
    <row r="27" spans="2:132" x14ac:dyDescent="0.25">
      <c r="B27" s="220">
        <v>64</v>
      </c>
      <c r="C27" s="334" t="s">
        <v>41</v>
      </c>
      <c r="D27" s="220" t="s">
        <v>76</v>
      </c>
      <c r="E27" s="220" t="s">
        <v>102</v>
      </c>
      <c r="F27" s="220" t="s">
        <v>103</v>
      </c>
      <c r="G27" s="220" t="s">
        <v>70</v>
      </c>
      <c r="H27" s="525" t="s">
        <v>422</v>
      </c>
      <c r="I27" s="70" t="s">
        <v>442</v>
      </c>
      <c r="J27" s="535" t="s">
        <v>444</v>
      </c>
      <c r="K27" s="220">
        <f>IFERROR(VLOOKUP(Table9[[#This Row],[Land Availability (Grade)​
(50%)]],'Detailed Rubric V3'!$B$8:$C$11,2), 0)</f>
        <v>0</v>
      </c>
      <c r="L27" s="220">
        <f>IFERROR(Table9[[#This Row],[Land Availability (Grade)​ Score]]*'Detailed Rubric V3'!$C$6, "")</f>
        <v>0</v>
      </c>
      <c r="M27" s="222">
        <v>1764.89</v>
      </c>
      <c r="N27" s="222" cm="1">
        <f t="array" ref="N27">_xlfn.IFS(Table9[[#This Row],[Land Size (Acres)
(15%)]]&lt;100,0,Table9[[#This Row],[Land Size (Acres)
(15%)]]&gt;500,4,TRUE,2)</f>
        <v>4</v>
      </c>
      <c r="O27" s="222">
        <f>Table9[[#This Row],[Land Size (Acres) Score]]*'Detailed Rubric V3'!$G$6</f>
        <v>0.6</v>
      </c>
      <c r="P27" s="526">
        <v>9604.9</v>
      </c>
      <c r="Q27" s="526">
        <f>IFERROR(Table9[[#This Row],[Site Filling Cost (Mn BDT)]]/Table9[[#This Row],[Land Size (Acres)
(15%)]],"")</f>
        <v>5.4422088628753063</v>
      </c>
      <c r="R27" s="526" cm="1">
        <f t="array" ref="R27">IF(Table9[[#This Row],[Name]]="Sitakundo Economic Zone", 4, _xlfn.IFS(Table9[[#This Row],[Site Filling Cost (Mn BDT)]]="",0,Table9[[#This Row],[Land Suitability
(Cost of Land Filling in Million BDT per acre)
(25%)]]&gt;5,0,Table9[[#This Row],[Land Suitability
(Cost of Land Filling in Million BDT per acre)
(25%)]]&lt;2,4,TRUE,2))</f>
        <v>0</v>
      </c>
      <c r="S27" s="526">
        <f>Table9[[#This Row],[Land Suitability for Construction Score]]*'Detailed Rubric V3'!$J$6</f>
        <v>0</v>
      </c>
      <c r="T27" s="526">
        <v>3042.5</v>
      </c>
      <c r="U27" s="526">
        <f>IFERROR(Table9[[#This Row],[Embankment/Dyke Cost (Mn BDT)]]/Table9[[#This Row],[Land Size (Acres)
(15%)]], 0)</f>
        <v>1.7239034727376776</v>
      </c>
      <c r="V27" s="526" cm="1">
        <f t="array" ref="V27">IF(Table9[[#This Row],[Name]]="Sitakundo Economic Zone", 2, _xlfn.IFS(Table9[[#This Row],[Embankment/Dyke Cost (Mn BDT)]]="",0,Table9[[#This Row],[Cost of DRRI Infrastructure in million BDT per acre
(10%)]]&gt;5,0,Table9[[#This Row],[Cost of DRRI Infrastructure in million BDT per acre
(10%)]]&lt;2,4,TRUE,2))</f>
        <v>4</v>
      </c>
      <c r="W27" s="526">
        <f>Table9[[#This Row],[Requirement for Distaster Risk Reduction &amp; Resilience Infrastructure Score]]*'Detailed Rubric V3'!$M$6</f>
        <v>0.4</v>
      </c>
      <c r="X27"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v>
      </c>
      <c r="Y27" s="227" t="s">
        <v>443</v>
      </c>
      <c r="Z27" s="210">
        <f>IFERROR(VLOOKUP(Table9[[#This Row],[Zone Priority
(40%)]],'Detailed Rubric V3'!$B$18:$C$21, 2,FALSE), 0)</f>
        <v>2</v>
      </c>
      <c r="AA27" s="210">
        <f>IFERROR(Table9[[#This Row],[Zone Priority Score]]*'Detailed Rubric V3'!$C$16, 0)</f>
        <v>0</v>
      </c>
      <c r="AB27" s="237" t="s">
        <v>416</v>
      </c>
      <c r="AC27" s="237">
        <f>VLOOKUP(Table9[[#This Row],[Existing BEZA Report
(60%)]],'Detailed Rubric V3'!$E$18:$F$20,2,FALSE)</f>
        <v>4</v>
      </c>
      <c r="AD27" s="237">
        <f>Table9[[#This Row],[Existing BEZA Report Score]]*'Detailed Rubric V3'!F$16</f>
        <v>4</v>
      </c>
      <c r="AE27" s="237">
        <f>(Table9[[#This Row],[Zone Priority Weighted Score]]+Table9[[#This Row],[Existing BEZA Report Weighted Score]])*'Detailed Rubric V3'!$C$14</f>
        <v>0.6</v>
      </c>
      <c r="AF27" s="528">
        <v>3</v>
      </c>
      <c r="AG27" s="529" cm="1">
        <f t="array" ref="AG27">_xlfn.IFS(Table9[[#This Row],[Existing Sectors
(50%)]]&gt;10, 4,Table9[[#This Row],[Existing Sectors
(50%)]]&lt;5, 0, TRUE, 2)</f>
        <v>0</v>
      </c>
      <c r="AH27" s="529">
        <f>Table9[[#This Row],[Existing Sectors Score]]*'Detailed Rubric V3'!$C$25</f>
        <v>0</v>
      </c>
      <c r="AI27" s="529">
        <v>3</v>
      </c>
      <c r="AJ27" s="529">
        <v>0</v>
      </c>
      <c r="AK27" s="529" cm="1">
        <f t="array" ref="AK27">_xlfn.IFS(Table9[[#This Row],[Potential New Sectors
(50%)]]&gt;5, 4, Table9[[#This Row],[Potential New Sectors
(50%)]]&lt;2,0, TRUE, 2)</f>
        <v>0</v>
      </c>
      <c r="AL27" s="529">
        <f>Table9[[#This Row],[Potential New Sectors Score]]*'Detailed Rubric V3'!$F$25</f>
        <v>0</v>
      </c>
      <c r="AM27" s="232">
        <f>(Table9[[#This Row],[Existing Sectors Weighted Score]]+Table9[[#This Row],[Potential New Sectors Weighted Score]])*'Detailed Rubric V3'!$C$23</f>
        <v>0</v>
      </c>
      <c r="AN27" s="530">
        <f>SUM(Table9[[#This Row],[1.1. Land Details (20% weightage)]],Table9[[#This Row],[1.2. BEZA Existing plans (15% weightage)]],Table9[[#This Row],[1.3. Sector Demand (15% weightage):]])</f>
        <v>0.8</v>
      </c>
      <c r="AO27" s="531">
        <f>_xlfn.RANK.EQ(Table9[[#This Row],[Level 1 Score]],$AN$3:$AN$103)</f>
        <v>33</v>
      </c>
      <c r="AP27" s="529">
        <v>3</v>
      </c>
      <c r="AQ27" s="529" cm="1">
        <f t="array" ref="AQ27">_xlfn.IFS(Table9[[#This Row],[National Highway Connectivity (km)
(15%)]]="", 0, Table9[[#This Row],[National Highway Connectivity (km)
(15%)]]&gt;50, 0, Table9[[#This Row],[National Highway Connectivity (km)
(15%)]]&lt;=25, 4, TRUE, 2)</f>
        <v>4</v>
      </c>
      <c r="AR27" s="529">
        <f>Table9[[#This Row],[National Highway Connectivity Score]]*'Detailed Rubric V3'!$C$35</f>
        <v>0.6</v>
      </c>
      <c r="AS27" s="529" t="s">
        <v>418</v>
      </c>
      <c r="AT27" s="529" cm="1">
        <f t="array" ref="AT27">_xlfn.IFS(Table9[[#This Row],[Connecting Road to Highway (km)
(15%)]]="", 0, Table9[[#This Row],[Connecting Road to Highway (km)
(15%)]]="Yes", 4, TRUE, 0)</f>
        <v>0</v>
      </c>
      <c r="AU27" s="529">
        <f>Table9[[#This Row],[Connecting Road to Highway Score]]*'Detailed Rubric V3'!$F$35</f>
        <v>0</v>
      </c>
      <c r="AV27" s="529">
        <v>65</v>
      </c>
      <c r="AW27" s="529" cm="1">
        <f t="array" ref="AW27">_xlfn.IFS(Table9[[#This Row],[Seaport Connectivity (km)
(30%)]]="",0, Table9[[#This Row],[Seaport Connectivity (km)
(30%)]]&gt;400, 0,Table9[[#This Row],[Seaport Connectivity (km)
(30%)]]&lt;=200,4, TRUE, 2)</f>
        <v>4</v>
      </c>
      <c r="AX27" s="529">
        <f>Table9[[#This Row],[Seaport Connectivity Score]]*'Detailed Rubric V3'!$I$35</f>
        <v>1.2</v>
      </c>
      <c r="AY27" s="529">
        <v>109</v>
      </c>
      <c r="AZ27" s="529" cm="1">
        <f t="array" ref="AZ27">_xlfn.IFS(Table9[[#This Row],[Airport Connectivity (km)
(10%)]]="", 0, Table9[[#This Row],[Airport Connectivity (km)
(10%)]]&gt;200, 0, Table9[[#This Row],[Airport Connectivity (km)
(10%)]]&lt;=100,4,TRUE, 2)</f>
        <v>2</v>
      </c>
      <c r="BA27" s="529">
        <f>Table9[[#This Row],[Airport Connectivity Score]]*'Detailed Rubric V3'!$C$41</f>
        <v>0.2</v>
      </c>
      <c r="BB27" s="529">
        <v>3</v>
      </c>
      <c r="BC27" s="529" cm="1">
        <f t="array" ref="BC27">_xlfn.IFS(Table9[[#This Row],[Railway Station (km)
(10%)]]="", 0, Table9[[#This Row],[Railway Station (km)
(10%)]]&gt;150, 0,Table9[[#This Row],[Railway Station (km)
(10%)]]&lt;=50,4, TRUE, 2)</f>
        <v>4</v>
      </c>
      <c r="BD27" s="529">
        <f>Table9[[#This Row],[Railway Station Score]]*'Detailed Rubric V3'!$F$41</f>
        <v>0.4</v>
      </c>
      <c r="BE27" s="529">
        <v>211</v>
      </c>
      <c r="BF27" s="529" cm="1">
        <f t="array" ref="BF27">_xlfn.IFS(Table9[[#This Row],[Inland waterway/ Land port (km)
(20%)]]="", 0, Table9[[#This Row],[Inland waterway/ Land port (km)
(20%)]]&gt;200, 0,Table9[[#This Row],[Inland waterway/ Land port (km)
(20%)]]&lt;=50,4, TRUE, 2)</f>
        <v>0</v>
      </c>
      <c r="BG27" s="529">
        <f>Table9[[#This Row],[Inland waterway/ Land port Score]]*'Detailed Rubric V3'!$I$41</f>
        <v>0</v>
      </c>
      <c r="BH27"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0.24</v>
      </c>
      <c r="BI27" s="529">
        <v>10</v>
      </c>
      <c r="BJ27" s="529" cm="1">
        <f t="array" ref="BJ27">_xlfn.IFS(Table9[[#This Row],[Power Station (40%)]]="",0, Table9[[#This Row],[Power Station (40%)]]&gt;100, 0,Table9[[#This Row],[Power Station (40%)]]&lt;=50,4, TRUE, 2)</f>
        <v>4</v>
      </c>
      <c r="BK27" s="529">
        <f>Table9[[#This Row],[Power Station Score]]*'Detailed Rubric V3'!$C$53</f>
        <v>1.6</v>
      </c>
      <c r="BL27" s="529">
        <v>18</v>
      </c>
      <c r="BM27" s="529" cm="1">
        <f t="array" ref="BM27">IF(ISNUMBER(Table9[[#This Row],[Gas Station (20%)]]), _xlfn.IFS(Table9[[#This Row],[Gas Station (20%)]]="", 0, Table9[[#This Row],[Gas Station (20%)]]&gt;100, 0,Table9[[#This Row],[Gas Station (20%)]]&lt;=50,4, TRUE, 2), 0)</f>
        <v>4</v>
      </c>
      <c r="BN27" s="529">
        <f>Table9[[#This Row],[Gas Station Score]]*'Detailed Rubric V3'!$F$53</f>
        <v>0.8</v>
      </c>
      <c r="BO27" s="529">
        <v>1</v>
      </c>
      <c r="BP27" s="529" cm="1">
        <f t="array" ref="BP27">IF(ISNUMBER(Table9[[#This Row],[Source of Surface Water (40%)]]), _xlfn.IFS(Table9[[#This Row],[Source of Surface Water (40%)]]="", 0, Table9[[#This Row],[Source of Surface Water (40%)]]&gt;50, 0,Table9[[#This Row],[Source of Surface Water (40%)]]&lt;=20,4, TRUE, 2), 0)</f>
        <v>4</v>
      </c>
      <c r="BQ27" s="529">
        <f>Table9[[#This Row],[Source of Surface Water Score]]*'Detailed Rubric V3'!$I$53</f>
        <v>1.6</v>
      </c>
      <c r="BR27" s="529">
        <f>SUM(Table9[[#This Row],[Power Station Weighted Score]],Table9[[#This Row],[Gas Station Weighted Score]],Table9[[#This Row],[Source of Surface Water Weighted Score]])*'Detailed Rubric V3'!$C$51</f>
        <v>0.48</v>
      </c>
      <c r="BS27" s="529" t="s">
        <v>418</v>
      </c>
      <c r="BT27" s="529" cm="1">
        <f t="array" ref="BT27">_xlfn.IFS(Table9[[#This Row],[Other BEZA EZ (20%)]]="", 0, Table9[[#This Row],[Other BEZA EZ (20%)]]="Yes", 4, TRUE, 0)</f>
        <v>0</v>
      </c>
      <c r="BU27" s="529">
        <f>Table9[[#This Row],[Other BEZA EZ Score]]*'Detailed Rubric V3'!$C$66</f>
        <v>0</v>
      </c>
      <c r="BV27" s="529" t="s">
        <v>417</v>
      </c>
      <c r="BW27" s="529" cm="1">
        <f t="array" ref="BW27">_xlfn.IFS(Table9[[#This Row],[BEPZA/ BHPTA/ BSCIC (20%)]]="", 0, Table9[[#This Row],[BEPZA/ BHPTA/ BSCIC (20%)]]="Yes", 4, TRUE, 0)</f>
        <v>4</v>
      </c>
      <c r="BX27" s="529">
        <f>Table9[[#This Row],[BEPZA/ BHPTA/ BSCIC Score]]*'Detailed Rubric V3'!$F$66</f>
        <v>0.8</v>
      </c>
      <c r="BY27" s="529">
        <v>271</v>
      </c>
      <c r="BZ27" s="529" cm="1">
        <f t="array" ref="BZ27">_xlfn.IFS(Table9[[#This Row],[Cluster Industries (from SMI) (20%)]]="", 0, Table9[[#This Row],[Cluster Industries (from SMI) (20%)]]&gt;100, 4, Table9[[#This Row],[Cluster Industries (from SMI) (20%)]]&lt;50, 0, TRUE, 2)</f>
        <v>4</v>
      </c>
      <c r="CA27" s="529">
        <f>Table9[[#This Row],[Cluster Industries (from SMI) Score]]*'Detailed Rubric V3'!$I$66</f>
        <v>0.8</v>
      </c>
      <c r="CB27" s="529" t="s">
        <v>417</v>
      </c>
      <c r="CC27" s="529" cm="1">
        <f t="array" ref="CC27">_xlfn.IFS(Table9[[#This Row],[Located on Industrial corridor (40%)]]="", 0, Table9[[#This Row],[Located on Industrial corridor (40%)]]="Yes", 4, TRUE, 0)</f>
        <v>4</v>
      </c>
      <c r="CD27" s="529">
        <f>Table9[[#This Row],[Located on Industrial corridor Score]]*'Detailed Rubric V3'!$L$66</f>
        <v>1.6</v>
      </c>
      <c r="CE27" s="529">
        <f>SUM(Table9[[#This Row],[Other BEZA EZ Weighted Score]],Table9[[#This Row],[BEPZA/ BHPTA/ BSCIC Weighted Score]],Table9[[#This Row],[Unorganized (from SMI) Weighted Score]],Table9[[#This Row],[Located on Industrial corridor Weighted Score]])*'Detailed Rubric V3'!$C$64</f>
        <v>0.32000000000000006</v>
      </c>
      <c r="CF27" s="529" t="s">
        <v>417</v>
      </c>
      <c r="CG27" s="529" cm="1">
        <f t="array" ref="CG27">_xlfn.IFS(Table9[[#This Row],[Economic/ Social priority (laggered area) (100%)]]="", 0, Table9[[#This Row],[Economic/ Social priority (laggered area) (100%)]]="Yes", 4, TRUE, 0)</f>
        <v>4</v>
      </c>
      <c r="CH27" s="529">
        <f>Table9[[#This Row],[Economic/ Social priority (laggered area) Score]]*'Detailed Rubric V3'!$C$82</f>
        <v>4</v>
      </c>
      <c r="CI27" s="529" t="s">
        <v>417</v>
      </c>
      <c r="CJ27" s="529" cm="1">
        <f t="array" ref="CJ27">_xlfn.IFS(Table9[[#This Row],[Regional Tax incentive  (0%)]]="", 0, Table9[[#This Row],[Regional Tax incentive  (0%)]]="Yes", 4, TRUE, 0)</f>
        <v>4</v>
      </c>
      <c r="CK27" s="529">
        <f>Table9[[#This Row],[Regional Tax incentive Score]]*'Detailed Rubric V3'!$F$82</f>
        <v>0</v>
      </c>
      <c r="CL27" s="529">
        <f>SUM(Table9[[#This Row],[Economic/ Social priority (laagered area) Weighted Score]],Table9[[#This Row],[Regional Tax incentive  Weighted Score]])*'Detailed Rubric V3'!$C$80</f>
        <v>0.16</v>
      </c>
      <c r="CM27" s="529">
        <v>552785</v>
      </c>
      <c r="CN27" s="529" cm="1">
        <f t="array" ref="CN27">_xlfn.IFS(Table9[[#This Row],[Employable population (40%) 2013]]="", 0, Table9[[#This Row],[Employable population (40%) 2013]]&gt;200000, 4, Table9[[#This Row],[Employable population (40%) 2013]]&lt;100000,0, TRUE, 2)</f>
        <v>4</v>
      </c>
      <c r="CO27" s="529">
        <f>Table9[[#This Row],[Employable population Score]]*'Detailed Rubric V3'!$C$92</f>
        <v>1.6</v>
      </c>
      <c r="CP27" s="529">
        <v>32.6</v>
      </c>
      <c r="CQ27" s="529" cm="1">
        <f t="array" ref="CQ27">_xlfn.IFS(Table9[[#This Row],[Housing (20%)]]="", 0, Table9[[#This Row],[Housing (20%)]]&gt;50, 0, Table9[[#This Row],[Housing (20%)]]&lt;25, 4, TRUE, 2)</f>
        <v>2</v>
      </c>
      <c r="CR27" s="529">
        <f>Table9[[#This Row],[Housing Score]]*'Detailed Rubric V3'!$F$92</f>
        <v>0.4</v>
      </c>
      <c r="CS27" s="529">
        <v>332</v>
      </c>
      <c r="CT27" s="529" cm="1">
        <f t="array" ref="CT27">_xlfn.IFS(Table9[[#This Row],[Hotels (10%)]]="", 0, Table9[[#This Row],[Hotels (10%)]]&gt;25, 4, Table9[[#This Row],[Hotels (10%)]]&lt;5, 0, TRUE, 2)</f>
        <v>4</v>
      </c>
      <c r="CU27" s="529">
        <f>Table9[[#This Row],[Hotels Score]]*'Detailed Rubric V3'!$I$92</f>
        <v>0.4</v>
      </c>
      <c r="CV27" s="529">
        <v>188</v>
      </c>
      <c r="CW27" s="529" cm="1">
        <f t="array" ref="CW27">_xlfn.IFS(Table9[[#This Row],[Health (Hospital) (15%)]]="", 0, Table9[[#This Row],[Health (Hospital) (15%)]]&gt;10, 4, Table9[[#This Row],[Health (Hospital) (15%)]]&lt;5, 0, TRUE, 2)</f>
        <v>4</v>
      </c>
      <c r="CX27" s="529">
        <f>Table9[[#This Row],[Health (Hospital) Score]]*'Detailed Rubric V3'!$L$92</f>
        <v>0.6</v>
      </c>
      <c r="CY27" s="529">
        <v>78</v>
      </c>
      <c r="CZ27" s="529" cm="1">
        <f t="array" ref="CZ27">_xlfn.IFS(Table9[[#This Row],[University/ Technical &amp; Vocational Institutions (15%)]]="", 0, Table9[[#This Row],[University/ Technical &amp; Vocational Institutions (15%)]]&gt;3, 4, Table9[[#This Row],[University/ Technical &amp; Vocational Institutions (15%)]]&lt;1, 0, TRUE, 2)</f>
        <v>4</v>
      </c>
      <c r="DA27" s="529">
        <f>Table9[[#This Row],[University/ Technical &amp; Vocational Institutions Score]]*'Detailed Rubric V3'!$O$92</f>
        <v>0.6</v>
      </c>
      <c r="DB27" s="529">
        <f>SUM(Table9[[#This Row],[Employable population Weighted Score]],Table9[[#This Row],[Housing Weighted Score]],Table9[[#This Row],[Hotels Weighted Score]],Table9[[#This Row],[Health (Hospital) Weighted Score]],Table9[[#This Row],[University/ Technical &amp; Vocational Institutions Weighted Score]])*'Detailed Rubric V3'!$C$90</f>
        <v>0.28800000000000003</v>
      </c>
      <c r="DC27" s="529" t="s">
        <v>418</v>
      </c>
      <c r="DD27" s="529" cm="1">
        <f t="array" ref="DD27">_xlfn.IFS(Table9[[#This Row],[Environment compliance (30%)]]="", 0, Table9[[#This Row],[Environment compliance (30%)]]="Yes", 4, TRUE, 0)</f>
        <v>0</v>
      </c>
      <c r="DE27" s="529">
        <f>Table9[[#This Row],[Environment compliance Score]]*'Detailed Rubric V3'!$C$104</f>
        <v>0</v>
      </c>
      <c r="DF27" s="529" t="s">
        <v>419</v>
      </c>
      <c r="DG27" s="529" cm="1">
        <f t="array" ref="DG27">_xlfn.IFS(Table9[[#This Row],[Flood Risk Index (30%)]]="", 0, Table9[[#This Row],[Flood Risk Index (30%)]]="Very Low", 4, Table9[[#This Row],[Flood Risk Index (30%)]]="Moderate &amp; Low", 2, TRUE, 0)</f>
        <v>2</v>
      </c>
      <c r="DH27" s="529">
        <f>Table9[[#This Row],[Flood Risk Index Score]]*'Detailed Rubric V3'!$F$104</f>
        <v>0.6</v>
      </c>
      <c r="DI27" s="529" t="s">
        <v>419</v>
      </c>
      <c r="DJ27" s="529" cm="1">
        <f t="array" ref="DJ27">_xlfn.IFS(Table9[[#This Row],[Earth Quake Risk Index (10%)]]="", 0, Table9[[#This Row],[Earth Quake Risk Index (10%)]]="Very Low", 4, Table9[[#This Row],[Earth Quake Risk Index (10%)]]="Moderate &amp; Low", 2, TRUE, 0)</f>
        <v>2</v>
      </c>
      <c r="DK27" s="529">
        <f>Table9[[#This Row],[Earth Quake Risk Index Score]]*'Detailed Rubric V3'!$I$104</f>
        <v>0.2</v>
      </c>
      <c r="DL27" s="529" t="s">
        <v>428</v>
      </c>
      <c r="DM27" s="529" cm="1">
        <f t="array" ref="DM27">_xlfn.IFS(Table9[[#This Row],[Sea Level Rise Risk Index (10%)]]="", 0, Table9[[#This Row],[Sea Level Rise Risk Index (10%)]]="Very Low", 4, Table9[[#This Row],[Sea Level Rise Risk Index (10%)]]="Moderate &amp; Low", 2, TRUE, 0)</f>
        <v>4</v>
      </c>
      <c r="DN27" s="529">
        <f>Table9[[#This Row],[Sea Level Rise  Risk Index Score]]*'Detailed Rubric V3'!$L$104</f>
        <v>0.4</v>
      </c>
      <c r="DO27" s="529" t="s">
        <v>419</v>
      </c>
      <c r="DP27" s="529" cm="1">
        <f t="array" ref="DP27">_xlfn.IFS(Table9[[#This Row],[Cyclone Risk Index (10%)]]="", 0, Table9[[#This Row],[Cyclone Risk Index (10%)]]="Very Low", 4, Table9[[#This Row],[Cyclone Risk Index (10%)]]="Moderate &amp; Low", 2, TRUE, 0)</f>
        <v>2</v>
      </c>
      <c r="DQ27" s="529">
        <f>Table9[[#This Row],[Cyclone Risk Index Score]]*'Detailed Rubric V3'!$O$104</f>
        <v>0.2</v>
      </c>
      <c r="DR27" s="529" t="s">
        <v>428</v>
      </c>
      <c r="DS27" s="529" cm="1">
        <f t="array" ref="DS27">_xlfn.IFS(Table9[[#This Row],[Storm Surge Risk Index (10%)]]="", 0, Table9[[#This Row],[Storm Surge Risk Index (10%)]]="Very Low", 4, Table9[[#This Row],[Storm Surge Risk Index (10%)]]="Moderate &amp; Low", 2, TRUE, 0)</f>
        <v>4</v>
      </c>
      <c r="DT27" s="529">
        <f>Table9[[#This Row],[Storm Surge Risk Index Score]]*'Detailed Rubric V3'!$R$104</f>
        <v>0.4</v>
      </c>
      <c r="DU27"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27" s="533">
        <f>SUM(Table9[[#This Row],[2.1. Connectivity/ Logistics (10% weightage)]],Table9[[#This Row],[2.2. Utility (12% weightage)]],Table9[[#This Row],[2.3. Agglomeration effects (10% weightage)]],Table9[[#This Row],[2.4. Regional Policy (4% weightage)]],Table9[[#This Row],[2.5. Social (8% weightage)]],Table9[[#This Row],[2.6. Environment (6% weightage)]])</f>
        <v>1.5960000000000001</v>
      </c>
      <c r="DW27" s="292">
        <f>_xlfn.RANK.EQ(Table9[[#This Row],[Level 2 Score]],$DV$3:$DV$103)</f>
        <v>17</v>
      </c>
      <c r="DX27" s="533">
        <f>Table9[[#This Row],[Level 1 Score]]+Table9[[#This Row],[Level 2 Score]]</f>
        <v>2.3959999999999999</v>
      </c>
      <c r="DY27" s="232">
        <f>_xlfn.RANK.EQ(Table9[[#This Row],[Total Score]],$DX$3:$DX$103)</f>
        <v>25</v>
      </c>
      <c r="DZ27" s="237" t="str">
        <f>IF(Table9[[#This Row],[Count of Blanks]]&lt;=2, "Yes", "No")</f>
        <v>Yes</v>
      </c>
      <c r="EA27" s="237">
        <f>COUNTBLANK(Table9[[#This Row],[Name]:[Total Score Rank]])</f>
        <v>0</v>
      </c>
      <c r="EB27" s="237"/>
    </row>
    <row r="28" spans="2:132" ht="27" x14ac:dyDescent="0.25">
      <c r="B28" s="220">
        <v>18</v>
      </c>
      <c r="C28" s="334" t="s">
        <v>24</v>
      </c>
      <c r="D28" s="220" t="s">
        <v>76</v>
      </c>
      <c r="E28" s="220" t="s">
        <v>82</v>
      </c>
      <c r="F28" s="220" t="s">
        <v>83</v>
      </c>
      <c r="G28" s="220" t="s">
        <v>70</v>
      </c>
      <c r="H28" s="525" t="s">
        <v>430</v>
      </c>
      <c r="I28" s="70" t="s">
        <v>455</v>
      </c>
      <c r="J28" s="535" t="s">
        <v>444</v>
      </c>
      <c r="K28" s="220">
        <f>IFERROR(VLOOKUP(Table9[[#This Row],[Land Availability (Grade)​
(50%)]],'Detailed Rubric V3'!$B$8:$C$11,2), 0)</f>
        <v>0</v>
      </c>
      <c r="L28" s="220">
        <f>IFERROR(Table9[[#This Row],[Land Availability (Grade)​ Score]]*'Detailed Rubric V3'!$C$6, "")</f>
        <v>0</v>
      </c>
      <c r="M28" s="222">
        <v>201.83</v>
      </c>
      <c r="N28" s="222" cm="1">
        <f t="array" ref="N28">_xlfn.IFS(Table9[[#This Row],[Land Size (Acres)
(15%)]]&lt;100,0,Table9[[#This Row],[Land Size (Acres)
(15%)]]&gt;500,4,TRUE,2)</f>
        <v>2</v>
      </c>
      <c r="O28" s="222">
        <f>Table9[[#This Row],[Land Size (Acres) Score]]*'Detailed Rubric V3'!$G$6</f>
        <v>0.3</v>
      </c>
      <c r="P28" s="591">
        <v>2337.1</v>
      </c>
      <c r="Q28" s="526">
        <f>IFERROR(Table9[[#This Row],[Site Filling Cost (Mn BDT)]]/Table9[[#This Row],[Land Size (Acres)
(15%)]],"")</f>
        <v>11.579547143635732</v>
      </c>
      <c r="R28" s="526" cm="1">
        <f t="array" ref="R28">IF(Table9[[#This Row],[Name]]="Sitakundo Economic Zone", 4, _xlfn.IFS(Table9[[#This Row],[Site Filling Cost (Mn BDT)]]="",0,Table9[[#This Row],[Land Suitability
(Cost of Land Filling in Million BDT per acre)
(25%)]]&gt;5,0,Table9[[#This Row],[Land Suitability
(Cost of Land Filling in Million BDT per acre)
(25%)]]&lt;2,4,TRUE,2))</f>
        <v>0</v>
      </c>
      <c r="S28" s="526">
        <f>Table9[[#This Row],[Land Suitability for Construction Score]]*'Detailed Rubric V3'!$J$6</f>
        <v>0</v>
      </c>
      <c r="T28" s="526">
        <v>678.3</v>
      </c>
      <c r="U28" s="526">
        <f>IFERROR(Table9[[#This Row],[Embankment/Dyke Cost (Mn BDT)]]/Table9[[#This Row],[Land Size (Acres)
(15%)]], 0)</f>
        <v>3.3607491453203187</v>
      </c>
      <c r="V28" s="526" cm="1">
        <f t="array" ref="V28">IF(Table9[[#This Row],[Name]]="Sitakundo Economic Zone", 2, _xlfn.IFS(Table9[[#This Row],[Embankment/Dyke Cost (Mn BDT)]]="",0,Table9[[#This Row],[Cost of DRRI Infrastructure in million BDT per acre
(10%)]]&gt;5,0,Table9[[#This Row],[Cost of DRRI Infrastructure in million BDT per acre
(10%)]]&lt;2,4,TRUE,2))</f>
        <v>2</v>
      </c>
      <c r="W28" s="526">
        <f>Table9[[#This Row],[Requirement for Distaster Risk Reduction &amp; Resilience Infrastructure Score]]*'Detailed Rubric V3'!$M$6</f>
        <v>0.2</v>
      </c>
      <c r="X28"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v>
      </c>
      <c r="Y28" s="452" t="s">
        <v>415</v>
      </c>
      <c r="Z28" s="210">
        <f>IFERROR(VLOOKUP(Table9[[#This Row],[Zone Priority
(40%)]],'Detailed Rubric V3'!$B$18:$C$21, 2,FALSE), 0)</f>
        <v>4</v>
      </c>
      <c r="AA28" s="210">
        <f>IFERROR(Table9[[#This Row],[Zone Priority Score]]*'Detailed Rubric V3'!$C$16, 0)</f>
        <v>0</v>
      </c>
      <c r="AB28" s="237" t="s">
        <v>416</v>
      </c>
      <c r="AC28" s="237">
        <f>VLOOKUP(Table9[[#This Row],[Existing BEZA Report
(60%)]],'Detailed Rubric V3'!$E$18:$F$20,2,FALSE)</f>
        <v>4</v>
      </c>
      <c r="AD28" s="237">
        <f>Table9[[#This Row],[Existing BEZA Report Score]]*'Detailed Rubric V3'!F$16</f>
        <v>4</v>
      </c>
      <c r="AE28" s="237">
        <f>(Table9[[#This Row],[Zone Priority Weighted Score]]+Table9[[#This Row],[Existing BEZA Report Weighted Score]])*'Detailed Rubric V3'!$C$14</f>
        <v>0.6</v>
      </c>
      <c r="AF28" s="528">
        <v>0</v>
      </c>
      <c r="AG28" s="529" cm="1">
        <f t="array" ref="AG28">_xlfn.IFS(Table9[[#This Row],[Existing Sectors
(50%)]]&gt;10, 4,Table9[[#This Row],[Existing Sectors
(50%)]]&lt;5, 0, TRUE, 2)</f>
        <v>0</v>
      </c>
      <c r="AH28" s="529">
        <f>Table9[[#This Row],[Existing Sectors Score]]*'Detailed Rubric V3'!$C$25</f>
        <v>0</v>
      </c>
      <c r="AI28" s="529">
        <v>4</v>
      </c>
      <c r="AJ28" s="529">
        <v>4</v>
      </c>
      <c r="AK28" s="529" cm="1">
        <f t="array" ref="AK28">_xlfn.IFS(Table9[[#This Row],[Potential New Sectors
(50%)]]&gt;5, 4, Table9[[#This Row],[Potential New Sectors
(50%)]]&lt;2,0, TRUE, 2)</f>
        <v>2</v>
      </c>
      <c r="AL28" s="529">
        <f>Table9[[#This Row],[Potential New Sectors Score]]*'Detailed Rubric V3'!$F$25</f>
        <v>1</v>
      </c>
      <c r="AM28" s="232">
        <f>(Table9[[#This Row],[Existing Sectors Weighted Score]]+Table9[[#This Row],[Potential New Sectors Weighted Score]])*'Detailed Rubric V3'!$C$23</f>
        <v>0.15</v>
      </c>
      <c r="AN28" s="530">
        <f>SUM(Table9[[#This Row],[1.1. Land Details (20% weightage)]],Table9[[#This Row],[1.2. BEZA Existing plans (15% weightage)]],Table9[[#This Row],[1.3. Sector Demand (15% weightage):]])</f>
        <v>0.85</v>
      </c>
      <c r="AO28" s="531">
        <f>_xlfn.RANK.EQ(Table9[[#This Row],[Level 1 Score]],$AN$3:$AN$103)</f>
        <v>30</v>
      </c>
      <c r="AP28" s="529">
        <v>24</v>
      </c>
      <c r="AQ28" s="529" cm="1">
        <f t="array" ref="AQ28">_xlfn.IFS(Table9[[#This Row],[National Highway Connectivity (km)
(15%)]]="", 0, Table9[[#This Row],[National Highway Connectivity (km)
(15%)]]&gt;50, 0, Table9[[#This Row],[National Highway Connectivity (km)
(15%)]]&lt;=25, 4, TRUE, 2)</f>
        <v>4</v>
      </c>
      <c r="AR28" s="529">
        <f>Table9[[#This Row],[National Highway Connectivity Score]]*'Detailed Rubric V3'!$C$35</f>
        <v>0.6</v>
      </c>
      <c r="AS28" s="529" t="s">
        <v>417</v>
      </c>
      <c r="AT28" s="529" cm="1">
        <f t="array" ref="AT28">_xlfn.IFS(Table9[[#This Row],[Connecting Road to Highway (km)
(15%)]]="", 0, Table9[[#This Row],[Connecting Road to Highway (km)
(15%)]]="Yes", 4, TRUE, 0)</f>
        <v>4</v>
      </c>
      <c r="AU28" s="529">
        <f>Table9[[#This Row],[Connecting Road to Highway Score]]*'Detailed Rubric V3'!$F$35</f>
        <v>0.6</v>
      </c>
      <c r="AV28" s="529">
        <v>96</v>
      </c>
      <c r="AW28" s="529" cm="1">
        <f t="array" ref="AW28">_xlfn.IFS(Table9[[#This Row],[Seaport Connectivity (km)
(30%)]]="",0, Table9[[#This Row],[Seaport Connectivity (km)
(30%)]]&gt;400, 0,Table9[[#This Row],[Seaport Connectivity (km)
(30%)]]&lt;=200,4, TRUE, 2)</f>
        <v>4</v>
      </c>
      <c r="AX28" s="529">
        <f>Table9[[#This Row],[Seaport Connectivity Score]]*'Detailed Rubric V3'!$I$35</f>
        <v>1.2</v>
      </c>
      <c r="AY28" s="529">
        <v>65</v>
      </c>
      <c r="AZ28" s="529" cm="1">
        <f t="array" ref="AZ28">_xlfn.IFS(Table9[[#This Row],[Airport Connectivity (km)
(10%)]]="", 0, Table9[[#This Row],[Airport Connectivity (km)
(10%)]]&gt;200, 0, Table9[[#This Row],[Airport Connectivity (km)
(10%)]]&lt;=100,4,TRUE, 2)</f>
        <v>4</v>
      </c>
      <c r="BA28" s="529">
        <f>Table9[[#This Row],[Airport Connectivity Score]]*'Detailed Rubric V3'!$C$41</f>
        <v>0.4</v>
      </c>
      <c r="BB28" s="529">
        <v>25</v>
      </c>
      <c r="BC28" s="529" cm="1">
        <f t="array" ref="BC28">_xlfn.IFS(Table9[[#This Row],[Railway Station (km)
(10%)]]="", 0, Table9[[#This Row],[Railway Station (km)
(10%)]]&gt;150, 0,Table9[[#This Row],[Railway Station (km)
(10%)]]&lt;=50,4, TRUE, 2)</f>
        <v>4</v>
      </c>
      <c r="BD28" s="529">
        <f>Table9[[#This Row],[Railway Station Score]]*'Detailed Rubric V3'!$F$41</f>
        <v>0.4</v>
      </c>
      <c r="BE28" s="529">
        <v>170</v>
      </c>
      <c r="BF28" s="529" cm="1">
        <f t="array" ref="BF28">_xlfn.IFS(Table9[[#This Row],[Inland waterway/ Land port (km)
(20%)]]="", 0, Table9[[#This Row],[Inland waterway/ Land port (km)
(20%)]]&gt;200, 0,Table9[[#This Row],[Inland waterway/ Land port (km)
(20%)]]&lt;=50,4, TRUE, 2)</f>
        <v>2</v>
      </c>
      <c r="BG28" s="529">
        <f>Table9[[#This Row],[Inland waterway/ Land port Score]]*'Detailed Rubric V3'!$I$41</f>
        <v>0.4</v>
      </c>
      <c r="BH28"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0.36</v>
      </c>
      <c r="BI28" s="529">
        <v>4</v>
      </c>
      <c r="BJ28" s="529" cm="1">
        <f t="array" ref="BJ28">_xlfn.IFS(Table9[[#This Row],[Power Station (40%)]]="",0, Table9[[#This Row],[Power Station (40%)]]&gt;100, 0,Table9[[#This Row],[Power Station (40%)]]&lt;=50,4, TRUE, 2)</f>
        <v>4</v>
      </c>
      <c r="BK28" s="529">
        <f>Table9[[#This Row],[Power Station Score]]*'Detailed Rubric V3'!$C$53</f>
        <v>1.6</v>
      </c>
      <c r="BL28" s="529">
        <v>123</v>
      </c>
      <c r="BM28" s="529" cm="1">
        <f t="array" ref="BM28">IF(ISNUMBER(Table9[[#This Row],[Gas Station (20%)]]), _xlfn.IFS(Table9[[#This Row],[Gas Station (20%)]]="", 0, Table9[[#This Row],[Gas Station (20%)]]&gt;100, 0,Table9[[#This Row],[Gas Station (20%)]]&lt;=50,4, TRUE, 2), 0)</f>
        <v>0</v>
      </c>
      <c r="BN28" s="529">
        <f>Table9[[#This Row],[Gas Station Score]]*'Detailed Rubric V3'!$F$53</f>
        <v>0</v>
      </c>
      <c r="BO28" s="529">
        <v>1</v>
      </c>
      <c r="BP28" s="529" cm="1">
        <f t="array" ref="BP28">IF(ISNUMBER(Table9[[#This Row],[Source of Surface Water (40%)]]), _xlfn.IFS(Table9[[#This Row],[Source of Surface Water (40%)]]="", 0, Table9[[#This Row],[Source of Surface Water (40%)]]&gt;50, 0,Table9[[#This Row],[Source of Surface Water (40%)]]&lt;=20,4, TRUE, 2), 0)</f>
        <v>4</v>
      </c>
      <c r="BQ28" s="529">
        <f>Table9[[#This Row],[Source of Surface Water Score]]*'Detailed Rubric V3'!$I$53</f>
        <v>1.6</v>
      </c>
      <c r="BR28" s="529">
        <f>SUM(Table9[[#This Row],[Power Station Weighted Score]],Table9[[#This Row],[Gas Station Weighted Score]],Table9[[#This Row],[Source of Surface Water Weighted Score]])*'Detailed Rubric V3'!$C$51</f>
        <v>0.38400000000000001</v>
      </c>
      <c r="BS28" s="529" t="s">
        <v>417</v>
      </c>
      <c r="BT28" s="529" cm="1">
        <f t="array" ref="BT28">_xlfn.IFS(Table9[[#This Row],[Other BEZA EZ (20%)]]="", 0, Table9[[#This Row],[Other BEZA EZ (20%)]]="Yes", 4, TRUE, 0)</f>
        <v>4</v>
      </c>
      <c r="BU28" s="529">
        <f>Table9[[#This Row],[Other BEZA EZ Score]]*'Detailed Rubric V3'!$C$66</f>
        <v>0.8</v>
      </c>
      <c r="BV28" s="529" t="s">
        <v>417</v>
      </c>
      <c r="BW28" s="529" cm="1">
        <f t="array" ref="BW28">_xlfn.IFS(Table9[[#This Row],[BEPZA/ BHPTA/ BSCIC (20%)]]="", 0, Table9[[#This Row],[BEPZA/ BHPTA/ BSCIC (20%)]]="Yes", 4, TRUE, 0)</f>
        <v>4</v>
      </c>
      <c r="BX28" s="529">
        <f>Table9[[#This Row],[BEPZA/ BHPTA/ BSCIC Score]]*'Detailed Rubric V3'!$F$66</f>
        <v>0.8</v>
      </c>
      <c r="BY28" s="529">
        <v>17</v>
      </c>
      <c r="BZ28" s="529" cm="1">
        <f t="array" ref="BZ28">_xlfn.IFS(Table9[[#This Row],[Cluster Industries (from SMI) (20%)]]="", 0, Table9[[#This Row],[Cluster Industries (from SMI) (20%)]]&gt;100, 4, Table9[[#This Row],[Cluster Industries (from SMI) (20%)]]&lt;50, 0, TRUE, 2)</f>
        <v>0</v>
      </c>
      <c r="CA28" s="529">
        <f>Table9[[#This Row],[Cluster Industries (from SMI) Score]]*'Detailed Rubric V3'!$I$66</f>
        <v>0</v>
      </c>
      <c r="CB28" s="529" t="s">
        <v>417</v>
      </c>
      <c r="CC28" s="529" cm="1">
        <f t="array" ref="CC28">_xlfn.IFS(Table9[[#This Row],[Located on Industrial corridor (40%)]]="", 0, Table9[[#This Row],[Located on Industrial corridor (40%)]]="Yes", 4, TRUE, 0)</f>
        <v>4</v>
      </c>
      <c r="CD28" s="529">
        <f>Table9[[#This Row],[Located on Industrial corridor Score]]*'Detailed Rubric V3'!$L$66</f>
        <v>1.6</v>
      </c>
      <c r="CE28" s="529">
        <f>SUM(Table9[[#This Row],[Other BEZA EZ Weighted Score]],Table9[[#This Row],[BEPZA/ BHPTA/ BSCIC Weighted Score]],Table9[[#This Row],[Unorganized (from SMI) Weighted Score]],Table9[[#This Row],[Located on Industrial corridor Weighted Score]])*'Detailed Rubric V3'!$C$64</f>
        <v>0.32000000000000006</v>
      </c>
      <c r="CF28" s="529" t="s">
        <v>417</v>
      </c>
      <c r="CG28" s="529" cm="1">
        <f t="array" ref="CG28">_xlfn.IFS(Table9[[#This Row],[Economic/ Social priority (laggered area) (100%)]]="", 0, Table9[[#This Row],[Economic/ Social priority (laggered area) (100%)]]="Yes", 4, TRUE, 0)</f>
        <v>4</v>
      </c>
      <c r="CH28" s="529">
        <f>Table9[[#This Row],[Economic/ Social priority (laggered area) Score]]*'Detailed Rubric V3'!$C$82</f>
        <v>4</v>
      </c>
      <c r="CI28" s="529" t="s">
        <v>417</v>
      </c>
      <c r="CJ28" s="529" cm="1">
        <f t="array" ref="CJ28">_xlfn.IFS(Table9[[#This Row],[Regional Tax incentive  (0%)]]="", 0, Table9[[#This Row],[Regional Tax incentive  (0%)]]="Yes", 4, TRUE, 0)</f>
        <v>4</v>
      </c>
      <c r="CK28" s="529">
        <f>Table9[[#This Row],[Regional Tax incentive Score]]*'Detailed Rubric V3'!$F$82</f>
        <v>0</v>
      </c>
      <c r="CL28" s="529">
        <f>SUM(Table9[[#This Row],[Economic/ Social priority (laagered area) Weighted Score]],Table9[[#This Row],[Regional Tax incentive  Weighted Score]])*'Detailed Rubric V3'!$C$80</f>
        <v>0.16</v>
      </c>
      <c r="CM28" s="529">
        <v>125944</v>
      </c>
      <c r="CN28" s="529" cm="1">
        <f t="array" ref="CN28">_xlfn.IFS(Table9[[#This Row],[Employable population (40%) 2013]]="", 0, Table9[[#This Row],[Employable population (40%) 2013]]&gt;200000, 4, Table9[[#This Row],[Employable population (40%) 2013]]&lt;100000,0, TRUE, 2)</f>
        <v>2</v>
      </c>
      <c r="CO28" s="529">
        <f>Table9[[#This Row],[Employable population Score]]*'Detailed Rubric V3'!$C$92</f>
        <v>0.8</v>
      </c>
      <c r="CP28" s="529">
        <v>20</v>
      </c>
      <c r="CQ28" s="529" cm="1">
        <f t="array" ref="CQ28">_xlfn.IFS(Table9[[#This Row],[Housing (20%)]]="", 0, Table9[[#This Row],[Housing (20%)]]&gt;50, 0, Table9[[#This Row],[Housing (20%)]]&lt;25, 4, TRUE, 2)</f>
        <v>4</v>
      </c>
      <c r="CR28" s="529">
        <f>Table9[[#This Row],[Housing Score]]*'Detailed Rubric V3'!$F$92</f>
        <v>0.8</v>
      </c>
      <c r="CS28" s="529">
        <v>2</v>
      </c>
      <c r="CT28" s="529" cm="1">
        <f t="array" ref="CT28">_xlfn.IFS(Table9[[#This Row],[Hotels (10%)]]="", 0, Table9[[#This Row],[Hotels (10%)]]&gt;25, 4, Table9[[#This Row],[Hotels (10%)]]&lt;5, 0, TRUE, 2)</f>
        <v>0</v>
      </c>
      <c r="CU28" s="529">
        <f>Table9[[#This Row],[Hotels Score]]*'Detailed Rubric V3'!$I$92</f>
        <v>0</v>
      </c>
      <c r="CV28" s="529">
        <v>69</v>
      </c>
      <c r="CW28" s="529" cm="1">
        <f t="array" ref="CW28">_xlfn.IFS(Table9[[#This Row],[Health (Hospital) (15%)]]="", 0, Table9[[#This Row],[Health (Hospital) (15%)]]&gt;10, 4, Table9[[#This Row],[Health (Hospital) (15%)]]&lt;5, 0, TRUE, 2)</f>
        <v>4</v>
      </c>
      <c r="CX28" s="529">
        <f>Table9[[#This Row],[Health (Hospital) Score]]*'Detailed Rubric V3'!$L$92</f>
        <v>0.6</v>
      </c>
      <c r="CY28" s="529">
        <v>78</v>
      </c>
      <c r="CZ28" s="529" cm="1">
        <f t="array" ref="CZ28">_xlfn.IFS(Table9[[#This Row],[University/ Technical &amp; Vocational Institutions (15%)]]="", 0, Table9[[#This Row],[University/ Technical &amp; Vocational Institutions (15%)]]&gt;3, 4, Table9[[#This Row],[University/ Technical &amp; Vocational Institutions (15%)]]&lt;1, 0, TRUE, 2)</f>
        <v>4</v>
      </c>
      <c r="DA28" s="529">
        <f>Table9[[#This Row],[University/ Technical &amp; Vocational Institutions Score]]*'Detailed Rubric V3'!$O$92</f>
        <v>0.6</v>
      </c>
      <c r="DB28" s="529">
        <f>SUM(Table9[[#This Row],[Employable population Weighted Score]],Table9[[#This Row],[Housing Weighted Score]],Table9[[#This Row],[Hotels Weighted Score]],Table9[[#This Row],[Health (Hospital) Weighted Score]],Table9[[#This Row],[University/ Technical &amp; Vocational Institutions Weighted Score]])*'Detailed Rubric V3'!$C$90</f>
        <v>0.22400000000000003</v>
      </c>
      <c r="DC28" s="529" t="s">
        <v>418</v>
      </c>
      <c r="DD28" s="529" cm="1">
        <f t="array" ref="DD28">_xlfn.IFS(Table9[[#This Row],[Environment compliance (30%)]]="", 0, Table9[[#This Row],[Environment compliance (30%)]]="Yes", 4, TRUE, 0)</f>
        <v>0</v>
      </c>
      <c r="DE28" s="529">
        <f>Table9[[#This Row],[Environment compliance Score]]*'Detailed Rubric V3'!$C$104</f>
        <v>0</v>
      </c>
      <c r="DF28" s="529" t="s">
        <v>419</v>
      </c>
      <c r="DG28" s="529" cm="1">
        <f t="array" ref="DG28">_xlfn.IFS(Table9[[#This Row],[Flood Risk Index (30%)]]="", 0, Table9[[#This Row],[Flood Risk Index (30%)]]="Very Low", 4, Table9[[#This Row],[Flood Risk Index (30%)]]="Moderate &amp; Low", 2, TRUE, 0)</f>
        <v>2</v>
      </c>
      <c r="DH28" s="529">
        <f>Table9[[#This Row],[Flood Risk Index Score]]*'Detailed Rubric V3'!$F$104</f>
        <v>0.6</v>
      </c>
      <c r="DI28" s="529" t="s">
        <v>419</v>
      </c>
      <c r="DJ28" s="529" cm="1">
        <f t="array" ref="DJ28">_xlfn.IFS(Table9[[#This Row],[Earth Quake Risk Index (10%)]]="", 0, Table9[[#This Row],[Earth Quake Risk Index (10%)]]="Very Low", 4, Table9[[#This Row],[Earth Quake Risk Index (10%)]]="Moderate &amp; Low", 2, TRUE, 0)</f>
        <v>2</v>
      </c>
      <c r="DK28" s="529">
        <f>Table9[[#This Row],[Earth Quake Risk Index Score]]*'Detailed Rubric V3'!$I$104</f>
        <v>0.2</v>
      </c>
      <c r="DL28" s="529" t="s">
        <v>419</v>
      </c>
      <c r="DM28" s="529" cm="1">
        <f t="array" ref="DM28">_xlfn.IFS(Table9[[#This Row],[Sea Level Rise Risk Index (10%)]]="", 0, Table9[[#This Row],[Sea Level Rise Risk Index (10%)]]="Very Low", 4, Table9[[#This Row],[Sea Level Rise Risk Index (10%)]]="Moderate &amp; Low", 2, TRUE, 0)</f>
        <v>2</v>
      </c>
      <c r="DN28" s="529">
        <f>Table9[[#This Row],[Sea Level Rise  Risk Index Score]]*'Detailed Rubric V3'!$L$104</f>
        <v>0.2</v>
      </c>
      <c r="DO28" s="529" t="s">
        <v>420</v>
      </c>
      <c r="DP28" s="529" cm="1">
        <f t="array" ref="DP28">_xlfn.IFS(Table9[[#This Row],[Cyclone Risk Index (10%)]]="", 0, Table9[[#This Row],[Cyclone Risk Index (10%)]]="Very Low", 4, Table9[[#This Row],[Cyclone Risk Index (10%)]]="Moderate &amp; Low", 2, TRUE, 0)</f>
        <v>0</v>
      </c>
      <c r="DQ28" s="529">
        <f>Table9[[#This Row],[Cyclone Risk Index Score]]*'Detailed Rubric V3'!$O$104</f>
        <v>0</v>
      </c>
      <c r="DR28" s="529" t="s">
        <v>419</v>
      </c>
      <c r="DS28" s="529" cm="1">
        <f t="array" ref="DS28">_xlfn.IFS(Table9[[#This Row],[Storm Surge Risk Index (10%)]]="", 0, Table9[[#This Row],[Storm Surge Risk Index (10%)]]="Very Low", 4, Table9[[#This Row],[Storm Surge Risk Index (10%)]]="Moderate &amp; Low", 2, TRUE, 0)</f>
        <v>2</v>
      </c>
      <c r="DT28" s="529">
        <f>Table9[[#This Row],[Storm Surge Risk Index Score]]*'Detailed Rubric V3'!$R$104</f>
        <v>0.2</v>
      </c>
      <c r="DU28"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7.1999999999999995E-2</v>
      </c>
      <c r="DV28" s="533">
        <f>SUM(Table9[[#This Row],[2.1. Connectivity/ Logistics (10% weightage)]],Table9[[#This Row],[2.2. Utility (12% weightage)]],Table9[[#This Row],[2.3. Agglomeration effects (10% weightage)]],Table9[[#This Row],[2.4. Regional Policy (4% weightage)]],Table9[[#This Row],[2.5. Social (8% weightage)]],Table9[[#This Row],[2.6. Environment (6% weightage)]])</f>
        <v>1.52</v>
      </c>
      <c r="DW28" s="232">
        <f>_xlfn.RANK.EQ(Table9[[#This Row],[Level 2 Score]],$DV$3:$DV$103)</f>
        <v>29</v>
      </c>
      <c r="DX28" s="533">
        <f>Table9[[#This Row],[Level 1 Score]]+Table9[[#This Row],[Level 2 Score]]</f>
        <v>2.37</v>
      </c>
      <c r="DY28" s="308">
        <f>_xlfn.RANK.EQ(Table9[[#This Row],[Total Score]],$DX$3:$DX$103)</f>
        <v>26</v>
      </c>
      <c r="DZ28" s="237" t="str">
        <f>IF(Table9[[#This Row],[Count of Blanks]]&lt;=2, "Yes", "No")</f>
        <v>Yes</v>
      </c>
      <c r="EA28" s="237">
        <f>COUNTBLANK(Table9[[#This Row],[Name]:[Total Score Rank]])</f>
        <v>0</v>
      </c>
      <c r="EB28" s="613" t="s">
        <v>417</v>
      </c>
    </row>
    <row r="29" spans="2:132" ht="27" x14ac:dyDescent="0.25">
      <c r="B29" s="220">
        <v>12</v>
      </c>
      <c r="C29" s="334" t="s">
        <v>45</v>
      </c>
      <c r="D29" s="220" t="s">
        <v>76</v>
      </c>
      <c r="E29" s="220" t="s">
        <v>76</v>
      </c>
      <c r="F29" s="220" t="s">
        <v>109</v>
      </c>
      <c r="G29" s="220" t="s">
        <v>70</v>
      </c>
      <c r="H29" s="525" t="s">
        <v>431</v>
      </c>
      <c r="I29" s="70" t="s">
        <v>455</v>
      </c>
      <c r="J29" s="535" t="s">
        <v>444</v>
      </c>
      <c r="K29" s="220">
        <f>IFERROR(VLOOKUP(Table9[[#This Row],[Land Availability (Grade)​
(50%)]],'Detailed Rubric V3'!$B$8:$C$11,2), 0)</f>
        <v>0</v>
      </c>
      <c r="L29" s="220">
        <f>IFERROR(Table9[[#This Row],[Land Availability (Grade)​ Score]]*'Detailed Rubric V3'!$C$6, "")</f>
        <v>0</v>
      </c>
      <c r="M29" s="222">
        <v>316.35000000000002</v>
      </c>
      <c r="N29" s="222" cm="1">
        <f t="array" ref="N29">_xlfn.IFS(Table9[[#This Row],[Land Size (Acres)
(15%)]]&lt;100,0,Table9[[#This Row],[Land Size (Acres)
(15%)]]&gt;500,4,TRUE,2)</f>
        <v>2</v>
      </c>
      <c r="O29" s="222">
        <f>Table9[[#This Row],[Land Size (Acres) Score]]*'Detailed Rubric V3'!$G$6</f>
        <v>0.3</v>
      </c>
      <c r="P29" s="526">
        <v>2189.3000000000002</v>
      </c>
      <c r="Q29" s="526">
        <f>IFERROR(Table9[[#This Row],[Site Filling Cost (Mn BDT)]]/Table9[[#This Row],[Land Size (Acres)
(15%)]],"")</f>
        <v>6.9204994468152368</v>
      </c>
      <c r="R29" s="526" cm="1">
        <f t="array" ref="R29">IF(Table9[[#This Row],[Name]]="Sitakundo Economic Zone", 4, _xlfn.IFS(Table9[[#This Row],[Site Filling Cost (Mn BDT)]]="",0,Table9[[#This Row],[Land Suitability
(Cost of Land Filling in Million BDT per acre)
(25%)]]&gt;5,0,Table9[[#This Row],[Land Suitability
(Cost of Land Filling in Million BDT per acre)
(25%)]]&lt;2,4,TRUE,2))</f>
        <v>0</v>
      </c>
      <c r="S29" s="526">
        <f>Table9[[#This Row],[Land Suitability for Construction Score]]*'Detailed Rubric V3'!$J$6</f>
        <v>0</v>
      </c>
      <c r="T29" s="526">
        <v>57</v>
      </c>
      <c r="U29" s="526">
        <f>IFERROR(Table9[[#This Row],[Embankment/Dyke Cost (Mn BDT)]]/Table9[[#This Row],[Land Size (Acres)
(15%)]], 0)</f>
        <v>0.18018018018018017</v>
      </c>
      <c r="V29" s="526" cm="1">
        <f t="array" ref="V29">IF(Table9[[#This Row],[Name]]="Sitakundo Economic Zone", 2, _xlfn.IFS(Table9[[#This Row],[Embankment/Dyke Cost (Mn BDT)]]="",0,Table9[[#This Row],[Cost of DRRI Infrastructure in million BDT per acre
(10%)]]&gt;5,0,Table9[[#This Row],[Cost of DRRI Infrastructure in million BDT per acre
(10%)]]&lt;2,4,TRUE,2))</f>
        <v>4</v>
      </c>
      <c r="W29" s="526">
        <f>Table9[[#This Row],[Requirement for Distaster Risk Reduction &amp; Resilience Infrastructure Score]]*'Detailed Rubric V3'!$M$6</f>
        <v>0.4</v>
      </c>
      <c r="X29"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0.13999999999999999</v>
      </c>
      <c r="Y29" s="452" t="s">
        <v>436</v>
      </c>
      <c r="Z29" s="210">
        <f>IFERROR(VLOOKUP(Table9[[#This Row],[Zone Priority
(40%)]],'Detailed Rubric V3'!$B$18:$C$21, 2,FALSE), 0)</f>
        <v>0</v>
      </c>
      <c r="AA29" s="210">
        <f>IFERROR(Table9[[#This Row],[Zone Priority Score]]*'Detailed Rubric V3'!$C$16, 0)</f>
        <v>0</v>
      </c>
      <c r="AB29" s="237" t="s">
        <v>446</v>
      </c>
      <c r="AC29" s="237">
        <f>VLOOKUP(Table9[[#This Row],[Existing BEZA Report
(60%)]],'Detailed Rubric V3'!$E$18:$F$20,2,FALSE)</f>
        <v>2</v>
      </c>
      <c r="AD29" s="237">
        <f>Table9[[#This Row],[Existing BEZA Report Score]]*'Detailed Rubric V3'!F$16</f>
        <v>2</v>
      </c>
      <c r="AE29" s="237">
        <f>(Table9[[#This Row],[Zone Priority Weighted Score]]+Table9[[#This Row],[Existing BEZA Report Weighted Score]])*'Detailed Rubric V3'!$C$14</f>
        <v>0.3</v>
      </c>
      <c r="AF29" s="528">
        <v>15</v>
      </c>
      <c r="AG29" s="529" cm="1">
        <f t="array" ref="AG29">_xlfn.IFS(Table9[[#This Row],[Existing Sectors
(50%)]]&gt;10, 4,Table9[[#This Row],[Existing Sectors
(50%)]]&lt;5, 0, TRUE, 2)</f>
        <v>4</v>
      </c>
      <c r="AH29" s="529">
        <f>Table9[[#This Row],[Existing Sectors Score]]*'Detailed Rubric V3'!$C$25</f>
        <v>2</v>
      </c>
      <c r="AI29" s="529">
        <v>15</v>
      </c>
      <c r="AJ29" s="529">
        <v>0</v>
      </c>
      <c r="AK29" s="529" cm="1">
        <f t="array" ref="AK29">_xlfn.IFS(Table9[[#This Row],[Potential New Sectors
(50%)]]&gt;5, 4, Table9[[#This Row],[Potential New Sectors
(50%)]]&lt;2,0, TRUE, 2)</f>
        <v>0</v>
      </c>
      <c r="AL29" s="529">
        <f>Table9[[#This Row],[Potential New Sectors Score]]*'Detailed Rubric V3'!$F$25</f>
        <v>0</v>
      </c>
      <c r="AM29" s="232">
        <f>(Table9[[#This Row],[Existing Sectors Weighted Score]]+Table9[[#This Row],[Potential New Sectors Weighted Score]])*'Detailed Rubric V3'!$C$23</f>
        <v>0.3</v>
      </c>
      <c r="AN29" s="530">
        <f>SUM(Table9[[#This Row],[1.1. Land Details (20% weightage)]],Table9[[#This Row],[1.2. BEZA Existing plans (15% weightage)]],Table9[[#This Row],[1.3. Sector Demand (15% weightage):]])</f>
        <v>0.74</v>
      </c>
      <c r="AO29" s="531">
        <f>_xlfn.RANK.EQ(Table9[[#This Row],[Level 1 Score]],$AN$3:$AN$103)</f>
        <v>37</v>
      </c>
      <c r="AP29" s="291">
        <v>34</v>
      </c>
      <c r="AQ29" s="291" cm="1">
        <f t="array" ref="AQ29">_xlfn.IFS(Table9[[#This Row],[National Highway Connectivity (km)
(15%)]]="", 0, Table9[[#This Row],[National Highway Connectivity (km)
(15%)]]&gt;50, 0, Table9[[#This Row],[National Highway Connectivity (km)
(15%)]]&lt;=25, 4, TRUE, 2)</f>
        <v>2</v>
      </c>
      <c r="AR29" s="291">
        <f>Table9[[#This Row],[National Highway Connectivity Score]]*'Detailed Rubric V3'!$C$35</f>
        <v>0.3</v>
      </c>
      <c r="AS29" s="291" t="s">
        <v>417</v>
      </c>
      <c r="AT29" s="291" cm="1">
        <f t="array" ref="AT29">_xlfn.IFS(Table9[[#This Row],[Connecting Road to Highway (km)
(15%)]]="", 0, Table9[[#This Row],[Connecting Road to Highway (km)
(15%)]]="Yes", 4, TRUE, 0)</f>
        <v>4</v>
      </c>
      <c r="AU29" s="291">
        <f>Table9[[#This Row],[Connecting Road to Highway Score]]*'Detailed Rubric V3'!$F$35</f>
        <v>0.6</v>
      </c>
      <c r="AV29" s="291">
        <v>52</v>
      </c>
      <c r="AW29" s="291" cm="1">
        <f t="array" ref="AW29">_xlfn.IFS(Table9[[#This Row],[Seaport Connectivity (km)
(30%)]]="",0, Table9[[#This Row],[Seaport Connectivity (km)
(30%)]]&gt;400, 0,Table9[[#This Row],[Seaport Connectivity (km)
(30%)]]&lt;=200,4, TRUE, 2)</f>
        <v>4</v>
      </c>
      <c r="AX29" s="291">
        <f>Table9[[#This Row],[Seaport Connectivity Score]]*'Detailed Rubric V3'!$I$35</f>
        <v>1.2</v>
      </c>
      <c r="AY29" s="291">
        <v>48</v>
      </c>
      <c r="AZ29" s="291" cm="1">
        <f t="array" ref="AZ29">_xlfn.IFS(Table9[[#This Row],[Airport Connectivity (km)
(10%)]]="", 0, Table9[[#This Row],[Airport Connectivity (km)
(10%)]]&gt;200, 0, Table9[[#This Row],[Airport Connectivity (km)
(10%)]]&lt;=100,4,TRUE, 2)</f>
        <v>4</v>
      </c>
      <c r="BA29" s="291">
        <f>Table9[[#This Row],[Airport Connectivity Score]]*'Detailed Rubric V3'!$C$41</f>
        <v>0.4</v>
      </c>
      <c r="BB29" s="291">
        <v>50</v>
      </c>
      <c r="BC29" s="291" cm="1">
        <f t="array" ref="BC29">_xlfn.IFS(Table9[[#This Row],[Railway Station (km)
(10%)]]="", 0, Table9[[#This Row],[Railway Station (km)
(10%)]]&gt;150, 0,Table9[[#This Row],[Railway Station (km)
(10%)]]&lt;=50,4, TRUE, 2)</f>
        <v>4</v>
      </c>
      <c r="BD29" s="291">
        <f>Table9[[#This Row],[Railway Station Score]]*'Detailed Rubric V3'!$F$41</f>
        <v>0.4</v>
      </c>
      <c r="BE29" s="291">
        <v>170</v>
      </c>
      <c r="BF29" s="291" cm="1">
        <f t="array" ref="BF29">_xlfn.IFS(Table9[[#This Row],[Inland waterway/ Land port (km)
(20%)]]="", 0, Table9[[#This Row],[Inland waterway/ Land port (km)
(20%)]]&gt;200, 0,Table9[[#This Row],[Inland waterway/ Land port (km)
(20%)]]&lt;=50,4, TRUE, 2)</f>
        <v>2</v>
      </c>
      <c r="BG29" s="291">
        <f>Table9[[#This Row],[Inland waterway/ Land port Score]]*'Detailed Rubric V3'!$I$41</f>
        <v>0.4</v>
      </c>
      <c r="BH29" s="54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0.32999999999999996</v>
      </c>
      <c r="BI29" s="291">
        <v>10</v>
      </c>
      <c r="BJ29" s="291" cm="1">
        <f t="array" ref="BJ29">_xlfn.IFS(Table9[[#This Row],[Power Station (40%)]]="",0, Table9[[#This Row],[Power Station (40%)]]&gt;100, 0,Table9[[#This Row],[Power Station (40%)]]&lt;=50,4, TRUE, 2)</f>
        <v>4</v>
      </c>
      <c r="BK29" s="291">
        <f>Table9[[#This Row],[Power Station Score]]*'Detailed Rubric V3'!$C$53</f>
        <v>1.6</v>
      </c>
      <c r="BL29" s="291">
        <v>40</v>
      </c>
      <c r="BM29" s="291" cm="1">
        <f t="array" ref="BM29">IF(ISNUMBER(Table9[[#This Row],[Gas Station (20%)]]), _xlfn.IFS(Table9[[#This Row],[Gas Station (20%)]]="", 0, Table9[[#This Row],[Gas Station (20%)]]&gt;100, 0,Table9[[#This Row],[Gas Station (20%)]]&lt;=50,4, TRUE, 2), 0)</f>
        <v>4</v>
      </c>
      <c r="BN29" s="291">
        <f>Table9[[#This Row],[Gas Station Score]]*'Detailed Rubric V3'!$F$53</f>
        <v>0.8</v>
      </c>
      <c r="BO29" s="291">
        <v>0</v>
      </c>
      <c r="BP29" s="291" cm="1">
        <f t="array" ref="BP29">IF(ISNUMBER(Table9[[#This Row],[Source of Surface Water (40%)]]), _xlfn.IFS(Table9[[#This Row],[Source of Surface Water (40%)]]="", 0, Table9[[#This Row],[Source of Surface Water (40%)]]&gt;50, 0,Table9[[#This Row],[Source of Surface Water (40%)]]&lt;=20,4, TRUE, 2), 0)</f>
        <v>4</v>
      </c>
      <c r="BQ29" s="291">
        <f>Table9[[#This Row],[Source of Surface Water Score]]*'Detailed Rubric V3'!$I$53</f>
        <v>1.6</v>
      </c>
      <c r="BR29" s="291">
        <f>SUM(Table9[[#This Row],[Power Station Weighted Score]],Table9[[#This Row],[Gas Station Weighted Score]],Table9[[#This Row],[Source of Surface Water Weighted Score]])*'Detailed Rubric V3'!$C$51</f>
        <v>0.48</v>
      </c>
      <c r="BS29" s="291" t="s">
        <v>417</v>
      </c>
      <c r="BT29" s="291" cm="1">
        <f t="array" ref="BT29">_xlfn.IFS(Table9[[#This Row],[Other BEZA EZ (20%)]]="", 0, Table9[[#This Row],[Other BEZA EZ (20%)]]="Yes", 4, TRUE, 0)</f>
        <v>4</v>
      </c>
      <c r="BU29" s="291">
        <f>Table9[[#This Row],[Other BEZA EZ Score]]*'Detailed Rubric V3'!$C$66</f>
        <v>0.8</v>
      </c>
      <c r="BV29" s="291" t="s">
        <v>417</v>
      </c>
      <c r="BW29" s="291" cm="1">
        <f t="array" ref="BW29">_xlfn.IFS(Table9[[#This Row],[BEPZA/ BHPTA/ BSCIC (20%)]]="", 0, Table9[[#This Row],[BEPZA/ BHPTA/ BSCIC (20%)]]="Yes", 4, TRUE, 0)</f>
        <v>4</v>
      </c>
      <c r="BX29" s="291">
        <f>Table9[[#This Row],[BEPZA/ BHPTA/ BSCIC Score]]*'Detailed Rubric V3'!$F$66</f>
        <v>0.8</v>
      </c>
      <c r="BY29" s="291">
        <v>1718</v>
      </c>
      <c r="BZ29" s="291" cm="1">
        <f t="array" ref="BZ29">_xlfn.IFS(Table9[[#This Row],[Cluster Industries (from SMI) (20%)]]="", 0, Table9[[#This Row],[Cluster Industries (from SMI) (20%)]]&gt;100, 4, Table9[[#This Row],[Cluster Industries (from SMI) (20%)]]&lt;50, 0, TRUE, 2)</f>
        <v>4</v>
      </c>
      <c r="CA29" s="291">
        <f>Table9[[#This Row],[Cluster Industries (from SMI) Score]]*'Detailed Rubric V3'!$I$66</f>
        <v>0.8</v>
      </c>
      <c r="CB29" s="291" t="s">
        <v>417</v>
      </c>
      <c r="CC29" s="291" cm="1">
        <f t="array" ref="CC29">_xlfn.IFS(Table9[[#This Row],[Located on Industrial corridor (40%)]]="", 0, Table9[[#This Row],[Located on Industrial corridor (40%)]]="Yes", 4, TRUE, 0)</f>
        <v>4</v>
      </c>
      <c r="CD29" s="291">
        <f>Table9[[#This Row],[Located on Industrial corridor Score]]*'Detailed Rubric V3'!$L$66</f>
        <v>1.6</v>
      </c>
      <c r="CE29" s="291">
        <f>SUM(Table9[[#This Row],[Other BEZA EZ Weighted Score]],Table9[[#This Row],[BEPZA/ BHPTA/ BSCIC Weighted Score]],Table9[[#This Row],[Unorganized (from SMI) Weighted Score]],Table9[[#This Row],[Located on Industrial corridor Weighted Score]])*'Detailed Rubric V3'!$C$64</f>
        <v>0.4</v>
      </c>
      <c r="CF29" s="291" t="s">
        <v>418</v>
      </c>
      <c r="CG29" s="291" cm="1">
        <f t="array" ref="CG29">_xlfn.IFS(Table9[[#This Row],[Economic/ Social priority (laggered area) (100%)]]="", 0, Table9[[#This Row],[Economic/ Social priority (laggered area) (100%)]]="Yes", 4, TRUE, 0)</f>
        <v>0</v>
      </c>
      <c r="CH29" s="291">
        <f>Table9[[#This Row],[Economic/ Social priority (laggered area) Score]]*'Detailed Rubric V3'!$C$82</f>
        <v>0</v>
      </c>
      <c r="CI29" s="291" t="s">
        <v>418</v>
      </c>
      <c r="CJ29" s="291" cm="1">
        <f t="array" ref="CJ29">_xlfn.IFS(Table9[[#This Row],[Regional Tax incentive  (0%)]]="", 0, Table9[[#This Row],[Regional Tax incentive  (0%)]]="Yes", 4, TRUE, 0)</f>
        <v>0</v>
      </c>
      <c r="CK29" s="291">
        <f>Table9[[#This Row],[Regional Tax incentive Score]]*'Detailed Rubric V3'!$F$82</f>
        <v>0</v>
      </c>
      <c r="CL29" s="291">
        <f>SUM(Table9[[#This Row],[Economic/ Social priority (laagered area) Weighted Score]],Table9[[#This Row],[Regional Tax incentive  Weighted Score]])*'Detailed Rubric V3'!$C$80</f>
        <v>0</v>
      </c>
      <c r="CM29" s="291">
        <v>3683456</v>
      </c>
      <c r="CN29" s="291" cm="1">
        <f t="array" ref="CN29">_xlfn.IFS(Table9[[#This Row],[Employable population (40%) 2013]]="", 0, Table9[[#This Row],[Employable population (40%) 2013]]&gt;200000, 4, Table9[[#This Row],[Employable population (40%) 2013]]&lt;100000,0, TRUE, 2)</f>
        <v>4</v>
      </c>
      <c r="CO29" s="291">
        <f>Table9[[#This Row],[Employable population Score]]*'Detailed Rubric V3'!$C$92</f>
        <v>1.6</v>
      </c>
      <c r="CP29" s="291">
        <v>45</v>
      </c>
      <c r="CQ29" s="291" cm="1">
        <f t="array" ref="CQ29">_xlfn.IFS(Table9[[#This Row],[Housing (20%)]]="", 0, Table9[[#This Row],[Housing (20%)]]&gt;50, 0, Table9[[#This Row],[Housing (20%)]]&lt;25, 4, TRUE, 2)</f>
        <v>2</v>
      </c>
      <c r="CR29" s="291">
        <f>Table9[[#This Row],[Housing Score]]*'Detailed Rubric V3'!$F$92</f>
        <v>0.4</v>
      </c>
      <c r="CS29" s="291">
        <v>329</v>
      </c>
      <c r="CT29" s="291" cm="1">
        <f t="array" ref="CT29">_xlfn.IFS(Table9[[#This Row],[Hotels (10%)]]="", 0, Table9[[#This Row],[Hotels (10%)]]&gt;25, 4, Table9[[#This Row],[Hotels (10%)]]&lt;5, 0, TRUE, 2)</f>
        <v>4</v>
      </c>
      <c r="CU29" s="291">
        <f>Table9[[#This Row],[Hotels Score]]*'Detailed Rubric V3'!$I$92</f>
        <v>0.4</v>
      </c>
      <c r="CV29" s="291">
        <v>900</v>
      </c>
      <c r="CW29" s="291" cm="1">
        <f t="array" ref="CW29">_xlfn.IFS(Table9[[#This Row],[Health (Hospital) (15%)]]="", 0, Table9[[#This Row],[Health (Hospital) (15%)]]&gt;10, 4, Table9[[#This Row],[Health (Hospital) (15%)]]&lt;5, 0, TRUE, 2)</f>
        <v>4</v>
      </c>
      <c r="CX29" s="291">
        <f>Table9[[#This Row],[Health (Hospital) Score]]*'Detailed Rubric V3'!$L$92</f>
        <v>0.6</v>
      </c>
      <c r="CY29" s="291">
        <v>193</v>
      </c>
      <c r="CZ29" s="291" cm="1">
        <f t="array" ref="CZ29">_xlfn.IFS(Table9[[#This Row],[University/ Technical &amp; Vocational Institutions (15%)]]="", 0, Table9[[#This Row],[University/ Technical &amp; Vocational Institutions (15%)]]&gt;3, 4, Table9[[#This Row],[University/ Technical &amp; Vocational Institutions (15%)]]&lt;1, 0, TRUE, 2)</f>
        <v>4</v>
      </c>
      <c r="DA29" s="291">
        <f>Table9[[#This Row],[University/ Technical &amp; Vocational Institutions Score]]*'Detailed Rubric V3'!$O$92</f>
        <v>0.6</v>
      </c>
      <c r="DB29" s="291">
        <f>SUM(Table9[[#This Row],[Employable population Weighted Score]],Table9[[#This Row],[Housing Weighted Score]],Table9[[#This Row],[Hotels Weighted Score]],Table9[[#This Row],[Health (Hospital) Weighted Score]],Table9[[#This Row],[University/ Technical &amp; Vocational Institutions Weighted Score]])*'Detailed Rubric V3'!$C$90</f>
        <v>0.28800000000000003</v>
      </c>
      <c r="DC29" s="291" t="s">
        <v>418</v>
      </c>
      <c r="DD29" s="291" cm="1">
        <f t="array" ref="DD29">_xlfn.IFS(Table9[[#This Row],[Environment compliance (30%)]]="", 0, Table9[[#This Row],[Environment compliance (30%)]]="Yes", 4, TRUE, 0)</f>
        <v>0</v>
      </c>
      <c r="DE29" s="291">
        <f>Table9[[#This Row],[Environment compliance Score]]*'Detailed Rubric V3'!$C$104</f>
        <v>0</v>
      </c>
      <c r="DF29" s="291" t="s">
        <v>419</v>
      </c>
      <c r="DG29" s="291" cm="1">
        <f t="array" ref="DG29">_xlfn.IFS(Table9[[#This Row],[Flood Risk Index (30%)]]="", 0, Table9[[#This Row],[Flood Risk Index (30%)]]="Very Low", 4, Table9[[#This Row],[Flood Risk Index (30%)]]="Moderate &amp; Low", 2, TRUE, 0)</f>
        <v>2</v>
      </c>
      <c r="DH29" s="291">
        <f>Table9[[#This Row],[Flood Risk Index Score]]*'Detailed Rubric V3'!$F$104</f>
        <v>0.6</v>
      </c>
      <c r="DI29" s="291" t="s">
        <v>419</v>
      </c>
      <c r="DJ29" s="291" cm="1">
        <f t="array" ref="DJ29">_xlfn.IFS(Table9[[#This Row],[Earth Quake Risk Index (10%)]]="", 0, Table9[[#This Row],[Earth Quake Risk Index (10%)]]="Very Low", 4, Table9[[#This Row],[Earth Quake Risk Index (10%)]]="Moderate &amp; Low", 2, TRUE, 0)</f>
        <v>2</v>
      </c>
      <c r="DK29" s="291">
        <f>Table9[[#This Row],[Earth Quake Risk Index Score]]*'Detailed Rubric V3'!$I$104</f>
        <v>0.2</v>
      </c>
      <c r="DL29" s="291" t="s">
        <v>428</v>
      </c>
      <c r="DM29" s="291" cm="1">
        <f t="array" ref="DM29">_xlfn.IFS(Table9[[#This Row],[Sea Level Rise Risk Index (10%)]]="", 0, Table9[[#This Row],[Sea Level Rise Risk Index (10%)]]="Very Low", 4, Table9[[#This Row],[Sea Level Rise Risk Index (10%)]]="Moderate &amp; Low", 2, TRUE, 0)</f>
        <v>4</v>
      </c>
      <c r="DN29" s="291">
        <f>Table9[[#This Row],[Sea Level Rise  Risk Index Score]]*'Detailed Rubric V3'!$L$104</f>
        <v>0.4</v>
      </c>
      <c r="DO29" s="291" t="s">
        <v>419</v>
      </c>
      <c r="DP29" s="291" cm="1">
        <f t="array" ref="DP29">_xlfn.IFS(Table9[[#This Row],[Cyclone Risk Index (10%)]]="", 0, Table9[[#This Row],[Cyclone Risk Index (10%)]]="Very Low", 4, Table9[[#This Row],[Cyclone Risk Index (10%)]]="Moderate &amp; Low", 2, TRUE, 0)</f>
        <v>2</v>
      </c>
      <c r="DQ29" s="291">
        <f>Table9[[#This Row],[Cyclone Risk Index Score]]*'Detailed Rubric V3'!$O$104</f>
        <v>0.2</v>
      </c>
      <c r="DR29" s="291" t="s">
        <v>428</v>
      </c>
      <c r="DS29" s="291" cm="1">
        <f t="array" ref="DS29">_xlfn.IFS(Table9[[#This Row],[Storm Surge Risk Index (10%)]]="", 0, Table9[[#This Row],[Storm Surge Risk Index (10%)]]="Very Low", 4, Table9[[#This Row],[Storm Surge Risk Index (10%)]]="Moderate &amp; Low", 2, TRUE, 0)</f>
        <v>4</v>
      </c>
      <c r="DT29" s="291">
        <f>Table9[[#This Row],[Storm Surge Risk Index Score]]*'Detailed Rubric V3'!$R$104</f>
        <v>0.4</v>
      </c>
      <c r="DU29" s="291">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29" s="543">
        <f>SUM(Table9[[#This Row],[2.1. Connectivity/ Logistics (10% weightage)]],Table9[[#This Row],[2.2. Utility (12% weightage)]],Table9[[#This Row],[2.3. Agglomeration effects (10% weightage)]],Table9[[#This Row],[2.4. Regional Policy (4% weightage)]],Table9[[#This Row],[2.5. Social (8% weightage)]],Table9[[#This Row],[2.6. Environment (6% weightage)]])</f>
        <v>1.6060000000000001</v>
      </c>
      <c r="DW29" s="593">
        <f>_xlfn.RANK.EQ(Table9[[#This Row],[Level 2 Score]],$DV$3:$DV$103)</f>
        <v>16</v>
      </c>
      <c r="DX29" s="543">
        <f>Table9[[#This Row],[Level 1 Score]]+Table9[[#This Row],[Level 2 Score]]</f>
        <v>2.3460000000000001</v>
      </c>
      <c r="DY29" s="292">
        <f>_xlfn.RANK.EQ(Table9[[#This Row],[Total Score]],$DX$3:$DX$103)</f>
        <v>27</v>
      </c>
      <c r="DZ29" s="237" t="str">
        <f>IF(Table9[[#This Row],[Count of Blanks]]&lt;=2, "Yes", "No")</f>
        <v>Yes</v>
      </c>
      <c r="EA29" s="237">
        <f>COUNTBLANK(Table9[[#This Row],[Name]:[Total Score Rank]])</f>
        <v>0</v>
      </c>
      <c r="EB29" s="237"/>
    </row>
    <row r="30" spans="2:132" ht="27" x14ac:dyDescent="0.25">
      <c r="B30" s="220">
        <v>26</v>
      </c>
      <c r="C30" s="221" t="s">
        <v>57</v>
      </c>
      <c r="D30" s="220" t="s">
        <v>76</v>
      </c>
      <c r="E30" s="220" t="s">
        <v>124</v>
      </c>
      <c r="F30" s="220" t="s">
        <v>125</v>
      </c>
      <c r="G30" s="220" t="s">
        <v>70</v>
      </c>
      <c r="H30" s="525" t="s">
        <v>422</v>
      </c>
      <c r="I30" s="70" t="s">
        <v>454</v>
      </c>
      <c r="J30" s="227" t="s">
        <v>444</v>
      </c>
      <c r="K30" s="220">
        <f>IFERROR(VLOOKUP(Table9[[#This Row],[Land Availability (Grade)​
(50%)]],'Detailed Rubric V3'!$B$8:$C$11,2), 0)</f>
        <v>0</v>
      </c>
      <c r="L30" s="220">
        <f>IFERROR(Table9[[#This Row],[Land Availability (Grade)​ Score]]*'Detailed Rubric V3'!$C$6, "")</f>
        <v>0</v>
      </c>
      <c r="M30" s="222">
        <v>320.37</v>
      </c>
      <c r="N30" s="222" cm="1">
        <f t="array" ref="N30">_xlfn.IFS(Table9[[#This Row],[Land Size (Acres)
(15%)]]&lt;100,0,Table9[[#This Row],[Land Size (Acres)
(15%)]]&gt;500,4,TRUE,2)</f>
        <v>2</v>
      </c>
      <c r="O30" s="222">
        <f>Table9[[#This Row],[Land Size (Acres) Score]]*'Detailed Rubric V3'!$G$6</f>
        <v>0.3</v>
      </c>
      <c r="P30" s="526">
        <v>1164.3</v>
      </c>
      <c r="Q30" s="526">
        <f>IFERROR(Table9[[#This Row],[Site Filling Cost (Mn BDT)]]/Table9[[#This Row],[Land Size (Acres)
(15%)]],"")</f>
        <v>3.6342354153010579</v>
      </c>
      <c r="R30" s="526" cm="1">
        <f t="array" ref="R30">IF(Table9[[#This Row],[Name]]="Sitakundo Economic Zone", 4, _xlfn.IFS(Table9[[#This Row],[Site Filling Cost (Mn BDT)]]="",0,Table9[[#This Row],[Land Suitability
(Cost of Land Filling in Million BDT per acre)
(25%)]]&gt;5,0,Table9[[#This Row],[Land Suitability
(Cost of Land Filling in Million BDT per acre)
(25%)]]&lt;2,4,TRUE,2))</f>
        <v>2</v>
      </c>
      <c r="S30" s="526">
        <f>Table9[[#This Row],[Land Suitability for Construction Score]]*'Detailed Rubric V3'!$J$6</f>
        <v>0.5</v>
      </c>
      <c r="T30" s="526">
        <v>1070.4000000000001</v>
      </c>
      <c r="U30" s="526">
        <f>IFERROR(Table9[[#This Row],[Embankment/Dyke Cost (Mn BDT)]]/Table9[[#This Row],[Land Size (Acres)
(15%)]], 0)</f>
        <v>3.3411368105627872</v>
      </c>
      <c r="V30" s="526" cm="1">
        <f t="array" ref="V30">IF(Table9[[#This Row],[Name]]="Sitakundo Economic Zone", 2, _xlfn.IFS(Table9[[#This Row],[Embankment/Dyke Cost (Mn BDT)]]="",0,Table9[[#This Row],[Cost of DRRI Infrastructure in million BDT per acre
(10%)]]&gt;5,0,Table9[[#This Row],[Cost of DRRI Infrastructure in million BDT per acre
(10%)]]&lt;2,4,TRUE,2))</f>
        <v>2</v>
      </c>
      <c r="W30" s="526">
        <f>Table9[[#This Row],[Requirement for Distaster Risk Reduction &amp; Resilience Infrastructure Score]]*'Detailed Rubric V3'!$M$6</f>
        <v>0.2</v>
      </c>
      <c r="X30"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v>
      </c>
      <c r="Y30" s="452" t="s">
        <v>436</v>
      </c>
      <c r="Z30" s="210">
        <f>IFERROR(VLOOKUP(Table9[[#This Row],[Zone Priority
(40%)]],'Detailed Rubric V3'!$B$18:$C$21, 2,FALSE), 0)</f>
        <v>0</v>
      </c>
      <c r="AA30" s="210">
        <f>IFERROR(Table9[[#This Row],[Zone Priority Score]]*'Detailed Rubric V3'!$C$16, 0)</f>
        <v>0</v>
      </c>
      <c r="AB30" s="237" t="s">
        <v>416</v>
      </c>
      <c r="AC30" s="237">
        <f>VLOOKUP(Table9[[#This Row],[Existing BEZA Report
(60%)]],'Detailed Rubric V3'!$E$18:$F$20,2,FALSE)</f>
        <v>4</v>
      </c>
      <c r="AD30" s="237">
        <f>Table9[[#This Row],[Existing BEZA Report Score]]*'Detailed Rubric V3'!F$16</f>
        <v>4</v>
      </c>
      <c r="AE30" s="237">
        <f>(Table9[[#This Row],[Zone Priority Weighted Score]]+Table9[[#This Row],[Existing BEZA Report Weighted Score]])*'Detailed Rubric V3'!$C$14</f>
        <v>0.6</v>
      </c>
      <c r="AF30" s="528">
        <v>2</v>
      </c>
      <c r="AG30" s="529" cm="1">
        <f t="array" ref="AG30">_xlfn.IFS(Table9[[#This Row],[Existing Sectors
(50%)]]&gt;10, 4,Table9[[#This Row],[Existing Sectors
(50%)]]&lt;5, 0, TRUE, 2)</f>
        <v>0</v>
      </c>
      <c r="AH30" s="529">
        <f>Table9[[#This Row],[Existing Sectors Score]]*'Detailed Rubric V3'!$C$25</f>
        <v>0</v>
      </c>
      <c r="AI30" s="529">
        <v>2</v>
      </c>
      <c r="AJ30" s="529">
        <v>0</v>
      </c>
      <c r="AK30" s="529" cm="1">
        <f t="array" ref="AK30">_xlfn.IFS(Table9[[#This Row],[Potential New Sectors
(50%)]]&gt;5, 4, Table9[[#This Row],[Potential New Sectors
(50%)]]&lt;2,0, TRUE, 2)</f>
        <v>0</v>
      </c>
      <c r="AL30" s="529">
        <f>Table9[[#This Row],[Potential New Sectors Score]]*'Detailed Rubric V3'!$F$25</f>
        <v>0</v>
      </c>
      <c r="AM30" s="232">
        <f>(Table9[[#This Row],[Existing Sectors Weighted Score]]+Table9[[#This Row],[Potential New Sectors Weighted Score]])*'Detailed Rubric V3'!$C$23</f>
        <v>0</v>
      </c>
      <c r="AN30" s="530">
        <f>SUM(Table9[[#This Row],[1.1. Land Details (20% weightage)]],Table9[[#This Row],[1.2. BEZA Existing plans (15% weightage)]],Table9[[#This Row],[1.3. Sector Demand (15% weightage):]])</f>
        <v>0.8</v>
      </c>
      <c r="AO30" s="531">
        <f>_xlfn.RANK.EQ(Table9[[#This Row],[Level 1 Score]],$AN$3:$AN$103)</f>
        <v>33</v>
      </c>
      <c r="AP30" s="529">
        <v>0</v>
      </c>
      <c r="AQ30" s="529" cm="1">
        <f t="array" ref="AQ30">_xlfn.IFS(Table9[[#This Row],[National Highway Connectivity (km)
(15%)]]="", 0, Table9[[#This Row],[National Highway Connectivity (km)
(15%)]]&gt;50, 0, Table9[[#This Row],[National Highway Connectivity (km)
(15%)]]&lt;=25, 4, TRUE, 2)</f>
        <v>4</v>
      </c>
      <c r="AR30" s="529">
        <f>Table9[[#This Row],[National Highway Connectivity Score]]*'Detailed Rubric V3'!$C$35</f>
        <v>0.6</v>
      </c>
      <c r="AS30" s="529" t="s">
        <v>417</v>
      </c>
      <c r="AT30" s="529" cm="1">
        <f t="array" ref="AT30">_xlfn.IFS(Table9[[#This Row],[Connecting Road to Highway (km)
(15%)]]="", 0, Table9[[#This Row],[Connecting Road to Highway (km)
(15%)]]="Yes", 4, TRUE, 0)</f>
        <v>4</v>
      </c>
      <c r="AU30" s="529">
        <f>Table9[[#This Row],[Connecting Road to Highway Score]]*'Detailed Rubric V3'!$F$35</f>
        <v>0.6</v>
      </c>
      <c r="AV30" s="529">
        <v>7</v>
      </c>
      <c r="AW30" s="529" cm="1">
        <f t="array" ref="AW30">_xlfn.IFS(Table9[[#This Row],[Seaport Connectivity (km)
(30%)]]="",0, Table9[[#This Row],[Seaport Connectivity (km)
(30%)]]&gt;400, 0,Table9[[#This Row],[Seaport Connectivity (km)
(30%)]]&lt;=200,4, TRUE, 2)</f>
        <v>4</v>
      </c>
      <c r="AX30" s="529">
        <f>Table9[[#This Row],[Seaport Connectivity Score]]*'Detailed Rubric V3'!$I$35</f>
        <v>1.2</v>
      </c>
      <c r="AY30" s="529">
        <v>79</v>
      </c>
      <c r="AZ30" s="529" cm="1">
        <f t="array" ref="AZ30">_xlfn.IFS(Table9[[#This Row],[Airport Connectivity (km)
(10%)]]="", 0, Table9[[#This Row],[Airport Connectivity (km)
(10%)]]&gt;200, 0, Table9[[#This Row],[Airport Connectivity (km)
(10%)]]&lt;=100,4,TRUE, 2)</f>
        <v>4</v>
      </c>
      <c r="BA30" s="529">
        <f>Table9[[#This Row],[Airport Connectivity Score]]*'Detailed Rubric V3'!$C$41</f>
        <v>0.4</v>
      </c>
      <c r="BB30" s="529">
        <v>77</v>
      </c>
      <c r="BC30" s="529" cm="1">
        <f t="array" ref="BC30">_xlfn.IFS(Table9[[#This Row],[Railway Station (km)
(10%)]]="", 0, Table9[[#This Row],[Railway Station (km)
(10%)]]&gt;150, 0,Table9[[#This Row],[Railway Station (km)
(10%)]]&lt;=50,4, TRUE, 2)</f>
        <v>2</v>
      </c>
      <c r="BD30" s="529">
        <f>Table9[[#This Row],[Railway Station Score]]*'Detailed Rubric V3'!$F$41</f>
        <v>0.2</v>
      </c>
      <c r="BE30" s="529">
        <v>171</v>
      </c>
      <c r="BF30" s="529" cm="1">
        <f t="array" ref="BF30">_xlfn.IFS(Table9[[#This Row],[Inland waterway/ Land port (km)
(20%)]]="", 0, Table9[[#This Row],[Inland waterway/ Land port (km)
(20%)]]&gt;200, 0,Table9[[#This Row],[Inland waterway/ Land port (km)
(20%)]]&lt;=50,4, TRUE, 2)</f>
        <v>2</v>
      </c>
      <c r="BG30" s="529">
        <f>Table9[[#This Row],[Inland waterway/ Land port Score]]*'Detailed Rubric V3'!$I$41</f>
        <v>0.4</v>
      </c>
      <c r="BH30"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0.34</v>
      </c>
      <c r="BI30" s="529">
        <v>0.3</v>
      </c>
      <c r="BJ30" s="529" cm="1">
        <f t="array" ref="BJ30">_xlfn.IFS(Table9[[#This Row],[Power Station (40%)]]="",0, Table9[[#This Row],[Power Station (40%)]]&gt;100, 0,Table9[[#This Row],[Power Station (40%)]]&lt;=50,4, TRUE, 2)</f>
        <v>4</v>
      </c>
      <c r="BK30" s="529">
        <f>Table9[[#This Row],[Power Station Score]]*'Detailed Rubric V3'!$C$53</f>
        <v>1.6</v>
      </c>
      <c r="BL30" s="529">
        <v>18</v>
      </c>
      <c r="BM30" s="529" cm="1">
        <f t="array" ref="BM30">IF(ISNUMBER(Table9[[#This Row],[Gas Station (20%)]]), _xlfn.IFS(Table9[[#This Row],[Gas Station (20%)]]="", 0, Table9[[#This Row],[Gas Station (20%)]]&gt;100, 0,Table9[[#This Row],[Gas Station (20%)]]&lt;=50,4, TRUE, 2), 0)</f>
        <v>4</v>
      </c>
      <c r="BN30" s="529">
        <f>Table9[[#This Row],[Gas Station Score]]*'Detailed Rubric V3'!$F$53</f>
        <v>0.8</v>
      </c>
      <c r="BO30" s="529">
        <v>2</v>
      </c>
      <c r="BP30" s="529" cm="1">
        <f t="array" ref="BP30">IF(ISNUMBER(Table9[[#This Row],[Source of Surface Water (40%)]]), _xlfn.IFS(Table9[[#This Row],[Source of Surface Water (40%)]]="", 0, Table9[[#This Row],[Source of Surface Water (40%)]]&gt;50, 0,Table9[[#This Row],[Source of Surface Water (40%)]]&lt;=20,4, TRUE, 2), 0)</f>
        <v>4</v>
      </c>
      <c r="BQ30" s="529">
        <f>Table9[[#This Row],[Source of Surface Water Score]]*'Detailed Rubric V3'!$I$53</f>
        <v>1.6</v>
      </c>
      <c r="BR30" s="529">
        <f>SUM(Table9[[#This Row],[Power Station Weighted Score]],Table9[[#This Row],[Gas Station Weighted Score]],Table9[[#This Row],[Source of Surface Water Weighted Score]])*'Detailed Rubric V3'!$C$51</f>
        <v>0.48</v>
      </c>
      <c r="BS30" s="529" t="s">
        <v>418</v>
      </c>
      <c r="BT30" s="529" cm="1">
        <f t="array" ref="BT30">_xlfn.IFS(Table9[[#This Row],[Other BEZA EZ (20%)]]="", 0, Table9[[#This Row],[Other BEZA EZ (20%)]]="Yes", 4, TRUE, 0)</f>
        <v>0</v>
      </c>
      <c r="BU30" s="529">
        <f>Table9[[#This Row],[Other BEZA EZ Score]]*'Detailed Rubric V3'!$C$66</f>
        <v>0</v>
      </c>
      <c r="BV30" s="529" t="s">
        <v>417</v>
      </c>
      <c r="BW30" s="529" cm="1">
        <f t="array" ref="BW30">_xlfn.IFS(Table9[[#This Row],[BEPZA/ BHPTA/ BSCIC (20%)]]="", 0, Table9[[#This Row],[BEPZA/ BHPTA/ BSCIC (20%)]]="Yes", 4, TRUE, 0)</f>
        <v>4</v>
      </c>
      <c r="BX30" s="529">
        <f>Table9[[#This Row],[BEPZA/ BHPTA/ BSCIC Score]]*'Detailed Rubric V3'!$F$66</f>
        <v>0.8</v>
      </c>
      <c r="BY30" s="529">
        <v>40</v>
      </c>
      <c r="BZ30" s="529" cm="1">
        <f t="array" ref="BZ30">_xlfn.IFS(Table9[[#This Row],[Cluster Industries (from SMI) (20%)]]="", 0, Table9[[#This Row],[Cluster Industries (from SMI) (20%)]]&gt;100, 4, Table9[[#This Row],[Cluster Industries (from SMI) (20%)]]&lt;50, 0, TRUE, 2)</f>
        <v>0</v>
      </c>
      <c r="CA30" s="529">
        <f>Table9[[#This Row],[Cluster Industries (from SMI) Score]]*'Detailed Rubric V3'!$I$66</f>
        <v>0</v>
      </c>
      <c r="CB30" s="529" t="s">
        <v>417</v>
      </c>
      <c r="CC30" s="529" cm="1">
        <f t="array" ref="CC30">_xlfn.IFS(Table9[[#This Row],[Located on Industrial corridor (40%)]]="", 0, Table9[[#This Row],[Located on Industrial corridor (40%)]]="Yes", 4, TRUE, 0)</f>
        <v>4</v>
      </c>
      <c r="CD30" s="529">
        <f>Table9[[#This Row],[Located on Industrial corridor Score]]*'Detailed Rubric V3'!$L$66</f>
        <v>1.6</v>
      </c>
      <c r="CE30" s="529">
        <f>SUM(Table9[[#This Row],[Other BEZA EZ Weighted Score]],Table9[[#This Row],[BEPZA/ BHPTA/ BSCIC Weighted Score]],Table9[[#This Row],[Unorganized (from SMI) Weighted Score]],Table9[[#This Row],[Located on Industrial corridor Weighted Score]])*'Detailed Rubric V3'!$C$64</f>
        <v>0.24000000000000005</v>
      </c>
      <c r="CF30" s="529" t="s">
        <v>417</v>
      </c>
      <c r="CG30" s="529" cm="1">
        <f t="array" ref="CG30">_xlfn.IFS(Table9[[#This Row],[Economic/ Social priority (laggered area) (100%)]]="", 0, Table9[[#This Row],[Economic/ Social priority (laggered area) (100%)]]="Yes", 4, TRUE, 0)</f>
        <v>4</v>
      </c>
      <c r="CH30" s="529">
        <f>Table9[[#This Row],[Economic/ Social priority (laggered area) Score]]*'Detailed Rubric V3'!$C$82</f>
        <v>4</v>
      </c>
      <c r="CI30" s="529" t="s">
        <v>417</v>
      </c>
      <c r="CJ30" s="529" cm="1">
        <f t="array" ref="CJ30">_xlfn.IFS(Table9[[#This Row],[Regional Tax incentive  (0%)]]="", 0, Table9[[#This Row],[Regional Tax incentive  (0%)]]="Yes", 4, TRUE, 0)</f>
        <v>4</v>
      </c>
      <c r="CK30" s="529">
        <f>Table9[[#This Row],[Regional Tax incentive Score]]*'Detailed Rubric V3'!$F$82</f>
        <v>0</v>
      </c>
      <c r="CL30" s="529">
        <f>SUM(Table9[[#This Row],[Economic/ Social priority (laagered area) Weighted Score]],Table9[[#This Row],[Regional Tax incentive  Weighted Score]])*'Detailed Rubric V3'!$C$80</f>
        <v>0.16</v>
      </c>
      <c r="CM30" s="529">
        <v>152354</v>
      </c>
      <c r="CN30" s="529" cm="1">
        <f t="array" ref="CN30">_xlfn.IFS(Table9[[#This Row],[Employable population (40%) 2013]]="", 0, Table9[[#This Row],[Employable population (40%) 2013]]&gt;200000, 4, Table9[[#This Row],[Employable population (40%) 2013]]&lt;100000,0, TRUE, 2)</f>
        <v>2</v>
      </c>
      <c r="CO30" s="529">
        <f>Table9[[#This Row],[Employable population Score]]*'Detailed Rubric V3'!$C$92</f>
        <v>0.8</v>
      </c>
      <c r="CP30" s="529">
        <v>33.799999999999997</v>
      </c>
      <c r="CQ30" s="529" cm="1">
        <f t="array" ref="CQ30">_xlfn.IFS(Table9[[#This Row],[Housing (20%)]]="", 0, Table9[[#This Row],[Housing (20%)]]&gt;50, 0, Table9[[#This Row],[Housing (20%)]]&lt;25, 4, TRUE, 2)</f>
        <v>2</v>
      </c>
      <c r="CR30" s="529">
        <f>Table9[[#This Row],[Housing Score]]*'Detailed Rubric V3'!$F$92</f>
        <v>0.4</v>
      </c>
      <c r="CS30" s="529">
        <v>2</v>
      </c>
      <c r="CT30" s="529" cm="1">
        <f t="array" ref="CT30">_xlfn.IFS(Table9[[#This Row],[Hotels (10%)]]="", 0, Table9[[#This Row],[Hotels (10%)]]&gt;25, 4, Table9[[#This Row],[Hotels (10%)]]&lt;5, 0, TRUE, 2)</f>
        <v>0</v>
      </c>
      <c r="CU30" s="529">
        <f>Table9[[#This Row],[Hotels Score]]*'Detailed Rubric V3'!$I$92</f>
        <v>0</v>
      </c>
      <c r="CV30" s="529">
        <v>68</v>
      </c>
      <c r="CW30" s="529" cm="1">
        <f t="array" ref="CW30">_xlfn.IFS(Table9[[#This Row],[Health (Hospital) (15%)]]="", 0, Table9[[#This Row],[Health (Hospital) (15%)]]&gt;10, 4, Table9[[#This Row],[Health (Hospital) (15%)]]&lt;5, 0, TRUE, 2)</f>
        <v>4</v>
      </c>
      <c r="CX30" s="529">
        <f>Table9[[#This Row],[Health (Hospital) Score]]*'Detailed Rubric V3'!$L$92</f>
        <v>0.6</v>
      </c>
      <c r="CY30" s="529">
        <v>78</v>
      </c>
      <c r="CZ30" s="529" cm="1">
        <f t="array" ref="CZ30">_xlfn.IFS(Table9[[#This Row],[University/ Technical &amp; Vocational Institutions (15%)]]="", 0, Table9[[#This Row],[University/ Technical &amp; Vocational Institutions (15%)]]&gt;3, 4, Table9[[#This Row],[University/ Technical &amp; Vocational Institutions (15%)]]&lt;1, 0, TRUE, 2)</f>
        <v>4</v>
      </c>
      <c r="DA30" s="529">
        <f>Table9[[#This Row],[University/ Technical &amp; Vocational Institutions Score]]*'Detailed Rubric V3'!$O$92</f>
        <v>0.6</v>
      </c>
      <c r="DB30" s="529">
        <f>SUM(Table9[[#This Row],[Employable population Weighted Score]],Table9[[#This Row],[Housing Weighted Score]],Table9[[#This Row],[Hotels Weighted Score]],Table9[[#This Row],[Health (Hospital) Weighted Score]],Table9[[#This Row],[University/ Technical &amp; Vocational Institutions Weighted Score]])*'Detailed Rubric V3'!$C$90</f>
        <v>0.19200000000000003</v>
      </c>
      <c r="DC30" s="529" t="s">
        <v>418</v>
      </c>
      <c r="DD30" s="529" cm="1">
        <f t="array" ref="DD30">_xlfn.IFS(Table9[[#This Row],[Environment compliance (30%)]]="", 0, Table9[[#This Row],[Environment compliance (30%)]]="Yes", 4, TRUE, 0)</f>
        <v>0</v>
      </c>
      <c r="DE30" s="529">
        <f>Table9[[#This Row],[Environment compliance Score]]*'Detailed Rubric V3'!$C$104</f>
        <v>0</v>
      </c>
      <c r="DF30" s="529" t="s">
        <v>419</v>
      </c>
      <c r="DG30" s="529" cm="1">
        <f t="array" ref="DG30">_xlfn.IFS(Table9[[#This Row],[Flood Risk Index (30%)]]="", 0, Table9[[#This Row],[Flood Risk Index (30%)]]="Very Low", 4, Table9[[#This Row],[Flood Risk Index (30%)]]="Moderate &amp; Low", 2, TRUE, 0)</f>
        <v>2</v>
      </c>
      <c r="DH30" s="529">
        <f>Table9[[#This Row],[Flood Risk Index Score]]*'Detailed Rubric V3'!$F$104</f>
        <v>0.6</v>
      </c>
      <c r="DI30" s="529" t="s">
        <v>419</v>
      </c>
      <c r="DJ30" s="529" cm="1">
        <f t="array" ref="DJ30">_xlfn.IFS(Table9[[#This Row],[Earth Quake Risk Index (10%)]]="", 0, Table9[[#This Row],[Earth Quake Risk Index (10%)]]="Very Low", 4, Table9[[#This Row],[Earth Quake Risk Index (10%)]]="Moderate &amp; Low", 2, TRUE, 0)</f>
        <v>2</v>
      </c>
      <c r="DK30" s="529">
        <f>Table9[[#This Row],[Earth Quake Risk Index Score]]*'Detailed Rubric V3'!$I$104</f>
        <v>0.2</v>
      </c>
      <c r="DL30" s="529" t="s">
        <v>428</v>
      </c>
      <c r="DM30" s="529" cm="1">
        <f t="array" ref="DM30">_xlfn.IFS(Table9[[#This Row],[Sea Level Rise Risk Index (10%)]]="", 0, Table9[[#This Row],[Sea Level Rise Risk Index (10%)]]="Very Low", 4, Table9[[#This Row],[Sea Level Rise Risk Index (10%)]]="Moderate &amp; Low", 2, TRUE, 0)</f>
        <v>4</v>
      </c>
      <c r="DN30" s="529">
        <f>Table9[[#This Row],[Sea Level Rise  Risk Index Score]]*'Detailed Rubric V3'!$L$104</f>
        <v>0.4</v>
      </c>
      <c r="DO30" s="529" t="s">
        <v>419</v>
      </c>
      <c r="DP30" s="529" cm="1">
        <f t="array" ref="DP30">_xlfn.IFS(Table9[[#This Row],[Cyclone Risk Index (10%)]]="", 0, Table9[[#This Row],[Cyclone Risk Index (10%)]]="Very Low", 4, Table9[[#This Row],[Cyclone Risk Index (10%)]]="Moderate &amp; Low", 2, TRUE, 0)</f>
        <v>2</v>
      </c>
      <c r="DQ30" s="529">
        <f>Table9[[#This Row],[Cyclone Risk Index Score]]*'Detailed Rubric V3'!$O$104</f>
        <v>0.2</v>
      </c>
      <c r="DR30" s="529" t="s">
        <v>428</v>
      </c>
      <c r="DS30" s="529" cm="1">
        <f t="array" ref="DS30">_xlfn.IFS(Table9[[#This Row],[Storm Surge Risk Index (10%)]]="", 0, Table9[[#This Row],[Storm Surge Risk Index (10%)]]="Very Low", 4, Table9[[#This Row],[Storm Surge Risk Index (10%)]]="Moderate &amp; Low", 2, TRUE, 0)</f>
        <v>4</v>
      </c>
      <c r="DT30" s="529">
        <f>Table9[[#This Row],[Storm Surge Risk Index Score]]*'Detailed Rubric V3'!$R$104</f>
        <v>0.4</v>
      </c>
      <c r="DU30"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30" s="533">
        <f>SUM(Table9[[#This Row],[2.1. Connectivity/ Logistics (10% weightage)]],Table9[[#This Row],[2.2. Utility (12% weightage)]],Table9[[#This Row],[2.3. Agglomeration effects (10% weightage)]],Table9[[#This Row],[2.4. Regional Policy (4% weightage)]],Table9[[#This Row],[2.5. Social (8% weightage)]],Table9[[#This Row],[2.6. Environment (6% weightage)]])</f>
        <v>1.52</v>
      </c>
      <c r="DW30" s="232">
        <f>_xlfn.RANK.EQ(Table9[[#This Row],[Level 2 Score]],$DV$3:$DV$103)</f>
        <v>29</v>
      </c>
      <c r="DX30" s="533">
        <f>Table9[[#This Row],[Level 1 Score]]+Table9[[#This Row],[Level 2 Score]]</f>
        <v>2.3200000000000003</v>
      </c>
      <c r="DY30" s="232">
        <f>_xlfn.RANK.EQ(Table9[[#This Row],[Total Score]],$DX$3:$DX$103)</f>
        <v>28</v>
      </c>
      <c r="DZ30" s="237" t="str">
        <f>IF(Table9[[#This Row],[Count of Blanks]]&lt;=2, "Yes", "No")</f>
        <v>Yes</v>
      </c>
      <c r="EA30" s="237">
        <f>COUNTBLANK(Table9[[#This Row],[Name]:[Total Score Rank]])</f>
        <v>0</v>
      </c>
      <c r="EB30" s="237"/>
    </row>
    <row r="31" spans="2:132" ht="27" x14ac:dyDescent="0.25">
      <c r="B31" s="220">
        <v>89</v>
      </c>
      <c r="C31" s="221" t="s">
        <v>32</v>
      </c>
      <c r="D31" s="220" t="s">
        <v>68</v>
      </c>
      <c r="E31" s="220" t="s">
        <v>68</v>
      </c>
      <c r="F31" s="220" t="s">
        <v>81</v>
      </c>
      <c r="G31" s="220" t="s">
        <v>92</v>
      </c>
      <c r="H31" s="525" t="s">
        <v>410</v>
      </c>
      <c r="I31" s="70" t="s">
        <v>411</v>
      </c>
      <c r="J31" s="227" t="s">
        <v>412</v>
      </c>
      <c r="K31" s="220">
        <f>IFERROR(VLOOKUP(Table9[[#This Row],[Land Availability (Grade)​
(50%)]],'Detailed Rubric V3'!$B$8:$C$11,2), 0)</f>
        <v>4</v>
      </c>
      <c r="L31" s="220">
        <f>IFERROR(Table9[[#This Row],[Land Availability (Grade)​ Score]]*'Detailed Rubric V3'!$C$6, "")</f>
        <v>2</v>
      </c>
      <c r="M31" s="222">
        <v>65.247799999999998</v>
      </c>
      <c r="N31" s="222" cm="1">
        <f t="array" ref="N31">_xlfn.IFS(Table9[[#This Row],[Land Size (Acres)
(15%)]]&lt;100,0,Table9[[#This Row],[Land Size (Acres)
(15%)]]&gt;500,4,TRUE,2)</f>
        <v>0</v>
      </c>
      <c r="O31" s="222">
        <f>Table9[[#This Row],[Land Size (Acres) Score]]*'Detailed Rubric V3'!$G$6</f>
        <v>0</v>
      </c>
      <c r="P31" s="526"/>
      <c r="Q31" s="526">
        <f>IFERROR(Table9[[#This Row],[Site Filling Cost (Mn BDT)]]/Table9[[#This Row],[Land Size (Acres)
(15%)]],"")</f>
        <v>0</v>
      </c>
      <c r="R31" s="526" cm="1">
        <f t="array" ref="R31">IF(Table9[[#This Row],[Name]]="Sitakundo Economic Zone", 4, _xlfn.IFS(Table9[[#This Row],[Site Filling Cost (Mn BDT)]]="",0,Table9[[#This Row],[Land Suitability
(Cost of Land Filling in Million BDT per acre)
(25%)]]&gt;5,0,Table9[[#This Row],[Land Suitability
(Cost of Land Filling in Million BDT per acre)
(25%)]]&lt;2,4,TRUE,2))</f>
        <v>0</v>
      </c>
      <c r="S31" s="526">
        <f>Table9[[#This Row],[Land Suitability for Construction Score]]*'Detailed Rubric V3'!$J$6</f>
        <v>0</v>
      </c>
      <c r="T31" s="526"/>
      <c r="U31" s="526">
        <f>IFERROR(Table9[[#This Row],[Embankment/Dyke Cost (Mn BDT)]]/Table9[[#This Row],[Land Size (Acres)
(15%)]], 0)</f>
        <v>0</v>
      </c>
      <c r="V31" s="526" cm="1">
        <f t="array" ref="V31">IF(Table9[[#This Row],[Name]]="Sitakundo Economic Zone", 2, _xlfn.IFS(Table9[[#This Row],[Embankment/Dyke Cost (Mn BDT)]]="",0,Table9[[#This Row],[Cost of DRRI Infrastructure in million BDT per acre
(10%)]]&gt;5,0,Table9[[#This Row],[Cost of DRRI Infrastructure in million BDT per acre
(10%)]]&lt;2,4,TRUE,2))</f>
        <v>0</v>
      </c>
      <c r="W31" s="526">
        <f>Table9[[#This Row],[Requirement for Distaster Risk Reduction &amp; Resilience Infrastructure Score]]*'Detailed Rubric V3'!$M$6</f>
        <v>0</v>
      </c>
      <c r="X31"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v>
      </c>
      <c r="Y31" s="227" t="s">
        <v>440</v>
      </c>
      <c r="Z31" s="210">
        <f>IFERROR(VLOOKUP(Table9[[#This Row],[Zone Priority
(40%)]],'Detailed Rubric V3'!$B$18:$C$21, 2,FALSE), 0)</f>
        <v>4</v>
      </c>
      <c r="AA31" s="210">
        <f>IFERROR(Table9[[#This Row],[Zone Priority Score]]*'Detailed Rubric V3'!$C$16, 0)</f>
        <v>0</v>
      </c>
      <c r="AB31" s="237" t="s">
        <v>441</v>
      </c>
      <c r="AC31" s="237">
        <f>VLOOKUP(Table9[[#This Row],[Existing BEZA Report
(60%)]],'Detailed Rubric V3'!$E$18:$F$20,2,FALSE)</f>
        <v>0</v>
      </c>
      <c r="AD31" s="237">
        <f>Table9[[#This Row],[Existing BEZA Report Score]]*'Detailed Rubric V3'!F$16</f>
        <v>0</v>
      </c>
      <c r="AE31" s="237">
        <f>(Table9[[#This Row],[Zone Priority Weighted Score]]+Table9[[#This Row],[Existing BEZA Report Weighted Score]])*'Detailed Rubric V3'!$C$14</f>
        <v>0</v>
      </c>
      <c r="AF31" s="528">
        <v>19</v>
      </c>
      <c r="AG31" s="529" cm="1">
        <f t="array" ref="AG31">_xlfn.IFS(Table9[[#This Row],[Existing Sectors
(50%)]]&gt;10, 4,Table9[[#This Row],[Existing Sectors
(50%)]]&lt;5, 0, TRUE, 2)</f>
        <v>4</v>
      </c>
      <c r="AH31" s="529">
        <f>Table9[[#This Row],[Existing Sectors Score]]*'Detailed Rubric V3'!$C$25</f>
        <v>2</v>
      </c>
      <c r="AI31" s="529">
        <v>19</v>
      </c>
      <c r="AJ31" s="529">
        <v>0</v>
      </c>
      <c r="AK31" s="529" cm="1">
        <f t="array" ref="AK31">_xlfn.IFS(Table9[[#This Row],[Potential New Sectors
(50%)]]&gt;5, 4, Table9[[#This Row],[Potential New Sectors
(50%)]]&lt;2,0, TRUE, 2)</f>
        <v>0</v>
      </c>
      <c r="AL31" s="529">
        <f>Table9[[#This Row],[Potential New Sectors Score]]*'Detailed Rubric V3'!$F$25</f>
        <v>0</v>
      </c>
      <c r="AM31" s="232">
        <f>(Table9[[#This Row],[Existing Sectors Weighted Score]]+Table9[[#This Row],[Potential New Sectors Weighted Score]])*'Detailed Rubric V3'!$C$23</f>
        <v>0.3</v>
      </c>
      <c r="AN31" s="530">
        <f>SUM(Table9[[#This Row],[1.1. Land Details (20% weightage)]],Table9[[#This Row],[1.2. BEZA Existing plans (15% weightage)]],Table9[[#This Row],[1.3. Sector Demand (15% weightage):]])</f>
        <v>0.7</v>
      </c>
      <c r="AO31" s="531">
        <f>_xlfn.RANK.EQ(Table9[[#This Row],[Level 1 Score]],$AN$3:$AN$103)</f>
        <v>41</v>
      </c>
      <c r="AP31" s="529">
        <v>7</v>
      </c>
      <c r="AQ31" s="529" cm="1">
        <f t="array" ref="AQ31">_xlfn.IFS(Table9[[#This Row],[National Highway Connectivity (km)
(15%)]]="", 0, Table9[[#This Row],[National Highway Connectivity (km)
(15%)]]&gt;50, 0, Table9[[#This Row],[National Highway Connectivity (km)
(15%)]]&lt;=25, 4, TRUE, 2)</f>
        <v>4</v>
      </c>
      <c r="AR31" s="529">
        <f>Table9[[#This Row],[National Highway Connectivity Score]]*'Detailed Rubric V3'!$C$35</f>
        <v>0.6</v>
      </c>
      <c r="AS31" s="529" t="s">
        <v>417</v>
      </c>
      <c r="AT31" s="529" cm="1">
        <f t="array" ref="AT31">_xlfn.IFS(Table9[[#This Row],[Connecting Road to Highway (km)
(15%)]]="", 0, Table9[[#This Row],[Connecting Road to Highway (km)
(15%)]]="Yes", 4, TRUE, 0)</f>
        <v>4</v>
      </c>
      <c r="AU31" s="529">
        <f>Table9[[#This Row],[Connecting Road to Highway Score]]*'Detailed Rubric V3'!$F$35</f>
        <v>0.6</v>
      </c>
      <c r="AV31" s="529">
        <v>26</v>
      </c>
      <c r="AW31" s="529" cm="1">
        <f t="array" ref="AW31">_xlfn.IFS(Table9[[#This Row],[Seaport Connectivity (km)
(30%)]]="",0, Table9[[#This Row],[Seaport Connectivity (km)
(30%)]]&gt;400, 0,Table9[[#This Row],[Seaport Connectivity (km)
(30%)]]&lt;=200,4, TRUE, 2)</f>
        <v>4</v>
      </c>
      <c r="AX31" s="529">
        <f>Table9[[#This Row],[Seaport Connectivity Score]]*'Detailed Rubric V3'!$I$35</f>
        <v>1.2</v>
      </c>
      <c r="AY31" s="529">
        <v>38</v>
      </c>
      <c r="AZ31" s="529" cm="1">
        <f t="array" ref="AZ31">_xlfn.IFS(Table9[[#This Row],[Airport Connectivity (km)
(10%)]]="", 0, Table9[[#This Row],[Airport Connectivity (km)
(10%)]]&gt;200, 0, Table9[[#This Row],[Airport Connectivity (km)
(10%)]]&lt;=100,4,TRUE, 2)</f>
        <v>4</v>
      </c>
      <c r="BA31" s="529">
        <f>Table9[[#This Row],[Airport Connectivity Score]]*'Detailed Rubric V3'!$C$41</f>
        <v>0.4</v>
      </c>
      <c r="BB31" s="529">
        <v>22</v>
      </c>
      <c r="BC31" s="529" cm="1">
        <f t="array" ref="BC31">_xlfn.IFS(Table9[[#This Row],[Railway Station (km)
(10%)]]="", 0, Table9[[#This Row],[Railway Station (km)
(10%)]]&gt;150, 0,Table9[[#This Row],[Railway Station (km)
(10%)]]&lt;=50,4, TRUE, 2)</f>
        <v>4</v>
      </c>
      <c r="BD31" s="529">
        <f>Table9[[#This Row],[Railway Station Score]]*'Detailed Rubric V3'!$F$41</f>
        <v>0.4</v>
      </c>
      <c r="BE31" s="529">
        <v>144</v>
      </c>
      <c r="BF31" s="529" cm="1">
        <f t="array" ref="BF31">_xlfn.IFS(Table9[[#This Row],[Inland waterway/ Land port (km)
(20%)]]="", 0, Table9[[#This Row],[Inland waterway/ Land port (km)
(20%)]]&gt;200, 0,Table9[[#This Row],[Inland waterway/ Land port (km)
(20%)]]&lt;=50,4, TRUE, 2)</f>
        <v>2</v>
      </c>
      <c r="BG31" s="529">
        <f>Table9[[#This Row],[Inland waterway/ Land port Score]]*'Detailed Rubric V3'!$I$41</f>
        <v>0.4</v>
      </c>
      <c r="BH31"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0.36</v>
      </c>
      <c r="BI31" s="529">
        <v>4</v>
      </c>
      <c r="BJ31" s="529" cm="1">
        <f t="array" ref="BJ31">_xlfn.IFS(Table9[[#This Row],[Power Station (40%)]]="",0, Table9[[#This Row],[Power Station (40%)]]&gt;100, 0,Table9[[#This Row],[Power Station (40%)]]&lt;=50,4, TRUE, 2)</f>
        <v>4</v>
      </c>
      <c r="BK31" s="529">
        <f>Table9[[#This Row],[Power Station Score]]*'Detailed Rubric V3'!$C$53</f>
        <v>1.6</v>
      </c>
      <c r="BL31" s="529">
        <v>2</v>
      </c>
      <c r="BM31" s="529" cm="1">
        <f t="array" ref="BM31">IF(ISNUMBER(Table9[[#This Row],[Gas Station (20%)]]), _xlfn.IFS(Table9[[#This Row],[Gas Station (20%)]]="", 0, Table9[[#This Row],[Gas Station (20%)]]&gt;100, 0,Table9[[#This Row],[Gas Station (20%)]]&lt;=50,4, TRUE, 2), 0)</f>
        <v>4</v>
      </c>
      <c r="BN31" s="529">
        <f>Table9[[#This Row],[Gas Station Score]]*'Detailed Rubric V3'!$F$53</f>
        <v>0.8</v>
      </c>
      <c r="BO31" s="529">
        <v>1</v>
      </c>
      <c r="BP31" s="529" cm="1">
        <f t="array" ref="BP31">IF(ISNUMBER(Table9[[#This Row],[Source of Surface Water (40%)]]), _xlfn.IFS(Table9[[#This Row],[Source of Surface Water (40%)]]="", 0, Table9[[#This Row],[Source of Surface Water (40%)]]&gt;50, 0,Table9[[#This Row],[Source of Surface Water (40%)]]&lt;=20,4, TRUE, 2), 0)</f>
        <v>4</v>
      </c>
      <c r="BQ31" s="529">
        <f>Table9[[#This Row],[Source of Surface Water Score]]*'Detailed Rubric V3'!$I$53</f>
        <v>1.6</v>
      </c>
      <c r="BR31" s="529">
        <f>SUM(Table9[[#This Row],[Power Station Weighted Score]],Table9[[#This Row],[Gas Station Weighted Score]],Table9[[#This Row],[Source of Surface Water Weighted Score]])*'Detailed Rubric V3'!$C$51</f>
        <v>0.48</v>
      </c>
      <c r="BS31" s="529" t="s">
        <v>417</v>
      </c>
      <c r="BT31" s="529" cm="1">
        <f t="array" ref="BT31">_xlfn.IFS(Table9[[#This Row],[Other BEZA EZ (20%)]]="", 0, Table9[[#This Row],[Other BEZA EZ (20%)]]="Yes", 4, TRUE, 0)</f>
        <v>4</v>
      </c>
      <c r="BU31" s="529">
        <f>Table9[[#This Row],[Other BEZA EZ Score]]*'Detailed Rubric V3'!$C$66</f>
        <v>0.8</v>
      </c>
      <c r="BV31" s="529" t="s">
        <v>417</v>
      </c>
      <c r="BW31" s="529" cm="1">
        <f t="array" ref="BW31">_xlfn.IFS(Table9[[#This Row],[BEPZA/ BHPTA/ BSCIC (20%)]]="", 0, Table9[[#This Row],[BEPZA/ BHPTA/ BSCIC (20%)]]="Yes", 4, TRUE, 0)</f>
        <v>4</v>
      </c>
      <c r="BX31" s="529">
        <f>Table9[[#This Row],[BEPZA/ BHPTA/ BSCIC Score]]*'Detailed Rubric V3'!$F$66</f>
        <v>0.8</v>
      </c>
      <c r="BY31" s="529">
        <v>568</v>
      </c>
      <c r="BZ31" s="529" cm="1">
        <f t="array" ref="BZ31">_xlfn.IFS(Table9[[#This Row],[Cluster Industries (from SMI) (20%)]]="", 0, Table9[[#This Row],[Cluster Industries (from SMI) (20%)]]&gt;100, 4, Table9[[#This Row],[Cluster Industries (from SMI) (20%)]]&lt;50, 0, TRUE, 2)</f>
        <v>4</v>
      </c>
      <c r="CA31" s="529">
        <f>Table9[[#This Row],[Cluster Industries (from SMI) Score]]*'Detailed Rubric V3'!$I$66</f>
        <v>0.8</v>
      </c>
      <c r="CB31" s="529" t="s">
        <v>417</v>
      </c>
      <c r="CC31" s="529" cm="1">
        <f t="array" ref="CC31">_xlfn.IFS(Table9[[#This Row],[Located on Industrial corridor (40%)]]="", 0, Table9[[#This Row],[Located on Industrial corridor (40%)]]="Yes", 4, TRUE, 0)</f>
        <v>4</v>
      </c>
      <c r="CD31" s="529">
        <f>Table9[[#This Row],[Located on Industrial corridor Score]]*'Detailed Rubric V3'!$L$66</f>
        <v>1.6</v>
      </c>
      <c r="CE31" s="529">
        <f>SUM(Table9[[#This Row],[Other BEZA EZ Weighted Score]],Table9[[#This Row],[BEPZA/ BHPTA/ BSCIC Weighted Score]],Table9[[#This Row],[Unorganized (from SMI) Weighted Score]],Table9[[#This Row],[Located on Industrial corridor Weighted Score]])*'Detailed Rubric V3'!$C$64</f>
        <v>0.4</v>
      </c>
      <c r="CF31" s="529" t="s">
        <v>418</v>
      </c>
      <c r="CG31" s="529" cm="1">
        <f t="array" ref="CG31">_xlfn.IFS(Table9[[#This Row],[Economic/ Social priority (laggered area) (100%)]]="", 0, Table9[[#This Row],[Economic/ Social priority (laggered area) (100%)]]="Yes", 4, TRUE, 0)</f>
        <v>0</v>
      </c>
      <c r="CH31" s="529">
        <f>Table9[[#This Row],[Economic/ Social priority (laggered area) Score]]*'Detailed Rubric V3'!$C$82</f>
        <v>0</v>
      </c>
      <c r="CI31" s="529" t="s">
        <v>418</v>
      </c>
      <c r="CJ31" s="529" cm="1">
        <f t="array" ref="CJ31">_xlfn.IFS(Table9[[#This Row],[Regional Tax incentive  (0%)]]="", 0, Table9[[#This Row],[Regional Tax incentive  (0%)]]="Yes", 4, TRUE, 0)</f>
        <v>0</v>
      </c>
      <c r="CK31" s="529">
        <f>Table9[[#This Row],[Regional Tax incentive Score]]*'Detailed Rubric V3'!$F$82</f>
        <v>0</v>
      </c>
      <c r="CL31" s="529">
        <f>SUM(Table9[[#This Row],[Economic/ Social priority (laagered area) Weighted Score]],Table9[[#This Row],[Regional Tax incentive  Weighted Score]])*'Detailed Rubric V3'!$C$80</f>
        <v>0</v>
      </c>
      <c r="CM31" s="529">
        <v>1968862</v>
      </c>
      <c r="CN31" s="529" cm="1">
        <f t="array" ref="CN31">_xlfn.IFS(Table9[[#This Row],[Employable population (40%) 2013]]="", 0, Table9[[#This Row],[Employable population (40%) 2013]]&gt;200000, 4, Table9[[#This Row],[Employable population (40%) 2013]]&lt;100000,0, TRUE, 2)</f>
        <v>4</v>
      </c>
      <c r="CO31" s="529">
        <f>Table9[[#This Row],[Employable population Score]]*'Detailed Rubric V3'!$C$92</f>
        <v>1.6</v>
      </c>
      <c r="CP31" s="529">
        <v>22</v>
      </c>
      <c r="CQ31" s="529" cm="1">
        <f t="array" ref="CQ31">_xlfn.IFS(Table9[[#This Row],[Housing (20%)]]="", 0, Table9[[#This Row],[Housing (20%)]]&gt;50, 0, Table9[[#This Row],[Housing (20%)]]&lt;25, 4, TRUE, 2)</f>
        <v>4</v>
      </c>
      <c r="CR31" s="529">
        <f>Table9[[#This Row],[Housing Score]]*'Detailed Rubric V3'!$F$92</f>
        <v>0.8</v>
      </c>
      <c r="CS31" s="529">
        <v>76</v>
      </c>
      <c r="CT31" s="529" cm="1">
        <f t="array" ref="CT31">_xlfn.IFS(Table9[[#This Row],[Hotels (10%)]]="", 0, Table9[[#This Row],[Hotels (10%)]]&gt;25, 4, Table9[[#This Row],[Hotels (10%)]]&lt;5, 0, TRUE, 2)</f>
        <v>4</v>
      </c>
      <c r="CU31" s="529">
        <f>Table9[[#This Row],[Hotels Score]]*'Detailed Rubric V3'!$I$92</f>
        <v>0.4</v>
      </c>
      <c r="CV31" s="529">
        <v>217</v>
      </c>
      <c r="CW31" s="529" cm="1">
        <f t="array" ref="CW31">_xlfn.IFS(Table9[[#This Row],[Health (Hospital) (15%)]]="", 0, Table9[[#This Row],[Health (Hospital) (15%)]]&gt;10, 4, Table9[[#This Row],[Health (Hospital) (15%)]]&lt;5, 0, TRUE, 2)</f>
        <v>4</v>
      </c>
      <c r="CX31" s="529">
        <f>Table9[[#This Row],[Health (Hospital) Score]]*'Detailed Rubric V3'!$L$92</f>
        <v>0.6</v>
      </c>
      <c r="CY31" s="529">
        <v>34</v>
      </c>
      <c r="CZ31" s="529" cm="1">
        <f t="array" ref="CZ31">_xlfn.IFS(Table9[[#This Row],[University/ Technical &amp; Vocational Institutions (15%)]]="", 0, Table9[[#This Row],[University/ Technical &amp; Vocational Institutions (15%)]]&gt;3, 4, Table9[[#This Row],[University/ Technical &amp; Vocational Institutions (15%)]]&lt;1, 0, TRUE, 2)</f>
        <v>4</v>
      </c>
      <c r="DA31" s="529">
        <f>Table9[[#This Row],[University/ Technical &amp; Vocational Institutions Score]]*'Detailed Rubric V3'!$O$92</f>
        <v>0.6</v>
      </c>
      <c r="DB31"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31" s="529" t="s">
        <v>418</v>
      </c>
      <c r="DD31" s="529" cm="1">
        <f t="array" ref="DD31">_xlfn.IFS(Table9[[#This Row],[Environment compliance (30%)]]="", 0, Table9[[#This Row],[Environment compliance (30%)]]="Yes", 4, TRUE, 0)</f>
        <v>0</v>
      </c>
      <c r="DE31" s="529">
        <f>Table9[[#This Row],[Environment compliance Score]]*'Detailed Rubric V3'!$C$104</f>
        <v>0</v>
      </c>
      <c r="DF31" s="529" t="s">
        <v>419</v>
      </c>
      <c r="DG31" s="529" cm="1">
        <f t="array" ref="DG31">_xlfn.IFS(Table9[[#This Row],[Flood Risk Index (30%)]]="", 0, Table9[[#This Row],[Flood Risk Index (30%)]]="Very Low", 4, Table9[[#This Row],[Flood Risk Index (30%)]]="Moderate &amp; Low", 2, TRUE, 0)</f>
        <v>2</v>
      </c>
      <c r="DH31" s="529">
        <f>Table9[[#This Row],[Flood Risk Index Score]]*'Detailed Rubric V3'!$F$104</f>
        <v>0.6</v>
      </c>
      <c r="DI31" s="529" t="s">
        <v>419</v>
      </c>
      <c r="DJ31" s="529" cm="1">
        <f t="array" ref="DJ31">_xlfn.IFS(Table9[[#This Row],[Earth Quake Risk Index (10%)]]="", 0, Table9[[#This Row],[Earth Quake Risk Index (10%)]]="Very Low", 4, Table9[[#This Row],[Earth Quake Risk Index (10%)]]="Moderate &amp; Low", 2, TRUE, 0)</f>
        <v>2</v>
      </c>
      <c r="DK31" s="529">
        <f>Table9[[#This Row],[Earth Quake Risk Index Score]]*'Detailed Rubric V3'!$I$104</f>
        <v>0.2</v>
      </c>
      <c r="DL31" s="529" t="s">
        <v>419</v>
      </c>
      <c r="DM31" s="529" cm="1">
        <f t="array" ref="DM31">_xlfn.IFS(Table9[[#This Row],[Sea Level Rise Risk Index (10%)]]="", 0, Table9[[#This Row],[Sea Level Rise Risk Index (10%)]]="Very Low", 4, Table9[[#This Row],[Sea Level Rise Risk Index (10%)]]="Moderate &amp; Low", 2, TRUE, 0)</f>
        <v>2</v>
      </c>
      <c r="DN31" s="529">
        <f>Table9[[#This Row],[Sea Level Rise  Risk Index Score]]*'Detailed Rubric V3'!$L$104</f>
        <v>0.2</v>
      </c>
      <c r="DO31" s="529" t="s">
        <v>420</v>
      </c>
      <c r="DP31" s="529" cm="1">
        <f t="array" ref="DP31">_xlfn.IFS(Table9[[#This Row],[Cyclone Risk Index (10%)]]="", 0, Table9[[#This Row],[Cyclone Risk Index (10%)]]="Very Low", 4, Table9[[#This Row],[Cyclone Risk Index (10%)]]="Moderate &amp; Low", 2, TRUE, 0)</f>
        <v>0</v>
      </c>
      <c r="DQ31" s="529">
        <f>Table9[[#This Row],[Cyclone Risk Index Score]]*'Detailed Rubric V3'!$O$104</f>
        <v>0</v>
      </c>
      <c r="DR31" s="529" t="s">
        <v>421</v>
      </c>
      <c r="DS31" s="529" cm="1">
        <f t="array" ref="DS31">_xlfn.IFS(Table9[[#This Row],[Storm Surge Risk Index (10%)]]="", 0, Table9[[#This Row],[Storm Surge Risk Index (10%)]]="Very Low", 4, Table9[[#This Row],[Storm Surge Risk Index (10%)]]="Moderate &amp; Low", 2, TRUE, 0)</f>
        <v>0</v>
      </c>
      <c r="DT31" s="529">
        <f>Table9[[#This Row],[Storm Surge Risk Index Score]]*'Detailed Rubric V3'!$R$104</f>
        <v>0</v>
      </c>
      <c r="DU31"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31" s="533">
        <f>SUM(Table9[[#This Row],[2.1. Connectivity/ Logistics (10% weightage)]],Table9[[#This Row],[2.2. Utility (12% weightage)]],Table9[[#This Row],[2.3. Agglomeration effects (10% weightage)]],Table9[[#This Row],[2.4. Regional Policy (4% weightage)]],Table9[[#This Row],[2.5. Social (8% weightage)]],Table9[[#This Row],[2.6. Environment (6% weightage)]])</f>
        <v>1.62</v>
      </c>
      <c r="DW31" s="308">
        <f>_xlfn.RANK.EQ(Table9[[#This Row],[Level 2 Score]],$DV$3:$DV$103)</f>
        <v>13</v>
      </c>
      <c r="DX31" s="533">
        <f>Table9[[#This Row],[Level 1 Score]]+Table9[[#This Row],[Level 2 Score]]</f>
        <v>2.3200000000000003</v>
      </c>
      <c r="DY31" s="308">
        <f>_xlfn.RANK.EQ(Table9[[#This Row],[Total Score]],$DX$3:$DX$103)</f>
        <v>28</v>
      </c>
      <c r="DZ31" s="237" t="str">
        <f>IF(Table9[[#This Row],[Count of Blanks]]&lt;=2, "Yes", "No")</f>
        <v>Yes</v>
      </c>
      <c r="EA31" s="237">
        <f>COUNTBLANK(Table9[[#This Row],[Name]:[Total Score Rank]])</f>
        <v>2</v>
      </c>
      <c r="EB31" s="237"/>
    </row>
    <row r="32" spans="2:132" x14ac:dyDescent="0.25">
      <c r="B32" s="220">
        <v>75</v>
      </c>
      <c r="C32" s="221" t="s">
        <v>33</v>
      </c>
      <c r="D32" s="220" t="s">
        <v>76</v>
      </c>
      <c r="E32" s="220" t="s">
        <v>77</v>
      </c>
      <c r="F32" s="220" t="s">
        <v>93</v>
      </c>
      <c r="G32" s="220" t="s">
        <v>92</v>
      </c>
      <c r="H32" s="525" t="s">
        <v>410</v>
      </c>
      <c r="I32" s="70" t="s">
        <v>411</v>
      </c>
      <c r="J32" s="227" t="s">
        <v>412</v>
      </c>
      <c r="K32" s="220">
        <f>IFERROR(VLOOKUP(Table9[[#This Row],[Land Availability (Grade)​
(50%)]],'Detailed Rubric V3'!$B$8:$C$11,2), 0)</f>
        <v>4</v>
      </c>
      <c r="L32" s="220">
        <f>IFERROR(Table9[[#This Row],[Land Availability (Grade)​ Score]]*'Detailed Rubric V3'!$C$6, "")</f>
        <v>2</v>
      </c>
      <c r="M32" s="222">
        <v>150</v>
      </c>
      <c r="N32" s="222" cm="1">
        <f t="array" ref="N32">_xlfn.IFS(Table9[[#This Row],[Land Size (Acres)
(15%)]]&lt;100,0,Table9[[#This Row],[Land Size (Acres)
(15%)]]&gt;500,4,TRUE,2)</f>
        <v>2</v>
      </c>
      <c r="O32" s="222">
        <f>Table9[[#This Row],[Land Size (Acres) Score]]*'Detailed Rubric V3'!$G$6</f>
        <v>0.3</v>
      </c>
      <c r="P32" s="526"/>
      <c r="Q32" s="526">
        <f>IFERROR(Table9[[#This Row],[Site Filling Cost (Mn BDT)]]/Table9[[#This Row],[Land Size (Acres)
(15%)]],"")</f>
        <v>0</v>
      </c>
      <c r="R32" s="526" cm="1">
        <f t="array" ref="R32">IF(Table9[[#This Row],[Name]]="Sitakundo Economic Zone", 4, _xlfn.IFS(Table9[[#This Row],[Site Filling Cost (Mn BDT)]]="",0,Table9[[#This Row],[Land Suitability
(Cost of Land Filling in Million BDT per acre)
(25%)]]&gt;5,0,Table9[[#This Row],[Land Suitability
(Cost of Land Filling in Million BDT per acre)
(25%)]]&lt;2,4,TRUE,2))</f>
        <v>0</v>
      </c>
      <c r="S32" s="526">
        <f>Table9[[#This Row],[Land Suitability for Construction Score]]*'Detailed Rubric V3'!$J$6</f>
        <v>0</v>
      </c>
      <c r="T32" s="526"/>
      <c r="U32" s="526">
        <f>IFERROR(Table9[[#This Row],[Embankment/Dyke Cost (Mn BDT)]]/Table9[[#This Row],[Land Size (Acres)
(15%)]], 0)</f>
        <v>0</v>
      </c>
      <c r="V32" s="526" cm="1">
        <f t="array" ref="V32">IF(Table9[[#This Row],[Name]]="Sitakundo Economic Zone", 2, _xlfn.IFS(Table9[[#This Row],[Embankment/Dyke Cost (Mn BDT)]]="",0,Table9[[#This Row],[Cost of DRRI Infrastructure in million BDT per acre
(10%)]]&gt;5,0,Table9[[#This Row],[Cost of DRRI Infrastructure in million BDT per acre
(10%)]]&lt;2,4,TRUE,2))</f>
        <v>0</v>
      </c>
      <c r="W32" s="526">
        <f>Table9[[#This Row],[Requirement for Distaster Risk Reduction &amp; Resilience Infrastructure Score]]*'Detailed Rubric V3'!$M$6</f>
        <v>0</v>
      </c>
      <c r="X32"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0.45999999999999996</v>
      </c>
      <c r="Y32" s="227" t="s">
        <v>440</v>
      </c>
      <c r="Z32" s="210">
        <f>IFERROR(VLOOKUP(Table9[[#This Row],[Zone Priority
(40%)]],'Detailed Rubric V3'!$B$18:$C$21, 2,FALSE), 0)</f>
        <v>4</v>
      </c>
      <c r="AA32" s="210">
        <f>IFERROR(Table9[[#This Row],[Zone Priority Score]]*'Detailed Rubric V3'!$C$16, 0)</f>
        <v>0</v>
      </c>
      <c r="AB32" s="237" t="s">
        <v>441</v>
      </c>
      <c r="AC32" s="237">
        <f>VLOOKUP(Table9[[#This Row],[Existing BEZA Report
(60%)]],'Detailed Rubric V3'!$E$18:$F$20,2,FALSE)</f>
        <v>0</v>
      </c>
      <c r="AD32" s="237">
        <f>Table9[[#This Row],[Existing BEZA Report Score]]*'Detailed Rubric V3'!F$16</f>
        <v>0</v>
      </c>
      <c r="AE32" s="237">
        <f>(Table9[[#This Row],[Zone Priority Weighted Score]]+Table9[[#This Row],[Existing BEZA Report Weighted Score]])*'Detailed Rubric V3'!$C$14</f>
        <v>0</v>
      </c>
      <c r="AF32" s="528">
        <v>18</v>
      </c>
      <c r="AG32" s="529" cm="1">
        <f t="array" ref="AG32">_xlfn.IFS(Table9[[#This Row],[Existing Sectors
(50%)]]&gt;10, 4,Table9[[#This Row],[Existing Sectors
(50%)]]&lt;5, 0, TRUE, 2)</f>
        <v>4</v>
      </c>
      <c r="AH32" s="529">
        <f>Table9[[#This Row],[Existing Sectors Score]]*'Detailed Rubric V3'!$C$25</f>
        <v>2</v>
      </c>
      <c r="AI32" s="529">
        <v>18</v>
      </c>
      <c r="AJ32" s="529">
        <v>0</v>
      </c>
      <c r="AK32" s="529" cm="1">
        <f t="array" ref="AK32">_xlfn.IFS(Table9[[#This Row],[Potential New Sectors
(50%)]]&gt;5, 4, Table9[[#This Row],[Potential New Sectors
(50%)]]&lt;2,0, TRUE, 2)</f>
        <v>0</v>
      </c>
      <c r="AL32" s="529">
        <f>Table9[[#This Row],[Potential New Sectors Score]]*'Detailed Rubric V3'!$F$25</f>
        <v>0</v>
      </c>
      <c r="AM32" s="232">
        <f>(Table9[[#This Row],[Existing Sectors Weighted Score]]+Table9[[#This Row],[Potential New Sectors Weighted Score]])*'Detailed Rubric V3'!$C$23</f>
        <v>0.3</v>
      </c>
      <c r="AN32" s="530">
        <f>SUM(Table9[[#This Row],[1.1. Land Details (20% weightage)]],Table9[[#This Row],[1.2. BEZA Existing plans (15% weightage)]],Table9[[#This Row],[1.3. Sector Demand (15% weightage):]])</f>
        <v>0.76</v>
      </c>
      <c r="AO32" s="531">
        <f>_xlfn.RANK.EQ(Table9[[#This Row],[Level 1 Score]],$AN$3:$AN$103)</f>
        <v>36</v>
      </c>
      <c r="AP32" s="529">
        <v>6</v>
      </c>
      <c r="AQ32" s="529" cm="1">
        <f t="array" ref="AQ32">_xlfn.IFS(Table9[[#This Row],[National Highway Connectivity (km)
(15%)]]="", 0, Table9[[#This Row],[National Highway Connectivity (km)
(15%)]]&gt;50, 0, Table9[[#This Row],[National Highway Connectivity (km)
(15%)]]&lt;=25, 4, TRUE, 2)</f>
        <v>4</v>
      </c>
      <c r="AR32" s="529">
        <f>Table9[[#This Row],[National Highway Connectivity Score]]*'Detailed Rubric V3'!$C$35</f>
        <v>0.6</v>
      </c>
      <c r="AS32" s="529" t="s">
        <v>417</v>
      </c>
      <c r="AT32" s="529" cm="1">
        <f t="array" ref="AT32">_xlfn.IFS(Table9[[#This Row],[Connecting Road to Highway (km)
(15%)]]="", 0, Table9[[#This Row],[Connecting Road to Highway (km)
(15%)]]="Yes", 4, TRUE, 0)</f>
        <v>4</v>
      </c>
      <c r="AU32" s="529">
        <f>Table9[[#This Row],[Connecting Road to Highway Score]]*'Detailed Rubric V3'!$F$35</f>
        <v>0.6</v>
      </c>
      <c r="AV32" s="529">
        <v>220</v>
      </c>
      <c r="AW32" s="529" cm="1">
        <f t="array" ref="AW32">_xlfn.IFS(Table9[[#This Row],[Seaport Connectivity (km)
(30%)]]="",0, Table9[[#This Row],[Seaport Connectivity (km)
(30%)]]&gt;400, 0,Table9[[#This Row],[Seaport Connectivity (km)
(30%)]]&lt;=200,4, TRUE, 2)</f>
        <v>2</v>
      </c>
      <c r="AX32" s="529">
        <f>Table9[[#This Row],[Seaport Connectivity Score]]*'Detailed Rubric V3'!$I$35</f>
        <v>0.6</v>
      </c>
      <c r="AY32" s="529">
        <v>46</v>
      </c>
      <c r="AZ32" s="529" cm="1">
        <f t="array" ref="AZ32">_xlfn.IFS(Table9[[#This Row],[Airport Connectivity (km)
(10%)]]="", 0, Table9[[#This Row],[Airport Connectivity (km)
(10%)]]&gt;200, 0, Table9[[#This Row],[Airport Connectivity (km)
(10%)]]&lt;=100,4,TRUE, 2)</f>
        <v>4</v>
      </c>
      <c r="BA32" s="529">
        <f>Table9[[#This Row],[Airport Connectivity Score]]*'Detailed Rubric V3'!$C$41</f>
        <v>0.4</v>
      </c>
      <c r="BB32" s="529">
        <v>16</v>
      </c>
      <c r="BC32" s="529" cm="1">
        <f t="array" ref="BC32">_xlfn.IFS(Table9[[#This Row],[Railway Station (km)
(10%)]]="", 0, Table9[[#This Row],[Railway Station (km)
(10%)]]&gt;150, 0,Table9[[#This Row],[Railway Station (km)
(10%)]]&lt;=50,4, TRUE, 2)</f>
        <v>4</v>
      </c>
      <c r="BD32" s="529">
        <f>Table9[[#This Row],[Railway Station Score]]*'Detailed Rubric V3'!$F$41</f>
        <v>0.4</v>
      </c>
      <c r="BE32" s="529">
        <v>4.5</v>
      </c>
      <c r="BF32" s="529" cm="1">
        <f t="array" ref="BF32">_xlfn.IFS(Table9[[#This Row],[Inland waterway/ Land port (km)
(20%)]]="", 0, Table9[[#This Row],[Inland waterway/ Land port (km)
(20%)]]&gt;200, 0,Table9[[#This Row],[Inland waterway/ Land port (km)
(20%)]]&lt;=50,4, TRUE, 2)</f>
        <v>4</v>
      </c>
      <c r="BG32" s="529">
        <f>Table9[[#This Row],[Inland waterway/ Land port Score]]*'Detailed Rubric V3'!$I$41</f>
        <v>0.8</v>
      </c>
      <c r="BH32"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0.33999999999999997</v>
      </c>
      <c r="BI32" s="529">
        <v>18</v>
      </c>
      <c r="BJ32" s="529" cm="1">
        <f t="array" ref="BJ32">_xlfn.IFS(Table9[[#This Row],[Power Station (40%)]]="",0, Table9[[#This Row],[Power Station (40%)]]&gt;100, 0,Table9[[#This Row],[Power Station (40%)]]&lt;=50,4, TRUE, 2)</f>
        <v>4</v>
      </c>
      <c r="BK32" s="529">
        <f>Table9[[#This Row],[Power Station Score]]*'Detailed Rubric V3'!$C$53</f>
        <v>1.6</v>
      </c>
      <c r="BL32" s="529">
        <v>11</v>
      </c>
      <c r="BM32" s="529" cm="1">
        <f t="array" ref="BM32">IF(ISNUMBER(Table9[[#This Row],[Gas Station (20%)]]), _xlfn.IFS(Table9[[#This Row],[Gas Station (20%)]]="", 0, Table9[[#This Row],[Gas Station (20%)]]&gt;100, 0,Table9[[#This Row],[Gas Station (20%)]]&lt;=50,4, TRUE, 2), 0)</f>
        <v>4</v>
      </c>
      <c r="BN32" s="529">
        <f>Table9[[#This Row],[Gas Station Score]]*'Detailed Rubric V3'!$F$53</f>
        <v>0.8</v>
      </c>
      <c r="BO32" s="529">
        <v>1</v>
      </c>
      <c r="BP32" s="529" cm="1">
        <f t="array" ref="BP32">IF(ISNUMBER(Table9[[#This Row],[Source of Surface Water (40%)]]), _xlfn.IFS(Table9[[#This Row],[Source of Surface Water (40%)]]="", 0, Table9[[#This Row],[Source of Surface Water (40%)]]&gt;50, 0,Table9[[#This Row],[Source of Surface Water (40%)]]&lt;=20,4, TRUE, 2), 0)</f>
        <v>4</v>
      </c>
      <c r="BQ32" s="529">
        <f>Table9[[#This Row],[Source of Surface Water Score]]*'Detailed Rubric V3'!$I$53</f>
        <v>1.6</v>
      </c>
      <c r="BR32" s="529">
        <f>SUM(Table9[[#This Row],[Power Station Weighted Score]],Table9[[#This Row],[Gas Station Weighted Score]],Table9[[#This Row],[Source of Surface Water Weighted Score]])*'Detailed Rubric V3'!$C$51</f>
        <v>0.48</v>
      </c>
      <c r="BS32" s="529" t="s">
        <v>417</v>
      </c>
      <c r="BT32" s="529" cm="1">
        <f t="array" ref="BT32">_xlfn.IFS(Table9[[#This Row],[Other BEZA EZ (20%)]]="", 0, Table9[[#This Row],[Other BEZA EZ (20%)]]="Yes", 4, TRUE, 0)</f>
        <v>4</v>
      </c>
      <c r="BU32" s="529">
        <f>Table9[[#This Row],[Other BEZA EZ Score]]*'Detailed Rubric V3'!$C$66</f>
        <v>0.8</v>
      </c>
      <c r="BV32" s="529" t="s">
        <v>417</v>
      </c>
      <c r="BW32" s="529" cm="1">
        <f t="array" ref="BW32">_xlfn.IFS(Table9[[#This Row],[BEPZA/ BHPTA/ BSCIC (20%)]]="", 0, Table9[[#This Row],[BEPZA/ BHPTA/ BSCIC (20%)]]="Yes", 4, TRUE, 0)</f>
        <v>4</v>
      </c>
      <c r="BX32" s="529">
        <f>Table9[[#This Row],[BEPZA/ BHPTA/ BSCIC Score]]*'Detailed Rubric V3'!$F$66</f>
        <v>0.8</v>
      </c>
      <c r="BY32" s="529">
        <v>606</v>
      </c>
      <c r="BZ32" s="529" cm="1">
        <f t="array" ref="BZ32">_xlfn.IFS(Table9[[#This Row],[Cluster Industries (from SMI) (20%)]]="", 0, Table9[[#This Row],[Cluster Industries (from SMI) (20%)]]&gt;100, 4, Table9[[#This Row],[Cluster Industries (from SMI) (20%)]]&lt;50, 0, TRUE, 2)</f>
        <v>4</v>
      </c>
      <c r="CA32" s="529">
        <f>Table9[[#This Row],[Cluster Industries (from SMI) Score]]*'Detailed Rubric V3'!$I$66</f>
        <v>0.8</v>
      </c>
      <c r="CB32" s="529" t="s">
        <v>417</v>
      </c>
      <c r="CC32" s="529" cm="1">
        <f t="array" ref="CC32">_xlfn.IFS(Table9[[#This Row],[Located on Industrial corridor (40%)]]="", 0, Table9[[#This Row],[Located on Industrial corridor (40%)]]="Yes", 4, TRUE, 0)</f>
        <v>4</v>
      </c>
      <c r="CD32" s="529">
        <f>Table9[[#This Row],[Located on Industrial corridor Score]]*'Detailed Rubric V3'!$L$66</f>
        <v>1.6</v>
      </c>
      <c r="CE32" s="529">
        <f>SUM(Table9[[#This Row],[Other BEZA EZ Weighted Score]],Table9[[#This Row],[BEPZA/ BHPTA/ BSCIC Weighted Score]],Table9[[#This Row],[Unorganized (from SMI) Weighted Score]],Table9[[#This Row],[Located on Industrial corridor Weighted Score]])*'Detailed Rubric V3'!$C$64</f>
        <v>0.4</v>
      </c>
      <c r="CF32" s="529" t="s">
        <v>418</v>
      </c>
      <c r="CG32" s="529" cm="1">
        <f t="array" ref="CG32">_xlfn.IFS(Table9[[#This Row],[Economic/ Social priority (laggered area) (100%)]]="", 0, Table9[[#This Row],[Economic/ Social priority (laggered area) (100%)]]="Yes", 4, TRUE, 0)</f>
        <v>0</v>
      </c>
      <c r="CH32" s="529">
        <f>Table9[[#This Row],[Economic/ Social priority (laggered area) Score]]*'Detailed Rubric V3'!$C$82</f>
        <v>0</v>
      </c>
      <c r="CI32" s="529" t="s">
        <v>418</v>
      </c>
      <c r="CJ32" s="529" cm="1">
        <f t="array" ref="CJ32">_xlfn.IFS(Table9[[#This Row],[Regional Tax incentive  (0%)]]="", 0, Table9[[#This Row],[Regional Tax incentive  (0%)]]="Yes", 4, TRUE, 0)</f>
        <v>0</v>
      </c>
      <c r="CK32" s="529">
        <f>Table9[[#This Row],[Regional Tax incentive Score]]*'Detailed Rubric V3'!$F$82</f>
        <v>0</v>
      </c>
      <c r="CL32" s="529">
        <f>SUM(Table9[[#This Row],[Economic/ Social priority (laagered area) Weighted Score]],Table9[[#This Row],[Regional Tax incentive  Weighted Score]])*'Detailed Rubric V3'!$C$80</f>
        <v>0</v>
      </c>
      <c r="CM32" s="529">
        <v>861792</v>
      </c>
      <c r="CN32" s="529" cm="1">
        <f t="array" ref="CN32">_xlfn.IFS(Table9[[#This Row],[Employable population (40%) 2013]]="", 0, Table9[[#This Row],[Employable population (40%) 2013]]&gt;200000, 4, Table9[[#This Row],[Employable population (40%) 2013]]&lt;100000,0, TRUE, 2)</f>
        <v>4</v>
      </c>
      <c r="CO32" s="529">
        <f>Table9[[#This Row],[Employable population Score]]*'Detailed Rubric V3'!$C$92</f>
        <v>1.6</v>
      </c>
      <c r="CP32" s="529">
        <v>26</v>
      </c>
      <c r="CQ32" s="529" cm="1">
        <f t="array" ref="CQ32">_xlfn.IFS(Table9[[#This Row],[Housing (20%)]]="", 0, Table9[[#This Row],[Housing (20%)]]&gt;50, 0, Table9[[#This Row],[Housing (20%)]]&lt;25, 4, TRUE, 2)</f>
        <v>2</v>
      </c>
      <c r="CR32" s="529">
        <f>Table9[[#This Row],[Housing Score]]*'Detailed Rubric V3'!$F$92</f>
        <v>0.4</v>
      </c>
      <c r="CS32" s="529">
        <v>218</v>
      </c>
      <c r="CT32" s="529" cm="1">
        <f t="array" ref="CT32">_xlfn.IFS(Table9[[#This Row],[Hotels (10%)]]="", 0, Table9[[#This Row],[Hotels (10%)]]&gt;25, 4, Table9[[#This Row],[Hotels (10%)]]&lt;5, 0, TRUE, 2)</f>
        <v>4</v>
      </c>
      <c r="CU32" s="529">
        <f>Table9[[#This Row],[Hotels Score]]*'Detailed Rubric V3'!$I$92</f>
        <v>0.4</v>
      </c>
      <c r="CV32" s="529">
        <v>144</v>
      </c>
      <c r="CW32" s="529" cm="1">
        <f t="array" ref="CW32">_xlfn.IFS(Table9[[#This Row],[Health (Hospital) (15%)]]="", 0, Table9[[#This Row],[Health (Hospital) (15%)]]&gt;10, 4, Table9[[#This Row],[Health (Hospital) (15%)]]&lt;5, 0, TRUE, 2)</f>
        <v>4</v>
      </c>
      <c r="CX32" s="529">
        <f>Table9[[#This Row],[Health (Hospital) Score]]*'Detailed Rubric V3'!$L$92</f>
        <v>0.6</v>
      </c>
      <c r="CY32" s="529">
        <v>78</v>
      </c>
      <c r="CZ32" s="529" cm="1">
        <f t="array" ref="CZ32">_xlfn.IFS(Table9[[#This Row],[University/ Technical &amp; Vocational Institutions (15%)]]="", 0, Table9[[#This Row],[University/ Technical &amp; Vocational Institutions (15%)]]&gt;3, 4, Table9[[#This Row],[University/ Technical &amp; Vocational Institutions (15%)]]&lt;1, 0, TRUE, 2)</f>
        <v>4</v>
      </c>
      <c r="DA32" s="529">
        <f>Table9[[#This Row],[University/ Technical &amp; Vocational Institutions Score]]*'Detailed Rubric V3'!$O$92</f>
        <v>0.6</v>
      </c>
      <c r="DB32" s="529">
        <f>SUM(Table9[[#This Row],[Employable population Weighted Score]],Table9[[#This Row],[Housing Weighted Score]],Table9[[#This Row],[Hotels Weighted Score]],Table9[[#This Row],[Health (Hospital) Weighted Score]],Table9[[#This Row],[University/ Technical &amp; Vocational Institutions Weighted Score]])*'Detailed Rubric V3'!$C$90</f>
        <v>0.28800000000000003</v>
      </c>
      <c r="DC32" s="529" t="s">
        <v>418</v>
      </c>
      <c r="DD32" s="529" cm="1">
        <f t="array" ref="DD32">_xlfn.IFS(Table9[[#This Row],[Environment compliance (30%)]]="", 0, Table9[[#This Row],[Environment compliance (30%)]]="Yes", 4, TRUE, 0)</f>
        <v>0</v>
      </c>
      <c r="DE32" s="529">
        <f>Table9[[#This Row],[Environment compliance Score]]*'Detailed Rubric V3'!$C$104</f>
        <v>0</v>
      </c>
      <c r="DF32" s="529" t="s">
        <v>421</v>
      </c>
      <c r="DG32" s="529" cm="1">
        <f t="array" ref="DG32">_xlfn.IFS(Table9[[#This Row],[Flood Risk Index (30%)]]="", 0, Table9[[#This Row],[Flood Risk Index (30%)]]="Very Low", 4, Table9[[#This Row],[Flood Risk Index (30%)]]="Moderate &amp; Low", 2, TRUE, 0)</f>
        <v>0</v>
      </c>
      <c r="DH32" s="529">
        <f>Table9[[#This Row],[Flood Risk Index Score]]*'Detailed Rubric V3'!$F$104</f>
        <v>0</v>
      </c>
      <c r="DI32" s="529" t="s">
        <v>421</v>
      </c>
      <c r="DJ32" s="529" cm="1">
        <f t="array" ref="DJ32">_xlfn.IFS(Table9[[#This Row],[Earth Quake Risk Index (10%)]]="", 0, Table9[[#This Row],[Earth Quake Risk Index (10%)]]="Very Low", 4, Table9[[#This Row],[Earth Quake Risk Index (10%)]]="Moderate &amp; Low", 2, TRUE, 0)</f>
        <v>0</v>
      </c>
      <c r="DK32" s="529">
        <f>Table9[[#This Row],[Earth Quake Risk Index Score]]*'Detailed Rubric V3'!$I$104</f>
        <v>0</v>
      </c>
      <c r="DL32" s="529" t="s">
        <v>428</v>
      </c>
      <c r="DM32" s="529" cm="1">
        <f t="array" ref="DM32">_xlfn.IFS(Table9[[#This Row],[Sea Level Rise Risk Index (10%)]]="", 0, Table9[[#This Row],[Sea Level Rise Risk Index (10%)]]="Very Low", 4, Table9[[#This Row],[Sea Level Rise Risk Index (10%)]]="Moderate &amp; Low", 2, TRUE, 0)</f>
        <v>4</v>
      </c>
      <c r="DN32" s="529">
        <f>Table9[[#This Row],[Sea Level Rise  Risk Index Score]]*'Detailed Rubric V3'!$L$104</f>
        <v>0.4</v>
      </c>
      <c r="DO32" s="529" t="s">
        <v>420</v>
      </c>
      <c r="DP32" s="529" cm="1">
        <f t="array" ref="DP32">_xlfn.IFS(Table9[[#This Row],[Cyclone Risk Index (10%)]]="", 0, Table9[[#This Row],[Cyclone Risk Index (10%)]]="Very Low", 4, Table9[[#This Row],[Cyclone Risk Index (10%)]]="Moderate &amp; Low", 2, TRUE, 0)</f>
        <v>0</v>
      </c>
      <c r="DQ32" s="529">
        <f>Table9[[#This Row],[Cyclone Risk Index Score]]*'Detailed Rubric V3'!$O$104</f>
        <v>0</v>
      </c>
      <c r="DR32" s="529" t="s">
        <v>428</v>
      </c>
      <c r="DS32" s="529" cm="1">
        <f t="array" ref="DS32">_xlfn.IFS(Table9[[#This Row],[Storm Surge Risk Index (10%)]]="", 0, Table9[[#This Row],[Storm Surge Risk Index (10%)]]="Very Low", 4, Table9[[#This Row],[Storm Surge Risk Index (10%)]]="Moderate &amp; Low", 2, TRUE, 0)</f>
        <v>4</v>
      </c>
      <c r="DT32" s="529">
        <f>Table9[[#This Row],[Storm Surge Risk Index Score]]*'Detailed Rubric V3'!$R$104</f>
        <v>0.4</v>
      </c>
      <c r="DU32"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4.8000000000000001E-2</v>
      </c>
      <c r="DV32" s="533">
        <f>SUM(Table9[[#This Row],[2.1. Connectivity/ Logistics (10% weightage)]],Table9[[#This Row],[2.2. Utility (12% weightage)]],Table9[[#This Row],[2.3. Agglomeration effects (10% weightage)]],Table9[[#This Row],[2.4. Regional Policy (4% weightage)]],Table9[[#This Row],[2.5. Social (8% weightage)]],Table9[[#This Row],[2.6. Environment (6% weightage)]])</f>
        <v>1.556</v>
      </c>
      <c r="DW32" s="232">
        <f>_xlfn.RANK.EQ(Table9[[#This Row],[Level 2 Score]],$DV$3:$DV$103)</f>
        <v>24</v>
      </c>
      <c r="DX32" s="533">
        <f>Table9[[#This Row],[Level 1 Score]]+Table9[[#This Row],[Level 2 Score]]</f>
        <v>2.3159999999999998</v>
      </c>
      <c r="DY32" s="308">
        <f>_xlfn.RANK.EQ(Table9[[#This Row],[Total Score]],$DX$3:$DX$103)</f>
        <v>30</v>
      </c>
      <c r="DZ32" s="237" t="str">
        <f>IF(Table9[[#This Row],[Count of Blanks]]&lt;=2, "Yes", "No")</f>
        <v>Yes</v>
      </c>
      <c r="EA32" s="237">
        <f>COUNTBLANK(Table9[[#This Row],[Name]:[Total Score Rank]])</f>
        <v>2</v>
      </c>
      <c r="EB32" s="237"/>
    </row>
    <row r="33" spans="2:132" ht="27" x14ac:dyDescent="0.25">
      <c r="B33" s="220">
        <v>85</v>
      </c>
      <c r="C33" s="221" t="s">
        <v>34</v>
      </c>
      <c r="D33" s="220" t="s">
        <v>76</v>
      </c>
      <c r="E33" s="220" t="s">
        <v>76</v>
      </c>
      <c r="F33" s="220" t="s">
        <v>87</v>
      </c>
      <c r="G33" s="220" t="s">
        <v>92</v>
      </c>
      <c r="H33" s="525" t="s">
        <v>410</v>
      </c>
      <c r="I33" s="70" t="s">
        <v>411</v>
      </c>
      <c r="J33" s="227" t="s">
        <v>412</v>
      </c>
      <c r="K33" s="220">
        <f>IFERROR(VLOOKUP(Table9[[#This Row],[Land Availability (Grade)​
(50%)]],'Detailed Rubric V3'!$B$8:$C$11,2), 0)</f>
        <v>4</v>
      </c>
      <c r="L33" s="220">
        <f>IFERROR(Table9[[#This Row],[Land Availability (Grade)​ Score]]*'Detailed Rubric V3'!$C$6, "")</f>
        <v>2</v>
      </c>
      <c r="M33" s="222">
        <v>53.872700000000002</v>
      </c>
      <c r="N33" s="222" cm="1">
        <f t="array" ref="N33">_xlfn.IFS(Table9[[#This Row],[Land Size (Acres)
(15%)]]&lt;100,0,Table9[[#This Row],[Land Size (Acres)
(15%)]]&gt;500,4,TRUE,2)</f>
        <v>0</v>
      </c>
      <c r="O33" s="222">
        <f>Table9[[#This Row],[Land Size (Acres) Score]]*'Detailed Rubric V3'!$G$6</f>
        <v>0</v>
      </c>
      <c r="P33" s="526"/>
      <c r="Q33" s="526">
        <f>IFERROR(Table9[[#This Row],[Site Filling Cost (Mn BDT)]]/Table9[[#This Row],[Land Size (Acres)
(15%)]],"")</f>
        <v>0</v>
      </c>
      <c r="R33" s="526" cm="1">
        <f t="array" ref="R33">IF(Table9[[#This Row],[Name]]="Sitakundo Economic Zone", 4, _xlfn.IFS(Table9[[#This Row],[Site Filling Cost (Mn BDT)]]="",0,Table9[[#This Row],[Land Suitability
(Cost of Land Filling in Million BDT per acre)
(25%)]]&gt;5,0,Table9[[#This Row],[Land Suitability
(Cost of Land Filling in Million BDT per acre)
(25%)]]&lt;2,4,TRUE,2))</f>
        <v>0</v>
      </c>
      <c r="S33" s="526">
        <f>Table9[[#This Row],[Land Suitability for Construction Score]]*'Detailed Rubric V3'!$J$6</f>
        <v>0</v>
      </c>
      <c r="T33" s="526"/>
      <c r="U33" s="526">
        <f>IFERROR(Table9[[#This Row],[Embankment/Dyke Cost (Mn BDT)]]/Table9[[#This Row],[Land Size (Acres)
(15%)]], 0)</f>
        <v>0</v>
      </c>
      <c r="V33" s="526" cm="1">
        <f t="array" ref="V33">IF(Table9[[#This Row],[Name]]="Sitakundo Economic Zone", 2, _xlfn.IFS(Table9[[#This Row],[Embankment/Dyke Cost (Mn BDT)]]="",0,Table9[[#This Row],[Cost of DRRI Infrastructure in million BDT per acre
(10%)]]&gt;5,0,Table9[[#This Row],[Cost of DRRI Infrastructure in million BDT per acre
(10%)]]&lt;2,4,TRUE,2))</f>
        <v>0</v>
      </c>
      <c r="W33" s="526">
        <f>Table9[[#This Row],[Requirement for Distaster Risk Reduction &amp; Resilience Infrastructure Score]]*'Detailed Rubric V3'!$M$6</f>
        <v>0</v>
      </c>
      <c r="X33"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v>
      </c>
      <c r="Y33" s="227" t="s">
        <v>440</v>
      </c>
      <c r="Z33" s="210">
        <f>IFERROR(VLOOKUP(Table9[[#This Row],[Zone Priority
(40%)]],'Detailed Rubric V3'!$B$18:$C$21, 2,FALSE), 0)</f>
        <v>4</v>
      </c>
      <c r="AA33" s="210">
        <f>IFERROR(Table9[[#This Row],[Zone Priority Score]]*'Detailed Rubric V3'!$C$16, 0)</f>
        <v>0</v>
      </c>
      <c r="AB33" s="237" t="s">
        <v>441</v>
      </c>
      <c r="AC33" s="237">
        <f>VLOOKUP(Table9[[#This Row],[Existing BEZA Report
(60%)]],'Detailed Rubric V3'!$E$18:$F$20,2,FALSE)</f>
        <v>0</v>
      </c>
      <c r="AD33" s="237">
        <f>Table9[[#This Row],[Existing BEZA Report Score]]*'Detailed Rubric V3'!F$16</f>
        <v>0</v>
      </c>
      <c r="AE33" s="237">
        <f>(Table9[[#This Row],[Zone Priority Weighted Score]]+Table9[[#This Row],[Existing BEZA Report Weighted Score]])*'Detailed Rubric V3'!$C$14</f>
        <v>0</v>
      </c>
      <c r="AF33" s="528">
        <v>15</v>
      </c>
      <c r="AG33" s="529" cm="1">
        <f t="array" ref="AG33">_xlfn.IFS(Table9[[#This Row],[Existing Sectors
(50%)]]&gt;10, 4,Table9[[#This Row],[Existing Sectors
(50%)]]&lt;5, 0, TRUE, 2)</f>
        <v>4</v>
      </c>
      <c r="AH33" s="529">
        <f>Table9[[#This Row],[Existing Sectors Score]]*'Detailed Rubric V3'!$C$25</f>
        <v>2</v>
      </c>
      <c r="AI33" s="529">
        <v>15</v>
      </c>
      <c r="AJ33" s="529">
        <v>0</v>
      </c>
      <c r="AK33" s="529" cm="1">
        <f t="array" ref="AK33">_xlfn.IFS(Table9[[#This Row],[Potential New Sectors
(50%)]]&gt;5, 4, Table9[[#This Row],[Potential New Sectors
(50%)]]&lt;2,0, TRUE, 2)</f>
        <v>0</v>
      </c>
      <c r="AL33" s="529">
        <f>Table9[[#This Row],[Potential New Sectors Score]]*'Detailed Rubric V3'!$F$25</f>
        <v>0</v>
      </c>
      <c r="AM33" s="232">
        <f>(Table9[[#This Row],[Existing Sectors Weighted Score]]+Table9[[#This Row],[Potential New Sectors Weighted Score]])*'Detailed Rubric V3'!$C$23</f>
        <v>0.3</v>
      </c>
      <c r="AN33" s="530">
        <f>SUM(Table9[[#This Row],[1.1. Land Details (20% weightage)]],Table9[[#This Row],[1.2. BEZA Existing plans (15% weightage)]],Table9[[#This Row],[1.3. Sector Demand (15% weightage):]])</f>
        <v>0.7</v>
      </c>
      <c r="AO33" s="531">
        <f>_xlfn.RANK.EQ(Table9[[#This Row],[Level 1 Score]],$AN$3:$AN$103)</f>
        <v>41</v>
      </c>
      <c r="AP33" s="529">
        <v>4</v>
      </c>
      <c r="AQ33" s="529" cm="1">
        <f t="array" ref="AQ33">_xlfn.IFS(Table9[[#This Row],[National Highway Connectivity (km)
(15%)]]="", 0, Table9[[#This Row],[National Highway Connectivity (km)
(15%)]]&gt;50, 0, Table9[[#This Row],[National Highway Connectivity (km)
(15%)]]&lt;=25, 4, TRUE, 2)</f>
        <v>4</v>
      </c>
      <c r="AR33" s="529">
        <f>Table9[[#This Row],[National Highway Connectivity Score]]*'Detailed Rubric V3'!$C$35</f>
        <v>0.6</v>
      </c>
      <c r="AS33" s="529" t="s">
        <v>417</v>
      </c>
      <c r="AT33" s="529" cm="1">
        <f t="array" ref="AT33">_xlfn.IFS(Table9[[#This Row],[Connecting Road to Highway (km)
(15%)]]="", 0, Table9[[#This Row],[Connecting Road to Highway (km)
(15%)]]="Yes", 4, TRUE, 0)</f>
        <v>4</v>
      </c>
      <c r="AU33" s="529">
        <f>Table9[[#This Row],[Connecting Road to Highway Score]]*'Detailed Rubric V3'!$F$35</f>
        <v>0.6</v>
      </c>
      <c r="AV33" s="529">
        <v>248</v>
      </c>
      <c r="AW33" s="529" cm="1">
        <f t="array" ref="AW33">_xlfn.IFS(Table9[[#This Row],[Seaport Connectivity (km)
(30%)]]="",0, Table9[[#This Row],[Seaport Connectivity (km)
(30%)]]&gt;400, 0,Table9[[#This Row],[Seaport Connectivity (km)
(30%)]]&lt;=200,4, TRUE, 2)</f>
        <v>2</v>
      </c>
      <c r="AX33" s="529">
        <f>Table9[[#This Row],[Seaport Connectivity Score]]*'Detailed Rubric V3'!$I$35</f>
        <v>0.6</v>
      </c>
      <c r="AY33" s="529">
        <v>22</v>
      </c>
      <c r="AZ33" s="529" cm="1">
        <f t="array" ref="AZ33">_xlfn.IFS(Table9[[#This Row],[Airport Connectivity (km)
(10%)]]="", 0, Table9[[#This Row],[Airport Connectivity (km)
(10%)]]&gt;200, 0, Table9[[#This Row],[Airport Connectivity (km)
(10%)]]&lt;=100,4,TRUE, 2)</f>
        <v>4</v>
      </c>
      <c r="BA33" s="529">
        <f>Table9[[#This Row],[Airport Connectivity Score]]*'Detailed Rubric V3'!$C$41</f>
        <v>0.4</v>
      </c>
      <c r="BB33" s="529">
        <v>7</v>
      </c>
      <c r="BC33" s="529" cm="1">
        <f t="array" ref="BC33">_xlfn.IFS(Table9[[#This Row],[Railway Station (km)
(10%)]]="", 0, Table9[[#This Row],[Railway Station (km)
(10%)]]&gt;150, 0,Table9[[#This Row],[Railway Station (km)
(10%)]]&lt;=50,4, TRUE, 2)</f>
        <v>4</v>
      </c>
      <c r="BD33" s="529">
        <f>Table9[[#This Row],[Railway Station Score]]*'Detailed Rubric V3'!$F$41</f>
        <v>0.4</v>
      </c>
      <c r="BE33" s="529">
        <v>33</v>
      </c>
      <c r="BF33" s="529" cm="1">
        <f t="array" ref="BF33">_xlfn.IFS(Table9[[#This Row],[Inland waterway/ Land port (km)
(20%)]]="", 0, Table9[[#This Row],[Inland waterway/ Land port (km)
(20%)]]&gt;200, 0,Table9[[#This Row],[Inland waterway/ Land port (km)
(20%)]]&lt;=50,4, TRUE, 2)</f>
        <v>4</v>
      </c>
      <c r="BG33" s="529">
        <f>Table9[[#This Row],[Inland waterway/ Land port Score]]*'Detailed Rubric V3'!$I$41</f>
        <v>0.8</v>
      </c>
      <c r="BH33"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0.33999999999999997</v>
      </c>
      <c r="BI33" s="529">
        <v>12</v>
      </c>
      <c r="BJ33" s="529" cm="1">
        <f t="array" ref="BJ33">_xlfn.IFS(Table9[[#This Row],[Power Station (40%)]]="",0, Table9[[#This Row],[Power Station (40%)]]&gt;100, 0,Table9[[#This Row],[Power Station (40%)]]&lt;=50,4, TRUE, 2)</f>
        <v>4</v>
      </c>
      <c r="BK33" s="529">
        <f>Table9[[#This Row],[Power Station Score]]*'Detailed Rubric V3'!$C$53</f>
        <v>1.6</v>
      </c>
      <c r="BL33" s="529">
        <v>5</v>
      </c>
      <c r="BM33" s="529" cm="1">
        <f t="array" ref="BM33">IF(ISNUMBER(Table9[[#This Row],[Gas Station (20%)]]), _xlfn.IFS(Table9[[#This Row],[Gas Station (20%)]]="", 0, Table9[[#This Row],[Gas Station (20%)]]&gt;100, 0,Table9[[#This Row],[Gas Station (20%)]]&lt;=50,4, TRUE, 2), 0)</f>
        <v>4</v>
      </c>
      <c r="BN33" s="529">
        <f>Table9[[#This Row],[Gas Station Score]]*'Detailed Rubric V3'!$F$53</f>
        <v>0.8</v>
      </c>
      <c r="BO33" s="529">
        <v>1</v>
      </c>
      <c r="BP33" s="529" cm="1">
        <f t="array" ref="BP33">IF(ISNUMBER(Table9[[#This Row],[Source of Surface Water (40%)]]), _xlfn.IFS(Table9[[#This Row],[Source of Surface Water (40%)]]="", 0, Table9[[#This Row],[Source of Surface Water (40%)]]&gt;50, 0,Table9[[#This Row],[Source of Surface Water (40%)]]&lt;=20,4, TRUE, 2), 0)</f>
        <v>4</v>
      </c>
      <c r="BQ33" s="529">
        <f>Table9[[#This Row],[Source of Surface Water Score]]*'Detailed Rubric V3'!$I$53</f>
        <v>1.6</v>
      </c>
      <c r="BR33" s="529">
        <f>SUM(Table9[[#This Row],[Power Station Weighted Score]],Table9[[#This Row],[Gas Station Weighted Score]],Table9[[#This Row],[Source of Surface Water Weighted Score]])*'Detailed Rubric V3'!$C$51</f>
        <v>0.48</v>
      </c>
      <c r="BS33" s="529" t="s">
        <v>417</v>
      </c>
      <c r="BT33" s="529" cm="1">
        <f t="array" ref="BT33">_xlfn.IFS(Table9[[#This Row],[Other BEZA EZ (20%)]]="", 0, Table9[[#This Row],[Other BEZA EZ (20%)]]="Yes", 4, TRUE, 0)</f>
        <v>4</v>
      </c>
      <c r="BU33" s="529">
        <f>Table9[[#This Row],[Other BEZA EZ Score]]*'Detailed Rubric V3'!$C$66</f>
        <v>0.8</v>
      </c>
      <c r="BV33" s="529" t="s">
        <v>417</v>
      </c>
      <c r="BW33" s="529" cm="1">
        <f t="array" ref="BW33">_xlfn.IFS(Table9[[#This Row],[BEPZA/ BHPTA/ BSCIC (20%)]]="", 0, Table9[[#This Row],[BEPZA/ BHPTA/ BSCIC (20%)]]="Yes", 4, TRUE, 0)</f>
        <v>4</v>
      </c>
      <c r="BX33" s="529">
        <f>Table9[[#This Row],[BEPZA/ BHPTA/ BSCIC Score]]*'Detailed Rubric V3'!$F$66</f>
        <v>0.8</v>
      </c>
      <c r="BY33" s="529">
        <v>1718</v>
      </c>
      <c r="BZ33" s="529" cm="1">
        <f t="array" ref="BZ33">_xlfn.IFS(Table9[[#This Row],[Cluster Industries (from SMI) (20%)]]="", 0, Table9[[#This Row],[Cluster Industries (from SMI) (20%)]]&gt;100, 4, Table9[[#This Row],[Cluster Industries (from SMI) (20%)]]&lt;50, 0, TRUE, 2)</f>
        <v>4</v>
      </c>
      <c r="CA33" s="529">
        <f>Table9[[#This Row],[Cluster Industries (from SMI) Score]]*'Detailed Rubric V3'!$I$66</f>
        <v>0.8</v>
      </c>
      <c r="CB33" s="529" t="s">
        <v>417</v>
      </c>
      <c r="CC33" s="529" cm="1">
        <f t="array" ref="CC33">_xlfn.IFS(Table9[[#This Row],[Located on Industrial corridor (40%)]]="", 0, Table9[[#This Row],[Located on Industrial corridor (40%)]]="Yes", 4, TRUE, 0)</f>
        <v>4</v>
      </c>
      <c r="CD33" s="529">
        <f>Table9[[#This Row],[Located on Industrial corridor Score]]*'Detailed Rubric V3'!$L$66</f>
        <v>1.6</v>
      </c>
      <c r="CE33" s="529">
        <f>SUM(Table9[[#This Row],[Other BEZA EZ Weighted Score]],Table9[[#This Row],[BEPZA/ BHPTA/ BSCIC Weighted Score]],Table9[[#This Row],[Unorganized (from SMI) Weighted Score]],Table9[[#This Row],[Located on Industrial corridor Weighted Score]])*'Detailed Rubric V3'!$C$64</f>
        <v>0.4</v>
      </c>
      <c r="CF33" s="529" t="s">
        <v>418</v>
      </c>
      <c r="CG33" s="529" cm="1">
        <f t="array" ref="CG33">_xlfn.IFS(Table9[[#This Row],[Economic/ Social priority (laggered area) (100%)]]="", 0, Table9[[#This Row],[Economic/ Social priority (laggered area) (100%)]]="Yes", 4, TRUE, 0)</f>
        <v>0</v>
      </c>
      <c r="CH33" s="529">
        <f>Table9[[#This Row],[Economic/ Social priority (laggered area) Score]]*'Detailed Rubric V3'!$C$82</f>
        <v>0</v>
      </c>
      <c r="CI33" s="529" t="s">
        <v>418</v>
      </c>
      <c r="CJ33" s="529" cm="1">
        <f t="array" ref="CJ33">_xlfn.IFS(Table9[[#This Row],[Regional Tax incentive  (0%)]]="", 0, Table9[[#This Row],[Regional Tax incentive  (0%)]]="Yes", 4, TRUE, 0)</f>
        <v>0</v>
      </c>
      <c r="CK33" s="529">
        <f>Table9[[#This Row],[Regional Tax incentive Score]]*'Detailed Rubric V3'!$F$82</f>
        <v>0</v>
      </c>
      <c r="CL33" s="529">
        <f>SUM(Table9[[#This Row],[Economic/ Social priority (laagered area) Weighted Score]],Table9[[#This Row],[Regional Tax incentive  Weighted Score]])*'Detailed Rubric V3'!$C$80</f>
        <v>0</v>
      </c>
      <c r="CM33" s="529">
        <v>3683456</v>
      </c>
      <c r="CN33" s="529" cm="1">
        <f t="array" ref="CN33">_xlfn.IFS(Table9[[#This Row],[Employable population (40%) 2013]]="", 0, Table9[[#This Row],[Employable population (40%) 2013]]&gt;200000, 4, Table9[[#This Row],[Employable population (40%) 2013]]&lt;100000,0, TRUE, 2)</f>
        <v>4</v>
      </c>
      <c r="CO33" s="529">
        <f>Table9[[#This Row],[Employable population Score]]*'Detailed Rubric V3'!$C$92</f>
        <v>1.6</v>
      </c>
      <c r="CP33" s="529">
        <v>27</v>
      </c>
      <c r="CQ33" s="529" cm="1">
        <f t="array" ref="CQ33">_xlfn.IFS(Table9[[#This Row],[Housing (20%)]]="", 0, Table9[[#This Row],[Housing (20%)]]&gt;50, 0, Table9[[#This Row],[Housing (20%)]]&lt;25, 4, TRUE, 2)</f>
        <v>2</v>
      </c>
      <c r="CR33" s="529">
        <f>Table9[[#This Row],[Housing Score]]*'Detailed Rubric V3'!$F$92</f>
        <v>0.4</v>
      </c>
      <c r="CS33" s="529">
        <v>329</v>
      </c>
      <c r="CT33" s="529" cm="1">
        <f t="array" ref="CT33">_xlfn.IFS(Table9[[#This Row],[Hotels (10%)]]="", 0, Table9[[#This Row],[Hotels (10%)]]&gt;25, 4, Table9[[#This Row],[Hotels (10%)]]&lt;5, 0, TRUE, 2)</f>
        <v>4</v>
      </c>
      <c r="CU33" s="529">
        <f>Table9[[#This Row],[Hotels Score]]*'Detailed Rubric V3'!$I$92</f>
        <v>0.4</v>
      </c>
      <c r="CV33" s="529">
        <v>900</v>
      </c>
      <c r="CW33" s="529" cm="1">
        <f t="array" ref="CW33">_xlfn.IFS(Table9[[#This Row],[Health (Hospital) (15%)]]="", 0, Table9[[#This Row],[Health (Hospital) (15%)]]&gt;10, 4, Table9[[#This Row],[Health (Hospital) (15%)]]&lt;5, 0, TRUE, 2)</f>
        <v>4</v>
      </c>
      <c r="CX33" s="529">
        <f>Table9[[#This Row],[Health (Hospital) Score]]*'Detailed Rubric V3'!$L$92</f>
        <v>0.6</v>
      </c>
      <c r="CY33" s="529">
        <v>193</v>
      </c>
      <c r="CZ33" s="529" cm="1">
        <f t="array" ref="CZ33">_xlfn.IFS(Table9[[#This Row],[University/ Technical &amp; Vocational Institutions (15%)]]="", 0, Table9[[#This Row],[University/ Technical &amp; Vocational Institutions (15%)]]&gt;3, 4, Table9[[#This Row],[University/ Technical &amp; Vocational Institutions (15%)]]&lt;1, 0, TRUE, 2)</f>
        <v>4</v>
      </c>
      <c r="DA33" s="529">
        <f>Table9[[#This Row],[University/ Technical &amp; Vocational Institutions Score]]*'Detailed Rubric V3'!$O$92</f>
        <v>0.6</v>
      </c>
      <c r="DB33" s="529">
        <f>SUM(Table9[[#This Row],[Employable population Weighted Score]],Table9[[#This Row],[Housing Weighted Score]],Table9[[#This Row],[Hotels Weighted Score]],Table9[[#This Row],[Health (Hospital) Weighted Score]],Table9[[#This Row],[University/ Technical &amp; Vocational Institutions Weighted Score]])*'Detailed Rubric V3'!$C$90</f>
        <v>0.28800000000000003</v>
      </c>
      <c r="DC33" s="529" t="s">
        <v>418</v>
      </c>
      <c r="DD33" s="529" cm="1">
        <f t="array" ref="DD33">_xlfn.IFS(Table9[[#This Row],[Environment compliance (30%)]]="", 0, Table9[[#This Row],[Environment compliance (30%)]]="Yes", 4, TRUE, 0)</f>
        <v>0</v>
      </c>
      <c r="DE33" s="529">
        <f>Table9[[#This Row],[Environment compliance Score]]*'Detailed Rubric V3'!$C$104</f>
        <v>0</v>
      </c>
      <c r="DF33" s="529" t="s">
        <v>419</v>
      </c>
      <c r="DG33" s="529" cm="1">
        <f t="array" ref="DG33">_xlfn.IFS(Table9[[#This Row],[Flood Risk Index (30%)]]="", 0, Table9[[#This Row],[Flood Risk Index (30%)]]="Very Low", 4, Table9[[#This Row],[Flood Risk Index (30%)]]="Moderate &amp; Low", 2, TRUE, 0)</f>
        <v>2</v>
      </c>
      <c r="DH33" s="529">
        <f>Table9[[#This Row],[Flood Risk Index Score]]*'Detailed Rubric V3'!$F$104</f>
        <v>0.6</v>
      </c>
      <c r="DI33" s="529" t="s">
        <v>419</v>
      </c>
      <c r="DJ33" s="529" cm="1">
        <f t="array" ref="DJ33">_xlfn.IFS(Table9[[#This Row],[Earth Quake Risk Index (10%)]]="", 0, Table9[[#This Row],[Earth Quake Risk Index (10%)]]="Very Low", 4, Table9[[#This Row],[Earth Quake Risk Index (10%)]]="Moderate &amp; Low", 2, TRUE, 0)</f>
        <v>2</v>
      </c>
      <c r="DK33" s="529">
        <f>Table9[[#This Row],[Earth Quake Risk Index Score]]*'Detailed Rubric V3'!$I$104</f>
        <v>0.2</v>
      </c>
      <c r="DL33" s="529" t="s">
        <v>428</v>
      </c>
      <c r="DM33" s="529" cm="1">
        <f t="array" ref="DM33">_xlfn.IFS(Table9[[#This Row],[Sea Level Rise Risk Index (10%)]]="", 0, Table9[[#This Row],[Sea Level Rise Risk Index (10%)]]="Very Low", 4, Table9[[#This Row],[Sea Level Rise Risk Index (10%)]]="Moderate &amp; Low", 2, TRUE, 0)</f>
        <v>4</v>
      </c>
      <c r="DN33" s="529">
        <f>Table9[[#This Row],[Sea Level Rise  Risk Index Score]]*'Detailed Rubric V3'!$L$104</f>
        <v>0.4</v>
      </c>
      <c r="DO33" s="529" t="s">
        <v>419</v>
      </c>
      <c r="DP33" s="529" cm="1">
        <f t="array" ref="DP33">_xlfn.IFS(Table9[[#This Row],[Cyclone Risk Index (10%)]]="", 0, Table9[[#This Row],[Cyclone Risk Index (10%)]]="Very Low", 4, Table9[[#This Row],[Cyclone Risk Index (10%)]]="Moderate &amp; Low", 2, TRUE, 0)</f>
        <v>2</v>
      </c>
      <c r="DQ33" s="529">
        <f>Table9[[#This Row],[Cyclone Risk Index Score]]*'Detailed Rubric V3'!$O$104</f>
        <v>0.2</v>
      </c>
      <c r="DR33" s="529" t="s">
        <v>428</v>
      </c>
      <c r="DS33" s="529" cm="1">
        <f t="array" ref="DS33">_xlfn.IFS(Table9[[#This Row],[Storm Surge Risk Index (10%)]]="", 0, Table9[[#This Row],[Storm Surge Risk Index (10%)]]="Very Low", 4, Table9[[#This Row],[Storm Surge Risk Index (10%)]]="Moderate &amp; Low", 2, TRUE, 0)</f>
        <v>4</v>
      </c>
      <c r="DT33" s="529">
        <f>Table9[[#This Row],[Storm Surge Risk Index Score]]*'Detailed Rubric V3'!$R$104</f>
        <v>0.4</v>
      </c>
      <c r="DU33"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33" s="533">
        <f>SUM(Table9[[#This Row],[2.1. Connectivity/ Logistics (10% weightage)]],Table9[[#This Row],[2.2. Utility (12% weightage)]],Table9[[#This Row],[2.3. Agglomeration effects (10% weightage)]],Table9[[#This Row],[2.4. Regional Policy (4% weightage)]],Table9[[#This Row],[2.5. Social (8% weightage)]],Table9[[#This Row],[2.6. Environment (6% weightage)]])</f>
        <v>1.6160000000000001</v>
      </c>
      <c r="DW33" s="232">
        <f>_xlfn.RANK.EQ(Table9[[#This Row],[Level 2 Score]],$DV$3:$DV$103)</f>
        <v>14</v>
      </c>
      <c r="DX33" s="533">
        <f>Table9[[#This Row],[Level 1 Score]]+Table9[[#This Row],[Level 2 Score]]</f>
        <v>2.3159999999999998</v>
      </c>
      <c r="DY33" s="308">
        <f>_xlfn.RANK.EQ(Table9[[#This Row],[Total Score]],$DX$3:$DX$103)</f>
        <v>30</v>
      </c>
      <c r="DZ33" s="237" t="str">
        <f>IF(Table9[[#This Row],[Count of Blanks]]&lt;=2, "Yes", "No")</f>
        <v>Yes</v>
      </c>
      <c r="EA33" s="237">
        <f>COUNTBLANK(Table9[[#This Row],[Name]:[Total Score Rank]])</f>
        <v>2</v>
      </c>
      <c r="EB33" s="237"/>
    </row>
    <row r="34" spans="2:132" ht="27" x14ac:dyDescent="0.25">
      <c r="B34" s="220">
        <v>93</v>
      </c>
      <c r="C34" s="221" t="s">
        <v>35</v>
      </c>
      <c r="D34" s="220" t="s">
        <v>76</v>
      </c>
      <c r="E34" s="220" t="s">
        <v>77</v>
      </c>
      <c r="F34" s="220" t="s">
        <v>93</v>
      </c>
      <c r="G34" s="220" t="s">
        <v>92</v>
      </c>
      <c r="H34" s="525" t="s">
        <v>410</v>
      </c>
      <c r="I34" s="70" t="s">
        <v>411</v>
      </c>
      <c r="J34" s="227" t="s">
        <v>412</v>
      </c>
      <c r="K34" s="220">
        <f>IFERROR(VLOOKUP(Table9[[#This Row],[Land Availability (Grade)​
(50%)]],'Detailed Rubric V3'!$B$8:$C$11,2), 0)</f>
        <v>4</v>
      </c>
      <c r="L34" s="220">
        <f>IFERROR(Table9[[#This Row],[Land Availability (Grade)​ Score]]*'Detailed Rubric V3'!$C$6, "")</f>
        <v>2</v>
      </c>
      <c r="M34" s="222">
        <v>80</v>
      </c>
      <c r="N34" s="222" cm="1">
        <f t="array" ref="N34">_xlfn.IFS(Table9[[#This Row],[Land Size (Acres)
(15%)]]&lt;100,0,Table9[[#This Row],[Land Size (Acres)
(15%)]]&gt;500,4,TRUE,2)</f>
        <v>0</v>
      </c>
      <c r="O34" s="222">
        <f>Table9[[#This Row],[Land Size (Acres) Score]]*'Detailed Rubric V3'!$G$6</f>
        <v>0</v>
      </c>
      <c r="P34" s="526"/>
      <c r="Q34" s="526">
        <f>IFERROR(Table9[[#This Row],[Site Filling Cost (Mn BDT)]]/Table9[[#This Row],[Land Size (Acres)
(15%)]],"")</f>
        <v>0</v>
      </c>
      <c r="R34" s="526" cm="1">
        <f t="array" ref="R34">IF(Table9[[#This Row],[Name]]="Sitakundo Economic Zone", 4, _xlfn.IFS(Table9[[#This Row],[Site Filling Cost (Mn BDT)]]="",0,Table9[[#This Row],[Land Suitability
(Cost of Land Filling in Million BDT per acre)
(25%)]]&gt;5,0,Table9[[#This Row],[Land Suitability
(Cost of Land Filling in Million BDT per acre)
(25%)]]&lt;2,4,TRUE,2))</f>
        <v>0</v>
      </c>
      <c r="S34" s="526">
        <f>Table9[[#This Row],[Land Suitability for Construction Score]]*'Detailed Rubric V3'!$J$6</f>
        <v>0</v>
      </c>
      <c r="T34" s="526"/>
      <c r="U34" s="526">
        <f>IFERROR(Table9[[#This Row],[Embankment/Dyke Cost (Mn BDT)]]/Table9[[#This Row],[Land Size (Acres)
(15%)]], 0)</f>
        <v>0</v>
      </c>
      <c r="V34" s="526" cm="1">
        <f t="array" ref="V34">IF(Table9[[#This Row],[Name]]="Sitakundo Economic Zone", 2, _xlfn.IFS(Table9[[#This Row],[Embankment/Dyke Cost (Mn BDT)]]="",0,Table9[[#This Row],[Cost of DRRI Infrastructure in million BDT per acre
(10%)]]&gt;5,0,Table9[[#This Row],[Cost of DRRI Infrastructure in million BDT per acre
(10%)]]&lt;2,4,TRUE,2))</f>
        <v>0</v>
      </c>
      <c r="W34" s="526">
        <f>Table9[[#This Row],[Requirement for Distaster Risk Reduction &amp; Resilience Infrastructure Score]]*'Detailed Rubric V3'!$M$6</f>
        <v>0</v>
      </c>
      <c r="X34"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v>
      </c>
      <c r="Y34" s="227" t="s">
        <v>440</v>
      </c>
      <c r="Z34" s="210">
        <f>IFERROR(VLOOKUP(Table9[[#This Row],[Zone Priority
(40%)]],'Detailed Rubric V3'!$B$18:$C$21, 2,FALSE), 0)</f>
        <v>4</v>
      </c>
      <c r="AA34" s="210">
        <f>IFERROR(Table9[[#This Row],[Zone Priority Score]]*'Detailed Rubric V3'!$C$16, 0)</f>
        <v>0</v>
      </c>
      <c r="AB34" s="237" t="s">
        <v>441</v>
      </c>
      <c r="AC34" s="237">
        <f>VLOOKUP(Table9[[#This Row],[Existing BEZA Report
(60%)]],'Detailed Rubric V3'!$E$18:$F$20,2,FALSE)</f>
        <v>0</v>
      </c>
      <c r="AD34" s="237">
        <f>Table9[[#This Row],[Existing BEZA Report Score]]*'Detailed Rubric V3'!F$16</f>
        <v>0</v>
      </c>
      <c r="AE34" s="237">
        <f>(Table9[[#This Row],[Zone Priority Weighted Score]]+Table9[[#This Row],[Existing BEZA Report Weighted Score]])*'Detailed Rubric V3'!$C$14</f>
        <v>0</v>
      </c>
      <c r="AF34" s="528">
        <v>18</v>
      </c>
      <c r="AG34" s="529" cm="1">
        <f t="array" ref="AG34">_xlfn.IFS(Table9[[#This Row],[Existing Sectors
(50%)]]&gt;10, 4,Table9[[#This Row],[Existing Sectors
(50%)]]&lt;5, 0, TRUE, 2)</f>
        <v>4</v>
      </c>
      <c r="AH34" s="529">
        <f>Table9[[#This Row],[Existing Sectors Score]]*'Detailed Rubric V3'!$C$25</f>
        <v>2</v>
      </c>
      <c r="AI34" s="529">
        <v>18</v>
      </c>
      <c r="AJ34" s="529">
        <v>0</v>
      </c>
      <c r="AK34" s="529" cm="1">
        <f t="array" ref="AK34">_xlfn.IFS(Table9[[#This Row],[Potential New Sectors
(50%)]]&gt;5, 4, Table9[[#This Row],[Potential New Sectors
(50%)]]&lt;2,0, TRUE, 2)</f>
        <v>0</v>
      </c>
      <c r="AL34" s="529">
        <f>Table9[[#This Row],[Potential New Sectors Score]]*'Detailed Rubric V3'!$F$25</f>
        <v>0</v>
      </c>
      <c r="AM34" s="232">
        <f>(Table9[[#This Row],[Existing Sectors Weighted Score]]+Table9[[#This Row],[Potential New Sectors Weighted Score]])*'Detailed Rubric V3'!$C$23</f>
        <v>0.3</v>
      </c>
      <c r="AN34" s="530">
        <f>SUM(Table9[[#This Row],[1.1. Land Details (20% weightage)]],Table9[[#This Row],[1.2. BEZA Existing plans (15% weightage)]],Table9[[#This Row],[1.3. Sector Demand (15% weightage):]])</f>
        <v>0.7</v>
      </c>
      <c r="AO34" s="531">
        <f>_xlfn.RANK.EQ(Table9[[#This Row],[Level 1 Score]],$AN$3:$AN$103)</f>
        <v>41</v>
      </c>
      <c r="AP34" s="529">
        <v>0</v>
      </c>
      <c r="AQ34" s="529" cm="1">
        <f t="array" ref="AQ34">_xlfn.IFS(Table9[[#This Row],[National Highway Connectivity (km)
(15%)]]="", 0, Table9[[#This Row],[National Highway Connectivity (km)
(15%)]]&gt;50, 0, Table9[[#This Row],[National Highway Connectivity (km)
(15%)]]&lt;=25, 4, TRUE, 2)</f>
        <v>4</v>
      </c>
      <c r="AR34" s="529">
        <f>Table9[[#This Row],[National Highway Connectivity Score]]*'Detailed Rubric V3'!$C$35</f>
        <v>0.6</v>
      </c>
      <c r="AS34" s="529" t="s">
        <v>417</v>
      </c>
      <c r="AT34" s="529" cm="1">
        <f t="array" ref="AT34">_xlfn.IFS(Table9[[#This Row],[Connecting Road to Highway (km)
(15%)]]="", 0, Table9[[#This Row],[Connecting Road to Highway (km)
(15%)]]="Yes", 4, TRUE, 0)</f>
        <v>4</v>
      </c>
      <c r="AU34" s="529">
        <f>Table9[[#This Row],[Connecting Road to Highway Score]]*'Detailed Rubric V3'!$F$35</f>
        <v>0.6</v>
      </c>
      <c r="AV34" s="529">
        <v>229</v>
      </c>
      <c r="AW34" s="529" cm="1">
        <f t="array" ref="AW34">_xlfn.IFS(Table9[[#This Row],[Seaport Connectivity (km)
(30%)]]="",0, Table9[[#This Row],[Seaport Connectivity (km)
(30%)]]&gt;400, 0,Table9[[#This Row],[Seaport Connectivity (km)
(30%)]]&lt;=200,4, TRUE, 2)</f>
        <v>2</v>
      </c>
      <c r="AX34" s="529">
        <f>Table9[[#This Row],[Seaport Connectivity Score]]*'Detailed Rubric V3'!$I$35</f>
        <v>0.6</v>
      </c>
      <c r="AY34" s="529">
        <v>39.799999999999997</v>
      </c>
      <c r="AZ34" s="529" cm="1">
        <f t="array" ref="AZ34">_xlfn.IFS(Table9[[#This Row],[Airport Connectivity (km)
(10%)]]="", 0, Table9[[#This Row],[Airport Connectivity (km)
(10%)]]&gt;200, 0, Table9[[#This Row],[Airport Connectivity (km)
(10%)]]&lt;=100,4,TRUE, 2)</f>
        <v>4</v>
      </c>
      <c r="BA34" s="529">
        <f>Table9[[#This Row],[Airport Connectivity Score]]*'Detailed Rubric V3'!$C$41</f>
        <v>0.4</v>
      </c>
      <c r="BB34" s="529">
        <v>27</v>
      </c>
      <c r="BC34" s="529" cm="1">
        <f t="array" ref="BC34">_xlfn.IFS(Table9[[#This Row],[Railway Station (km)
(10%)]]="", 0, Table9[[#This Row],[Railway Station (km)
(10%)]]&gt;150, 0,Table9[[#This Row],[Railway Station (km)
(10%)]]&lt;=50,4, TRUE, 2)</f>
        <v>4</v>
      </c>
      <c r="BD34" s="529">
        <f>Table9[[#This Row],[Railway Station Score]]*'Detailed Rubric V3'!$F$41</f>
        <v>0.4</v>
      </c>
      <c r="BE34" s="529">
        <v>20</v>
      </c>
      <c r="BF34" s="529" cm="1">
        <f t="array" ref="BF34">_xlfn.IFS(Table9[[#This Row],[Inland waterway/ Land port (km)
(20%)]]="", 0, Table9[[#This Row],[Inland waterway/ Land port (km)
(20%)]]&gt;200, 0,Table9[[#This Row],[Inland waterway/ Land port (km)
(20%)]]&lt;=50,4, TRUE, 2)</f>
        <v>4</v>
      </c>
      <c r="BG34" s="529">
        <f>Table9[[#This Row],[Inland waterway/ Land port Score]]*'Detailed Rubric V3'!$I$41</f>
        <v>0.8</v>
      </c>
      <c r="BH34"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0.33999999999999997</v>
      </c>
      <c r="BI34" s="529">
        <v>0</v>
      </c>
      <c r="BJ34" s="529" cm="1">
        <f t="array" ref="BJ34">_xlfn.IFS(Table9[[#This Row],[Power Station (40%)]]="",0, Table9[[#This Row],[Power Station (40%)]]&gt;100, 0,Table9[[#This Row],[Power Station (40%)]]&lt;=50,4, TRUE, 2)</f>
        <v>4</v>
      </c>
      <c r="BK34" s="529">
        <f>Table9[[#This Row],[Power Station Score]]*'Detailed Rubric V3'!$C$53</f>
        <v>1.6</v>
      </c>
      <c r="BL34" s="529">
        <v>30</v>
      </c>
      <c r="BM34" s="529" cm="1">
        <f t="array" ref="BM34">IF(ISNUMBER(Table9[[#This Row],[Gas Station (20%)]]), _xlfn.IFS(Table9[[#This Row],[Gas Station (20%)]]="", 0, Table9[[#This Row],[Gas Station (20%)]]&gt;100, 0,Table9[[#This Row],[Gas Station (20%)]]&lt;=50,4, TRUE, 2), 0)</f>
        <v>4</v>
      </c>
      <c r="BN34" s="529">
        <f>Table9[[#This Row],[Gas Station Score]]*'Detailed Rubric V3'!$F$53</f>
        <v>0.8</v>
      </c>
      <c r="BO34" s="529">
        <v>20</v>
      </c>
      <c r="BP34" s="529" cm="1">
        <f t="array" ref="BP34">IF(ISNUMBER(Table9[[#This Row],[Source of Surface Water (40%)]]), _xlfn.IFS(Table9[[#This Row],[Source of Surface Water (40%)]]="", 0, Table9[[#This Row],[Source of Surface Water (40%)]]&gt;50, 0,Table9[[#This Row],[Source of Surface Water (40%)]]&lt;=20,4, TRUE, 2), 0)</f>
        <v>4</v>
      </c>
      <c r="BQ34" s="529">
        <f>Table9[[#This Row],[Source of Surface Water Score]]*'Detailed Rubric V3'!$I$53</f>
        <v>1.6</v>
      </c>
      <c r="BR34" s="529">
        <f>SUM(Table9[[#This Row],[Power Station Weighted Score]],Table9[[#This Row],[Gas Station Weighted Score]],Table9[[#This Row],[Source of Surface Water Weighted Score]])*'Detailed Rubric V3'!$C$51</f>
        <v>0.48</v>
      </c>
      <c r="BS34" s="529" t="s">
        <v>417</v>
      </c>
      <c r="BT34" s="529" cm="1">
        <f t="array" ref="BT34">_xlfn.IFS(Table9[[#This Row],[Other BEZA EZ (20%)]]="", 0, Table9[[#This Row],[Other BEZA EZ (20%)]]="Yes", 4, TRUE, 0)</f>
        <v>4</v>
      </c>
      <c r="BU34" s="529">
        <f>Table9[[#This Row],[Other BEZA EZ Score]]*'Detailed Rubric V3'!$C$66</f>
        <v>0.8</v>
      </c>
      <c r="BV34" s="529" t="s">
        <v>417</v>
      </c>
      <c r="BW34" s="529" cm="1">
        <f t="array" ref="BW34">_xlfn.IFS(Table9[[#This Row],[BEPZA/ BHPTA/ BSCIC (20%)]]="", 0, Table9[[#This Row],[BEPZA/ BHPTA/ BSCIC (20%)]]="Yes", 4, TRUE, 0)</f>
        <v>4</v>
      </c>
      <c r="BX34" s="529">
        <f>Table9[[#This Row],[BEPZA/ BHPTA/ BSCIC Score]]*'Detailed Rubric V3'!$F$66</f>
        <v>0.8</v>
      </c>
      <c r="BY34" s="529">
        <v>606</v>
      </c>
      <c r="BZ34" s="529" cm="1">
        <f t="array" ref="BZ34">_xlfn.IFS(Table9[[#This Row],[Cluster Industries (from SMI) (20%)]]="", 0, Table9[[#This Row],[Cluster Industries (from SMI) (20%)]]&gt;100, 4, Table9[[#This Row],[Cluster Industries (from SMI) (20%)]]&lt;50, 0, TRUE, 2)</f>
        <v>4</v>
      </c>
      <c r="CA34" s="529">
        <f>Table9[[#This Row],[Cluster Industries (from SMI) Score]]*'Detailed Rubric V3'!$I$66</f>
        <v>0.8</v>
      </c>
      <c r="CB34" s="529" t="s">
        <v>417</v>
      </c>
      <c r="CC34" s="529" cm="1">
        <f t="array" ref="CC34">_xlfn.IFS(Table9[[#This Row],[Located on Industrial corridor (40%)]]="", 0, Table9[[#This Row],[Located on Industrial corridor (40%)]]="Yes", 4, TRUE, 0)</f>
        <v>4</v>
      </c>
      <c r="CD34" s="529">
        <f>Table9[[#This Row],[Located on Industrial corridor Score]]*'Detailed Rubric V3'!$L$66</f>
        <v>1.6</v>
      </c>
      <c r="CE34" s="529">
        <f>SUM(Table9[[#This Row],[Other BEZA EZ Weighted Score]],Table9[[#This Row],[BEPZA/ BHPTA/ BSCIC Weighted Score]],Table9[[#This Row],[Unorganized (from SMI) Weighted Score]],Table9[[#This Row],[Located on Industrial corridor Weighted Score]])*'Detailed Rubric V3'!$C$64</f>
        <v>0.4</v>
      </c>
      <c r="CF34" s="529" t="s">
        <v>418</v>
      </c>
      <c r="CG34" s="529" cm="1">
        <f t="array" ref="CG34">_xlfn.IFS(Table9[[#This Row],[Economic/ Social priority (laggered area) (100%)]]="", 0, Table9[[#This Row],[Economic/ Social priority (laggered area) (100%)]]="Yes", 4, TRUE, 0)</f>
        <v>0</v>
      </c>
      <c r="CH34" s="529">
        <f>Table9[[#This Row],[Economic/ Social priority (laggered area) Score]]*'Detailed Rubric V3'!$C$82</f>
        <v>0</v>
      </c>
      <c r="CI34" s="529" t="s">
        <v>418</v>
      </c>
      <c r="CJ34" s="529" cm="1">
        <f t="array" ref="CJ34">_xlfn.IFS(Table9[[#This Row],[Regional Tax incentive  (0%)]]="", 0, Table9[[#This Row],[Regional Tax incentive  (0%)]]="Yes", 4, TRUE, 0)</f>
        <v>0</v>
      </c>
      <c r="CK34" s="529">
        <f>Table9[[#This Row],[Regional Tax incentive Score]]*'Detailed Rubric V3'!$F$82</f>
        <v>0</v>
      </c>
      <c r="CL34" s="529">
        <f>SUM(Table9[[#This Row],[Economic/ Social priority (laagered area) Weighted Score]],Table9[[#This Row],[Regional Tax incentive  Weighted Score]])*'Detailed Rubric V3'!$C$80</f>
        <v>0</v>
      </c>
      <c r="CM34" s="529">
        <v>861792</v>
      </c>
      <c r="CN34" s="529" cm="1">
        <f t="array" ref="CN34">_xlfn.IFS(Table9[[#This Row],[Employable population (40%) 2013]]="", 0, Table9[[#This Row],[Employable population (40%) 2013]]&gt;200000, 4, Table9[[#This Row],[Employable population (40%) 2013]]&lt;100000,0, TRUE, 2)</f>
        <v>4</v>
      </c>
      <c r="CO34" s="529">
        <f>Table9[[#This Row],[Employable population Score]]*'Detailed Rubric V3'!$C$92</f>
        <v>1.6</v>
      </c>
      <c r="CP34" s="529">
        <v>10.7</v>
      </c>
      <c r="CQ34" s="529" cm="1">
        <f t="array" ref="CQ34">_xlfn.IFS(Table9[[#This Row],[Housing (20%)]]="", 0, Table9[[#This Row],[Housing (20%)]]&gt;50, 0, Table9[[#This Row],[Housing (20%)]]&lt;25, 4, TRUE, 2)</f>
        <v>4</v>
      </c>
      <c r="CR34" s="529">
        <f>Table9[[#This Row],[Housing Score]]*'Detailed Rubric V3'!$F$92</f>
        <v>0.8</v>
      </c>
      <c r="CS34" s="529">
        <v>218</v>
      </c>
      <c r="CT34" s="529" cm="1">
        <f t="array" ref="CT34">_xlfn.IFS(Table9[[#This Row],[Hotels (10%)]]="", 0, Table9[[#This Row],[Hotels (10%)]]&gt;25, 4, Table9[[#This Row],[Hotels (10%)]]&lt;5, 0, TRUE, 2)</f>
        <v>4</v>
      </c>
      <c r="CU34" s="529">
        <f>Table9[[#This Row],[Hotels Score]]*'Detailed Rubric V3'!$I$92</f>
        <v>0.4</v>
      </c>
      <c r="CV34" s="529">
        <v>144</v>
      </c>
      <c r="CW34" s="529" cm="1">
        <f t="array" ref="CW34">_xlfn.IFS(Table9[[#This Row],[Health (Hospital) (15%)]]="", 0, Table9[[#This Row],[Health (Hospital) (15%)]]&gt;10, 4, Table9[[#This Row],[Health (Hospital) (15%)]]&lt;5, 0, TRUE, 2)</f>
        <v>4</v>
      </c>
      <c r="CX34" s="529">
        <f>Table9[[#This Row],[Health (Hospital) Score]]*'Detailed Rubric V3'!$L$92</f>
        <v>0.6</v>
      </c>
      <c r="CY34" s="529">
        <v>78</v>
      </c>
      <c r="CZ34" s="529" cm="1">
        <f t="array" ref="CZ34">_xlfn.IFS(Table9[[#This Row],[University/ Technical &amp; Vocational Institutions (15%)]]="", 0, Table9[[#This Row],[University/ Technical &amp; Vocational Institutions (15%)]]&gt;3, 4, Table9[[#This Row],[University/ Technical &amp; Vocational Institutions (15%)]]&lt;1, 0, TRUE, 2)</f>
        <v>4</v>
      </c>
      <c r="DA34" s="529">
        <f>Table9[[#This Row],[University/ Technical &amp; Vocational Institutions Score]]*'Detailed Rubric V3'!$O$92</f>
        <v>0.6</v>
      </c>
      <c r="DB34"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34" s="529" t="s">
        <v>418</v>
      </c>
      <c r="DD34" s="529" cm="1">
        <f t="array" ref="DD34">_xlfn.IFS(Table9[[#This Row],[Environment compliance (30%)]]="", 0, Table9[[#This Row],[Environment compliance (30%)]]="Yes", 4, TRUE, 0)</f>
        <v>0</v>
      </c>
      <c r="DE34" s="529">
        <f>Table9[[#This Row],[Environment compliance Score]]*'Detailed Rubric V3'!$C$104</f>
        <v>0</v>
      </c>
      <c r="DF34" s="529" t="s">
        <v>421</v>
      </c>
      <c r="DG34" s="529" cm="1">
        <f t="array" ref="DG34">_xlfn.IFS(Table9[[#This Row],[Flood Risk Index (30%)]]="", 0, Table9[[#This Row],[Flood Risk Index (30%)]]="Very Low", 4, Table9[[#This Row],[Flood Risk Index (30%)]]="Moderate &amp; Low", 2, TRUE, 0)</f>
        <v>0</v>
      </c>
      <c r="DH34" s="529">
        <f>Table9[[#This Row],[Flood Risk Index Score]]*'Detailed Rubric V3'!$F$104</f>
        <v>0</v>
      </c>
      <c r="DI34" s="529" t="s">
        <v>421</v>
      </c>
      <c r="DJ34" s="529" cm="1">
        <f t="array" ref="DJ34">_xlfn.IFS(Table9[[#This Row],[Earth Quake Risk Index (10%)]]="", 0, Table9[[#This Row],[Earth Quake Risk Index (10%)]]="Very Low", 4, Table9[[#This Row],[Earth Quake Risk Index (10%)]]="Moderate &amp; Low", 2, TRUE, 0)</f>
        <v>0</v>
      </c>
      <c r="DK34" s="529">
        <f>Table9[[#This Row],[Earth Quake Risk Index Score]]*'Detailed Rubric V3'!$I$104</f>
        <v>0</v>
      </c>
      <c r="DL34" s="529" t="s">
        <v>428</v>
      </c>
      <c r="DM34" s="529" cm="1">
        <f t="array" ref="DM34">_xlfn.IFS(Table9[[#This Row],[Sea Level Rise Risk Index (10%)]]="", 0, Table9[[#This Row],[Sea Level Rise Risk Index (10%)]]="Very Low", 4, Table9[[#This Row],[Sea Level Rise Risk Index (10%)]]="Moderate &amp; Low", 2, TRUE, 0)</f>
        <v>4</v>
      </c>
      <c r="DN34" s="529">
        <f>Table9[[#This Row],[Sea Level Rise  Risk Index Score]]*'Detailed Rubric V3'!$L$104</f>
        <v>0.4</v>
      </c>
      <c r="DO34" s="529" t="s">
        <v>420</v>
      </c>
      <c r="DP34" s="529" cm="1">
        <f t="array" ref="DP34">_xlfn.IFS(Table9[[#This Row],[Cyclone Risk Index (10%)]]="", 0, Table9[[#This Row],[Cyclone Risk Index (10%)]]="Very Low", 4, Table9[[#This Row],[Cyclone Risk Index (10%)]]="Moderate &amp; Low", 2, TRUE, 0)</f>
        <v>0</v>
      </c>
      <c r="DQ34" s="529">
        <f>Table9[[#This Row],[Cyclone Risk Index Score]]*'Detailed Rubric V3'!$O$104</f>
        <v>0</v>
      </c>
      <c r="DR34" s="529" t="s">
        <v>428</v>
      </c>
      <c r="DS34" s="529" cm="1">
        <f t="array" ref="DS34">_xlfn.IFS(Table9[[#This Row],[Storm Surge Risk Index (10%)]]="", 0, Table9[[#This Row],[Storm Surge Risk Index (10%)]]="Very Low", 4, Table9[[#This Row],[Storm Surge Risk Index (10%)]]="Moderate &amp; Low", 2, TRUE, 0)</f>
        <v>4</v>
      </c>
      <c r="DT34" s="529">
        <f>Table9[[#This Row],[Storm Surge Risk Index Score]]*'Detailed Rubric V3'!$R$104</f>
        <v>0.4</v>
      </c>
      <c r="DU34"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4.8000000000000001E-2</v>
      </c>
      <c r="DV34" s="533">
        <f>SUM(Table9[[#This Row],[2.1. Connectivity/ Logistics (10% weightage)]],Table9[[#This Row],[2.2. Utility (12% weightage)]],Table9[[#This Row],[2.3. Agglomeration effects (10% weightage)]],Table9[[#This Row],[2.4. Regional Policy (4% weightage)]],Table9[[#This Row],[2.5. Social (8% weightage)]],Table9[[#This Row],[2.6. Environment (6% weightage)]])</f>
        <v>1.5880000000000001</v>
      </c>
      <c r="DW34" s="232">
        <f>_xlfn.RANK.EQ(Table9[[#This Row],[Level 2 Score]],$DV$3:$DV$103)</f>
        <v>19</v>
      </c>
      <c r="DX34" s="533">
        <f>Table9[[#This Row],[Level 1 Score]]+Table9[[#This Row],[Level 2 Score]]</f>
        <v>2.2880000000000003</v>
      </c>
      <c r="DY34" s="308">
        <f>_xlfn.RANK.EQ(Table9[[#This Row],[Total Score]],$DX$3:$DX$103)</f>
        <v>32</v>
      </c>
      <c r="DZ34" s="237" t="str">
        <f>IF(Table9[[#This Row],[Count of Blanks]]&lt;=2, "Yes", "No")</f>
        <v>Yes</v>
      </c>
      <c r="EA34" s="237">
        <f>COUNTBLANK(Table9[[#This Row],[Name]:[Total Score Rank]])</f>
        <v>2</v>
      </c>
      <c r="EB34" s="237"/>
    </row>
    <row r="35" spans="2:132" x14ac:dyDescent="0.25">
      <c r="B35" s="220">
        <v>81</v>
      </c>
      <c r="C35" s="221" t="s">
        <v>38</v>
      </c>
      <c r="D35" s="220" t="s">
        <v>76</v>
      </c>
      <c r="E35" s="220" t="s">
        <v>77</v>
      </c>
      <c r="F35" s="220" t="s">
        <v>99</v>
      </c>
      <c r="G35" s="220" t="s">
        <v>92</v>
      </c>
      <c r="H35" s="525" t="s">
        <v>410</v>
      </c>
      <c r="I35" s="70" t="s">
        <v>411</v>
      </c>
      <c r="J35" s="227" t="s">
        <v>412</v>
      </c>
      <c r="K35" s="220">
        <f>IFERROR(VLOOKUP(Table9[[#This Row],[Land Availability (Grade)​
(50%)]],'Detailed Rubric V3'!$B$8:$C$11,2), 0)</f>
        <v>4</v>
      </c>
      <c r="L35" s="220">
        <f>IFERROR(Table9[[#This Row],[Land Availability (Grade)​ Score]]*'Detailed Rubric V3'!$C$6, "")</f>
        <v>2</v>
      </c>
      <c r="M35" s="222">
        <v>91.214100000000002</v>
      </c>
      <c r="N35" s="222" cm="1">
        <f t="array" ref="N35">_xlfn.IFS(Table9[[#This Row],[Land Size (Acres)
(15%)]]&lt;100,0,Table9[[#This Row],[Land Size (Acres)
(15%)]]&gt;500,4,TRUE,2)</f>
        <v>0</v>
      </c>
      <c r="O35" s="222">
        <f>Table9[[#This Row],[Land Size (Acres) Score]]*'Detailed Rubric V3'!$G$6</f>
        <v>0</v>
      </c>
      <c r="P35" s="526"/>
      <c r="Q35" s="526">
        <f>IFERROR(Table9[[#This Row],[Site Filling Cost (Mn BDT)]]/Table9[[#This Row],[Land Size (Acres)
(15%)]],"")</f>
        <v>0</v>
      </c>
      <c r="R35" s="526" cm="1">
        <f t="array" ref="R35">IF(Table9[[#This Row],[Name]]="Sitakundo Economic Zone", 4, _xlfn.IFS(Table9[[#This Row],[Site Filling Cost (Mn BDT)]]="",0,Table9[[#This Row],[Land Suitability
(Cost of Land Filling in Million BDT per acre)
(25%)]]&gt;5,0,Table9[[#This Row],[Land Suitability
(Cost of Land Filling in Million BDT per acre)
(25%)]]&lt;2,4,TRUE,2))</f>
        <v>0</v>
      </c>
      <c r="S35" s="526">
        <f>Table9[[#This Row],[Land Suitability for Construction Score]]*'Detailed Rubric V3'!$J$6</f>
        <v>0</v>
      </c>
      <c r="T35" s="526"/>
      <c r="U35" s="526">
        <f>IFERROR(Table9[[#This Row],[Embankment/Dyke Cost (Mn BDT)]]/Table9[[#This Row],[Land Size (Acres)
(15%)]], 0)</f>
        <v>0</v>
      </c>
      <c r="V35" s="526" cm="1">
        <f t="array" ref="V35">IF(Table9[[#This Row],[Name]]="Sitakundo Economic Zone", 2, _xlfn.IFS(Table9[[#This Row],[Embankment/Dyke Cost (Mn BDT)]]="",0,Table9[[#This Row],[Cost of DRRI Infrastructure in million BDT per acre
(10%)]]&gt;5,0,Table9[[#This Row],[Cost of DRRI Infrastructure in million BDT per acre
(10%)]]&lt;2,4,TRUE,2))</f>
        <v>0</v>
      </c>
      <c r="W35" s="526">
        <f>Table9[[#This Row],[Requirement for Distaster Risk Reduction &amp; Resilience Infrastructure Score]]*'Detailed Rubric V3'!$M$6</f>
        <v>0</v>
      </c>
      <c r="X35"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v>
      </c>
      <c r="Y35" s="227" t="s">
        <v>440</v>
      </c>
      <c r="Z35" s="210">
        <f>IFERROR(VLOOKUP(Table9[[#This Row],[Zone Priority
(40%)]],'Detailed Rubric V3'!$B$18:$C$21, 2,FALSE), 0)</f>
        <v>4</v>
      </c>
      <c r="AA35" s="210">
        <f>IFERROR(Table9[[#This Row],[Zone Priority Score]]*'Detailed Rubric V3'!$C$16, 0)</f>
        <v>0</v>
      </c>
      <c r="AB35" s="237" t="s">
        <v>441</v>
      </c>
      <c r="AC35" s="237">
        <f>VLOOKUP(Table9[[#This Row],[Existing BEZA Report
(60%)]],'Detailed Rubric V3'!$E$18:$F$20,2,FALSE)</f>
        <v>0</v>
      </c>
      <c r="AD35" s="237">
        <f>Table9[[#This Row],[Existing BEZA Report Score]]*'Detailed Rubric V3'!F$16</f>
        <v>0</v>
      </c>
      <c r="AE35" s="237">
        <f>(Table9[[#This Row],[Zone Priority Weighted Score]]+Table9[[#This Row],[Existing BEZA Report Weighted Score]])*'Detailed Rubric V3'!$C$14</f>
        <v>0</v>
      </c>
      <c r="AF35" s="528">
        <v>18</v>
      </c>
      <c r="AG35" s="529" cm="1">
        <f t="array" ref="AG35">_xlfn.IFS(Table9[[#This Row],[Existing Sectors
(50%)]]&gt;10, 4,Table9[[#This Row],[Existing Sectors
(50%)]]&lt;5, 0, TRUE, 2)</f>
        <v>4</v>
      </c>
      <c r="AH35" s="529">
        <f>Table9[[#This Row],[Existing Sectors Score]]*'Detailed Rubric V3'!$C$25</f>
        <v>2</v>
      </c>
      <c r="AI35" s="529">
        <v>18</v>
      </c>
      <c r="AJ35" s="529">
        <v>0</v>
      </c>
      <c r="AK35" s="529" cm="1">
        <f t="array" ref="AK35">_xlfn.IFS(Table9[[#This Row],[Potential New Sectors
(50%)]]&gt;5, 4, Table9[[#This Row],[Potential New Sectors
(50%)]]&lt;2,0, TRUE, 2)</f>
        <v>0</v>
      </c>
      <c r="AL35" s="529">
        <f>Table9[[#This Row],[Potential New Sectors Score]]*'Detailed Rubric V3'!$F$25</f>
        <v>0</v>
      </c>
      <c r="AM35" s="232">
        <f>(Table9[[#This Row],[Existing Sectors Weighted Score]]+Table9[[#This Row],[Potential New Sectors Weighted Score]])*'Detailed Rubric V3'!$C$23</f>
        <v>0.3</v>
      </c>
      <c r="AN35" s="530">
        <f>SUM(Table9[[#This Row],[1.1. Land Details (20% weightage)]],Table9[[#This Row],[1.2. BEZA Existing plans (15% weightage)]],Table9[[#This Row],[1.3. Sector Demand (15% weightage):]])</f>
        <v>0.7</v>
      </c>
      <c r="AO35" s="531">
        <f>_xlfn.RANK.EQ(Table9[[#This Row],[Level 1 Score]],$AN$3:$AN$103)</f>
        <v>41</v>
      </c>
      <c r="AP35" s="529">
        <v>1</v>
      </c>
      <c r="AQ35" s="529" cm="1">
        <f t="array" ref="AQ35">_xlfn.IFS(Table9[[#This Row],[National Highway Connectivity (km)
(15%)]]="", 0, Table9[[#This Row],[National Highway Connectivity (km)
(15%)]]&gt;50, 0, Table9[[#This Row],[National Highway Connectivity (km)
(15%)]]&lt;=25, 4, TRUE, 2)</f>
        <v>4</v>
      </c>
      <c r="AR35" s="529">
        <f>Table9[[#This Row],[National Highway Connectivity Score]]*'Detailed Rubric V3'!$C$35</f>
        <v>0.6</v>
      </c>
      <c r="AS35" s="529" t="s">
        <v>417</v>
      </c>
      <c r="AT35" s="529" cm="1">
        <f t="array" ref="AT35">_xlfn.IFS(Table9[[#This Row],[Connecting Road to Highway (km)
(15%)]]="", 0, Table9[[#This Row],[Connecting Road to Highway (km)
(15%)]]="Yes", 4, TRUE, 0)</f>
        <v>4</v>
      </c>
      <c r="AU35" s="529">
        <f>Table9[[#This Row],[Connecting Road to Highway Score]]*'Detailed Rubric V3'!$F$35</f>
        <v>0.6</v>
      </c>
      <c r="AV35" s="529">
        <v>249</v>
      </c>
      <c r="AW35" s="529" cm="1">
        <f t="array" ref="AW35">_xlfn.IFS(Table9[[#This Row],[Seaport Connectivity (km)
(30%)]]="",0, Table9[[#This Row],[Seaport Connectivity (km)
(30%)]]&gt;400, 0,Table9[[#This Row],[Seaport Connectivity (km)
(30%)]]&lt;=200,4, TRUE, 2)</f>
        <v>2</v>
      </c>
      <c r="AX35" s="529">
        <f>Table9[[#This Row],[Seaport Connectivity Score]]*'Detailed Rubric V3'!$I$35</f>
        <v>0.6</v>
      </c>
      <c r="AY35" s="529">
        <v>19</v>
      </c>
      <c r="AZ35" s="529" cm="1">
        <f t="array" ref="AZ35">_xlfn.IFS(Table9[[#This Row],[Airport Connectivity (km)
(10%)]]="", 0, Table9[[#This Row],[Airport Connectivity (km)
(10%)]]&gt;200, 0, Table9[[#This Row],[Airport Connectivity (km)
(10%)]]&lt;=100,4,TRUE, 2)</f>
        <v>4</v>
      </c>
      <c r="BA35" s="529">
        <f>Table9[[#This Row],[Airport Connectivity Score]]*'Detailed Rubric V3'!$C$41</f>
        <v>0.4</v>
      </c>
      <c r="BB35" s="529">
        <v>18</v>
      </c>
      <c r="BC35" s="529" cm="1">
        <f t="array" ref="BC35">_xlfn.IFS(Table9[[#This Row],[Railway Station (km)
(10%)]]="", 0, Table9[[#This Row],[Railway Station (km)
(10%)]]&gt;150, 0,Table9[[#This Row],[Railway Station (km)
(10%)]]&lt;=50,4, TRUE, 2)</f>
        <v>4</v>
      </c>
      <c r="BD35" s="529">
        <f>Table9[[#This Row],[Railway Station Score]]*'Detailed Rubric V3'!$F$41</f>
        <v>0.4</v>
      </c>
      <c r="BE35" s="529">
        <v>34</v>
      </c>
      <c r="BF35" s="529" cm="1">
        <f t="array" ref="BF35">_xlfn.IFS(Table9[[#This Row],[Inland waterway/ Land port (km)
(20%)]]="", 0, Table9[[#This Row],[Inland waterway/ Land port (km)
(20%)]]&gt;200, 0,Table9[[#This Row],[Inland waterway/ Land port (km)
(20%)]]&lt;=50,4, TRUE, 2)</f>
        <v>4</v>
      </c>
      <c r="BG35" s="529">
        <f>Table9[[#This Row],[Inland waterway/ Land port Score]]*'Detailed Rubric V3'!$I$41</f>
        <v>0.8</v>
      </c>
      <c r="BH35"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0.33999999999999997</v>
      </c>
      <c r="BI35" s="529">
        <v>27.5</v>
      </c>
      <c r="BJ35" s="529" cm="1">
        <f t="array" ref="BJ35">_xlfn.IFS(Table9[[#This Row],[Power Station (40%)]]="",0, Table9[[#This Row],[Power Station (40%)]]&gt;100, 0,Table9[[#This Row],[Power Station (40%)]]&lt;=50,4, TRUE, 2)</f>
        <v>4</v>
      </c>
      <c r="BK35" s="529">
        <f>Table9[[#This Row],[Power Station Score]]*'Detailed Rubric V3'!$C$53</f>
        <v>1.6</v>
      </c>
      <c r="BL35" s="529">
        <v>20</v>
      </c>
      <c r="BM35" s="529" cm="1">
        <f t="array" ref="BM35">IF(ISNUMBER(Table9[[#This Row],[Gas Station (20%)]]), _xlfn.IFS(Table9[[#This Row],[Gas Station (20%)]]="", 0, Table9[[#This Row],[Gas Station (20%)]]&gt;100, 0,Table9[[#This Row],[Gas Station (20%)]]&lt;=50,4, TRUE, 2), 0)</f>
        <v>4</v>
      </c>
      <c r="BN35" s="529">
        <f>Table9[[#This Row],[Gas Station Score]]*'Detailed Rubric V3'!$F$53</f>
        <v>0.8</v>
      </c>
      <c r="BO35" s="529">
        <v>1</v>
      </c>
      <c r="BP35" s="529" cm="1">
        <f t="array" ref="BP35">IF(ISNUMBER(Table9[[#This Row],[Source of Surface Water (40%)]]), _xlfn.IFS(Table9[[#This Row],[Source of Surface Water (40%)]]="", 0, Table9[[#This Row],[Source of Surface Water (40%)]]&gt;50, 0,Table9[[#This Row],[Source of Surface Water (40%)]]&lt;=20,4, TRUE, 2), 0)</f>
        <v>4</v>
      </c>
      <c r="BQ35" s="529">
        <f>Table9[[#This Row],[Source of Surface Water Score]]*'Detailed Rubric V3'!$I$53</f>
        <v>1.6</v>
      </c>
      <c r="BR35" s="529">
        <f>SUM(Table9[[#This Row],[Power Station Weighted Score]],Table9[[#This Row],[Gas Station Weighted Score]],Table9[[#This Row],[Source of Surface Water Weighted Score]])*'Detailed Rubric V3'!$C$51</f>
        <v>0.48</v>
      </c>
      <c r="BS35" s="529" t="s">
        <v>417</v>
      </c>
      <c r="BT35" s="529" cm="1">
        <f t="array" ref="BT35">_xlfn.IFS(Table9[[#This Row],[Other BEZA EZ (20%)]]="", 0, Table9[[#This Row],[Other BEZA EZ (20%)]]="Yes", 4, TRUE, 0)</f>
        <v>4</v>
      </c>
      <c r="BU35" s="529">
        <f>Table9[[#This Row],[Other BEZA EZ Score]]*'Detailed Rubric V3'!$C$66</f>
        <v>0.8</v>
      </c>
      <c r="BV35" s="529" t="s">
        <v>417</v>
      </c>
      <c r="BW35" s="529" cm="1">
        <f t="array" ref="BW35">_xlfn.IFS(Table9[[#This Row],[BEPZA/ BHPTA/ BSCIC (20%)]]="", 0, Table9[[#This Row],[BEPZA/ BHPTA/ BSCIC (20%)]]="Yes", 4, TRUE, 0)</f>
        <v>4</v>
      </c>
      <c r="BX35" s="529">
        <f>Table9[[#This Row],[BEPZA/ BHPTA/ BSCIC Score]]*'Detailed Rubric V3'!$F$66</f>
        <v>0.8</v>
      </c>
      <c r="BY35" s="529">
        <v>606</v>
      </c>
      <c r="BZ35" s="529" cm="1">
        <f t="array" ref="BZ35">_xlfn.IFS(Table9[[#This Row],[Cluster Industries (from SMI) (20%)]]="", 0, Table9[[#This Row],[Cluster Industries (from SMI) (20%)]]&gt;100, 4, Table9[[#This Row],[Cluster Industries (from SMI) (20%)]]&lt;50, 0, TRUE, 2)</f>
        <v>4</v>
      </c>
      <c r="CA35" s="529">
        <f>Table9[[#This Row],[Cluster Industries (from SMI) Score]]*'Detailed Rubric V3'!$I$66</f>
        <v>0.8</v>
      </c>
      <c r="CB35" s="529" t="s">
        <v>417</v>
      </c>
      <c r="CC35" s="529" cm="1">
        <f t="array" ref="CC35">_xlfn.IFS(Table9[[#This Row],[Located on Industrial corridor (40%)]]="", 0, Table9[[#This Row],[Located on Industrial corridor (40%)]]="Yes", 4, TRUE, 0)</f>
        <v>4</v>
      </c>
      <c r="CD35" s="529">
        <f>Table9[[#This Row],[Located on Industrial corridor Score]]*'Detailed Rubric V3'!$L$66</f>
        <v>1.6</v>
      </c>
      <c r="CE35" s="529">
        <f>SUM(Table9[[#This Row],[Other BEZA EZ Weighted Score]],Table9[[#This Row],[BEPZA/ BHPTA/ BSCIC Weighted Score]],Table9[[#This Row],[Unorganized (from SMI) Weighted Score]],Table9[[#This Row],[Located on Industrial corridor Weighted Score]])*'Detailed Rubric V3'!$C$64</f>
        <v>0.4</v>
      </c>
      <c r="CF35" s="529" t="s">
        <v>418</v>
      </c>
      <c r="CG35" s="529" cm="1">
        <f t="array" ref="CG35">_xlfn.IFS(Table9[[#This Row],[Economic/ Social priority (laggered area) (100%)]]="", 0, Table9[[#This Row],[Economic/ Social priority (laggered area) (100%)]]="Yes", 4, TRUE, 0)</f>
        <v>0</v>
      </c>
      <c r="CH35" s="529">
        <f>Table9[[#This Row],[Economic/ Social priority (laggered area) Score]]*'Detailed Rubric V3'!$C$82</f>
        <v>0</v>
      </c>
      <c r="CI35" s="529" t="s">
        <v>418</v>
      </c>
      <c r="CJ35" s="529" cm="1">
        <f t="array" ref="CJ35">_xlfn.IFS(Table9[[#This Row],[Regional Tax incentive  (0%)]]="", 0, Table9[[#This Row],[Regional Tax incentive  (0%)]]="Yes", 4, TRUE, 0)</f>
        <v>0</v>
      </c>
      <c r="CK35" s="529">
        <f>Table9[[#This Row],[Regional Tax incentive Score]]*'Detailed Rubric V3'!$F$82</f>
        <v>0</v>
      </c>
      <c r="CL35" s="529">
        <f>SUM(Table9[[#This Row],[Economic/ Social priority (laagered area) Weighted Score]],Table9[[#This Row],[Regional Tax incentive  Weighted Score]])*'Detailed Rubric V3'!$C$80</f>
        <v>0</v>
      </c>
      <c r="CM35" s="529">
        <v>861792</v>
      </c>
      <c r="CN35" s="529" cm="1">
        <f t="array" ref="CN35">_xlfn.IFS(Table9[[#This Row],[Employable population (40%) 2013]]="", 0, Table9[[#This Row],[Employable population (40%) 2013]]&gt;200000, 4, Table9[[#This Row],[Employable population (40%) 2013]]&lt;100000,0, TRUE, 2)</f>
        <v>4</v>
      </c>
      <c r="CO35" s="529">
        <f>Table9[[#This Row],[Employable population Score]]*'Detailed Rubric V3'!$C$92</f>
        <v>1.6</v>
      </c>
      <c r="CP35" s="529">
        <v>30</v>
      </c>
      <c r="CQ35" s="529" cm="1">
        <f t="array" ref="CQ35">_xlfn.IFS(Table9[[#This Row],[Housing (20%)]]="", 0, Table9[[#This Row],[Housing (20%)]]&gt;50, 0, Table9[[#This Row],[Housing (20%)]]&lt;25, 4, TRUE, 2)</f>
        <v>2</v>
      </c>
      <c r="CR35" s="529">
        <f>Table9[[#This Row],[Housing Score]]*'Detailed Rubric V3'!$F$92</f>
        <v>0.4</v>
      </c>
      <c r="CS35" s="529">
        <v>218</v>
      </c>
      <c r="CT35" s="529" cm="1">
        <f t="array" ref="CT35">_xlfn.IFS(Table9[[#This Row],[Hotels (10%)]]="", 0, Table9[[#This Row],[Hotels (10%)]]&gt;25, 4, Table9[[#This Row],[Hotels (10%)]]&lt;5, 0, TRUE, 2)</f>
        <v>4</v>
      </c>
      <c r="CU35" s="529">
        <f>Table9[[#This Row],[Hotels Score]]*'Detailed Rubric V3'!$I$92</f>
        <v>0.4</v>
      </c>
      <c r="CV35" s="529">
        <v>144</v>
      </c>
      <c r="CW35" s="529" cm="1">
        <f t="array" ref="CW35">_xlfn.IFS(Table9[[#This Row],[Health (Hospital) (15%)]]="", 0, Table9[[#This Row],[Health (Hospital) (15%)]]&gt;10, 4, Table9[[#This Row],[Health (Hospital) (15%)]]&lt;5, 0, TRUE, 2)</f>
        <v>4</v>
      </c>
      <c r="CX35" s="529">
        <f>Table9[[#This Row],[Health (Hospital) Score]]*'Detailed Rubric V3'!$L$92</f>
        <v>0.6</v>
      </c>
      <c r="CY35" s="529">
        <v>78</v>
      </c>
      <c r="CZ35" s="529" cm="1">
        <f t="array" ref="CZ35">_xlfn.IFS(Table9[[#This Row],[University/ Technical &amp; Vocational Institutions (15%)]]="", 0, Table9[[#This Row],[University/ Technical &amp; Vocational Institutions (15%)]]&gt;3, 4, Table9[[#This Row],[University/ Technical &amp; Vocational Institutions (15%)]]&lt;1, 0, TRUE, 2)</f>
        <v>4</v>
      </c>
      <c r="DA35" s="529">
        <f>Table9[[#This Row],[University/ Technical &amp; Vocational Institutions Score]]*'Detailed Rubric V3'!$O$92</f>
        <v>0.6</v>
      </c>
      <c r="DB35" s="529">
        <f>SUM(Table9[[#This Row],[Employable population Weighted Score]],Table9[[#This Row],[Housing Weighted Score]],Table9[[#This Row],[Hotels Weighted Score]],Table9[[#This Row],[Health (Hospital) Weighted Score]],Table9[[#This Row],[University/ Technical &amp; Vocational Institutions Weighted Score]])*'Detailed Rubric V3'!$C$90</f>
        <v>0.28800000000000003</v>
      </c>
      <c r="DC35" s="529" t="s">
        <v>418</v>
      </c>
      <c r="DD35" s="529" cm="1">
        <f t="array" ref="DD35">_xlfn.IFS(Table9[[#This Row],[Environment compliance (30%)]]="", 0, Table9[[#This Row],[Environment compliance (30%)]]="Yes", 4, TRUE, 0)</f>
        <v>0</v>
      </c>
      <c r="DE35" s="529">
        <f>Table9[[#This Row],[Environment compliance Score]]*'Detailed Rubric V3'!$C$104</f>
        <v>0</v>
      </c>
      <c r="DF35" s="529" t="s">
        <v>421</v>
      </c>
      <c r="DG35" s="529" cm="1">
        <f t="array" ref="DG35">_xlfn.IFS(Table9[[#This Row],[Flood Risk Index (30%)]]="", 0, Table9[[#This Row],[Flood Risk Index (30%)]]="Very Low", 4, Table9[[#This Row],[Flood Risk Index (30%)]]="Moderate &amp; Low", 2, TRUE, 0)</f>
        <v>0</v>
      </c>
      <c r="DH35" s="529">
        <f>Table9[[#This Row],[Flood Risk Index Score]]*'Detailed Rubric V3'!$F$104</f>
        <v>0</v>
      </c>
      <c r="DI35" s="529" t="s">
        <v>421</v>
      </c>
      <c r="DJ35" s="529" cm="1">
        <f t="array" ref="DJ35">_xlfn.IFS(Table9[[#This Row],[Earth Quake Risk Index (10%)]]="", 0, Table9[[#This Row],[Earth Quake Risk Index (10%)]]="Very Low", 4, Table9[[#This Row],[Earth Quake Risk Index (10%)]]="Moderate &amp; Low", 2, TRUE, 0)</f>
        <v>0</v>
      </c>
      <c r="DK35" s="529">
        <f>Table9[[#This Row],[Earth Quake Risk Index Score]]*'Detailed Rubric V3'!$I$104</f>
        <v>0</v>
      </c>
      <c r="DL35" s="529" t="s">
        <v>428</v>
      </c>
      <c r="DM35" s="529" cm="1">
        <f t="array" ref="DM35">_xlfn.IFS(Table9[[#This Row],[Sea Level Rise Risk Index (10%)]]="", 0, Table9[[#This Row],[Sea Level Rise Risk Index (10%)]]="Very Low", 4, Table9[[#This Row],[Sea Level Rise Risk Index (10%)]]="Moderate &amp; Low", 2, TRUE, 0)</f>
        <v>4</v>
      </c>
      <c r="DN35" s="529">
        <f>Table9[[#This Row],[Sea Level Rise  Risk Index Score]]*'Detailed Rubric V3'!$L$104</f>
        <v>0.4</v>
      </c>
      <c r="DO35" s="529" t="s">
        <v>420</v>
      </c>
      <c r="DP35" s="529" cm="1">
        <f t="array" ref="DP35">_xlfn.IFS(Table9[[#This Row],[Cyclone Risk Index (10%)]]="", 0, Table9[[#This Row],[Cyclone Risk Index (10%)]]="Very Low", 4, Table9[[#This Row],[Cyclone Risk Index (10%)]]="Moderate &amp; Low", 2, TRUE, 0)</f>
        <v>0</v>
      </c>
      <c r="DQ35" s="529">
        <f>Table9[[#This Row],[Cyclone Risk Index Score]]*'Detailed Rubric V3'!$O$104</f>
        <v>0</v>
      </c>
      <c r="DR35" s="529" t="s">
        <v>428</v>
      </c>
      <c r="DS35" s="529" cm="1">
        <f t="array" ref="DS35">_xlfn.IFS(Table9[[#This Row],[Storm Surge Risk Index (10%)]]="", 0, Table9[[#This Row],[Storm Surge Risk Index (10%)]]="Very Low", 4, Table9[[#This Row],[Storm Surge Risk Index (10%)]]="Moderate &amp; Low", 2, TRUE, 0)</f>
        <v>4</v>
      </c>
      <c r="DT35" s="529">
        <f>Table9[[#This Row],[Storm Surge Risk Index Score]]*'Detailed Rubric V3'!$R$104</f>
        <v>0.4</v>
      </c>
      <c r="DU35"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4.8000000000000001E-2</v>
      </c>
      <c r="DV35" s="533">
        <f>SUM(Table9[[#This Row],[2.1. Connectivity/ Logistics (10% weightage)]],Table9[[#This Row],[2.2. Utility (12% weightage)]],Table9[[#This Row],[2.3. Agglomeration effects (10% weightage)]],Table9[[#This Row],[2.4. Regional Policy (4% weightage)]],Table9[[#This Row],[2.5. Social (8% weightage)]],Table9[[#This Row],[2.6. Environment (6% weightage)]])</f>
        <v>1.556</v>
      </c>
      <c r="DW35" s="232">
        <f>_xlfn.RANK.EQ(Table9[[#This Row],[Level 2 Score]],$DV$3:$DV$103)</f>
        <v>24</v>
      </c>
      <c r="DX35" s="533">
        <f>Table9[[#This Row],[Level 1 Score]]+Table9[[#This Row],[Level 2 Score]]</f>
        <v>2.2560000000000002</v>
      </c>
      <c r="DY35" s="308">
        <f>_xlfn.RANK.EQ(Table9[[#This Row],[Total Score]],$DX$3:$DX$103)</f>
        <v>33</v>
      </c>
      <c r="DZ35" s="237" t="str">
        <f>IF(Table9[[#This Row],[Count of Blanks]]&lt;=2, "Yes", "No")</f>
        <v>Yes</v>
      </c>
      <c r="EA35" s="237">
        <f>COUNTBLANK(Table9[[#This Row],[Name]:[Total Score Rank]])</f>
        <v>2</v>
      </c>
      <c r="EB35" s="237"/>
    </row>
    <row r="36" spans="2:132" x14ac:dyDescent="0.25">
      <c r="B36" s="220">
        <v>92</v>
      </c>
      <c r="C36" s="221" t="s">
        <v>39</v>
      </c>
      <c r="D36" s="220" t="s">
        <v>76</v>
      </c>
      <c r="E36" s="220" t="s">
        <v>77</v>
      </c>
      <c r="F36" s="220" t="s">
        <v>93</v>
      </c>
      <c r="G36" s="220" t="s">
        <v>92</v>
      </c>
      <c r="H36" s="525" t="s">
        <v>410</v>
      </c>
      <c r="I36" s="70" t="s">
        <v>411</v>
      </c>
      <c r="J36" s="227" t="s">
        <v>412</v>
      </c>
      <c r="K36" s="220">
        <f>IFERROR(VLOOKUP(Table9[[#This Row],[Land Availability (Grade)​
(50%)]],'Detailed Rubric V3'!$B$8:$C$11,2), 0)</f>
        <v>4</v>
      </c>
      <c r="L36" s="220">
        <f>IFERROR(Table9[[#This Row],[Land Availability (Grade)​ Score]]*'Detailed Rubric V3'!$C$6, "")</f>
        <v>2</v>
      </c>
      <c r="M36" s="222">
        <v>67.916300000000007</v>
      </c>
      <c r="N36" s="222" cm="1">
        <f t="array" ref="N36">_xlfn.IFS(Table9[[#This Row],[Land Size (Acres)
(15%)]]&lt;100,0,Table9[[#This Row],[Land Size (Acres)
(15%)]]&gt;500,4,TRUE,2)</f>
        <v>0</v>
      </c>
      <c r="O36" s="222">
        <f>Table9[[#This Row],[Land Size (Acres) Score]]*'Detailed Rubric V3'!$G$6</f>
        <v>0</v>
      </c>
      <c r="P36" s="526"/>
      <c r="Q36" s="526">
        <f>IFERROR(Table9[[#This Row],[Site Filling Cost (Mn BDT)]]/Table9[[#This Row],[Land Size (Acres)
(15%)]],"")</f>
        <v>0</v>
      </c>
      <c r="R36" s="526" cm="1">
        <f t="array" ref="R36">IF(Table9[[#This Row],[Name]]="Sitakundo Economic Zone", 4, _xlfn.IFS(Table9[[#This Row],[Site Filling Cost (Mn BDT)]]="",0,Table9[[#This Row],[Land Suitability
(Cost of Land Filling in Million BDT per acre)
(25%)]]&gt;5,0,Table9[[#This Row],[Land Suitability
(Cost of Land Filling in Million BDT per acre)
(25%)]]&lt;2,4,TRUE,2))</f>
        <v>0</v>
      </c>
      <c r="S36" s="526">
        <f>Table9[[#This Row],[Land Suitability for Construction Score]]*'Detailed Rubric V3'!$J$6</f>
        <v>0</v>
      </c>
      <c r="T36" s="526"/>
      <c r="U36" s="526">
        <f>IFERROR(Table9[[#This Row],[Embankment/Dyke Cost (Mn BDT)]]/Table9[[#This Row],[Land Size (Acres)
(15%)]], 0)</f>
        <v>0</v>
      </c>
      <c r="V36" s="526" cm="1">
        <f t="array" ref="V36">IF(Table9[[#This Row],[Name]]="Sitakundo Economic Zone", 2, _xlfn.IFS(Table9[[#This Row],[Embankment/Dyke Cost (Mn BDT)]]="",0,Table9[[#This Row],[Cost of DRRI Infrastructure in million BDT per acre
(10%)]]&gt;5,0,Table9[[#This Row],[Cost of DRRI Infrastructure in million BDT per acre
(10%)]]&lt;2,4,TRUE,2))</f>
        <v>0</v>
      </c>
      <c r="W36" s="526">
        <f>Table9[[#This Row],[Requirement for Distaster Risk Reduction &amp; Resilience Infrastructure Score]]*'Detailed Rubric V3'!$M$6</f>
        <v>0</v>
      </c>
      <c r="X36"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v>
      </c>
      <c r="Y36" s="227" t="s">
        <v>440</v>
      </c>
      <c r="Z36" s="210">
        <f>IFERROR(VLOOKUP(Table9[[#This Row],[Zone Priority
(40%)]],'Detailed Rubric V3'!$B$18:$C$21, 2,FALSE), 0)</f>
        <v>4</v>
      </c>
      <c r="AA36" s="210">
        <f>IFERROR(Table9[[#This Row],[Zone Priority Score]]*'Detailed Rubric V3'!$C$16, 0)</f>
        <v>0</v>
      </c>
      <c r="AB36" s="237" t="s">
        <v>441</v>
      </c>
      <c r="AC36" s="237">
        <f>VLOOKUP(Table9[[#This Row],[Existing BEZA Report
(60%)]],'Detailed Rubric V3'!$E$18:$F$20,2,FALSE)</f>
        <v>0</v>
      </c>
      <c r="AD36" s="237">
        <f>Table9[[#This Row],[Existing BEZA Report Score]]*'Detailed Rubric V3'!F$16</f>
        <v>0</v>
      </c>
      <c r="AE36" s="237">
        <f>(Table9[[#This Row],[Zone Priority Weighted Score]]+Table9[[#This Row],[Existing BEZA Report Weighted Score]])*'Detailed Rubric V3'!$C$14</f>
        <v>0</v>
      </c>
      <c r="AF36" s="528">
        <v>18</v>
      </c>
      <c r="AG36" s="529" cm="1">
        <f t="array" ref="AG36">_xlfn.IFS(Table9[[#This Row],[Existing Sectors
(50%)]]&gt;10, 4,Table9[[#This Row],[Existing Sectors
(50%)]]&lt;5, 0, TRUE, 2)</f>
        <v>4</v>
      </c>
      <c r="AH36" s="529">
        <f>Table9[[#This Row],[Existing Sectors Score]]*'Detailed Rubric V3'!$C$25</f>
        <v>2</v>
      </c>
      <c r="AI36" s="529">
        <v>18</v>
      </c>
      <c r="AJ36" s="529">
        <v>0</v>
      </c>
      <c r="AK36" s="529" cm="1">
        <f t="array" ref="AK36">_xlfn.IFS(Table9[[#This Row],[Potential New Sectors
(50%)]]&gt;5, 4, Table9[[#This Row],[Potential New Sectors
(50%)]]&lt;2,0, TRUE, 2)</f>
        <v>0</v>
      </c>
      <c r="AL36" s="529">
        <f>Table9[[#This Row],[Potential New Sectors Score]]*'Detailed Rubric V3'!$F$25</f>
        <v>0</v>
      </c>
      <c r="AM36" s="232">
        <f>(Table9[[#This Row],[Existing Sectors Weighted Score]]+Table9[[#This Row],[Potential New Sectors Weighted Score]])*'Detailed Rubric V3'!$C$23</f>
        <v>0.3</v>
      </c>
      <c r="AN36" s="530">
        <f>SUM(Table9[[#This Row],[1.1. Land Details (20% weightage)]],Table9[[#This Row],[1.2. BEZA Existing plans (15% weightage)]],Table9[[#This Row],[1.3. Sector Demand (15% weightage):]])</f>
        <v>0.7</v>
      </c>
      <c r="AO36" s="531">
        <f>_xlfn.RANK.EQ(Table9[[#This Row],[Level 1 Score]],$AN$3:$AN$103)</f>
        <v>41</v>
      </c>
      <c r="AP36" s="529">
        <v>1</v>
      </c>
      <c r="AQ36" s="529" cm="1">
        <f t="array" ref="AQ36">_xlfn.IFS(Table9[[#This Row],[National Highway Connectivity (km)
(15%)]]="", 0, Table9[[#This Row],[National Highway Connectivity (km)
(15%)]]&gt;50, 0, Table9[[#This Row],[National Highway Connectivity (km)
(15%)]]&lt;=25, 4, TRUE, 2)</f>
        <v>4</v>
      </c>
      <c r="AR36" s="529">
        <f>Table9[[#This Row],[National Highway Connectivity Score]]*'Detailed Rubric V3'!$C$35</f>
        <v>0.6</v>
      </c>
      <c r="AS36" s="529" t="s">
        <v>417</v>
      </c>
      <c r="AT36" s="529" cm="1">
        <f t="array" ref="AT36">_xlfn.IFS(Table9[[#This Row],[Connecting Road to Highway (km)
(15%)]]="", 0, Table9[[#This Row],[Connecting Road to Highway (km)
(15%)]]="Yes", 4, TRUE, 0)</f>
        <v>4</v>
      </c>
      <c r="AU36" s="529">
        <f>Table9[[#This Row],[Connecting Road to Highway Score]]*'Detailed Rubric V3'!$F$35</f>
        <v>0.6</v>
      </c>
      <c r="AV36" s="529">
        <v>230</v>
      </c>
      <c r="AW36" s="529" cm="1">
        <f t="array" ref="AW36">_xlfn.IFS(Table9[[#This Row],[Seaport Connectivity (km)
(30%)]]="",0, Table9[[#This Row],[Seaport Connectivity (km)
(30%)]]&gt;400, 0,Table9[[#This Row],[Seaport Connectivity (km)
(30%)]]&lt;=200,4, TRUE, 2)</f>
        <v>2</v>
      </c>
      <c r="AX36" s="529">
        <f>Table9[[#This Row],[Seaport Connectivity Score]]*'Detailed Rubric V3'!$I$35</f>
        <v>0.6</v>
      </c>
      <c r="AY36" s="529">
        <v>38</v>
      </c>
      <c r="AZ36" s="529" cm="1">
        <f t="array" ref="AZ36">_xlfn.IFS(Table9[[#This Row],[Airport Connectivity (km)
(10%)]]="", 0, Table9[[#This Row],[Airport Connectivity (km)
(10%)]]&gt;200, 0, Table9[[#This Row],[Airport Connectivity (km)
(10%)]]&lt;=100,4,TRUE, 2)</f>
        <v>4</v>
      </c>
      <c r="BA36" s="529">
        <f>Table9[[#This Row],[Airport Connectivity Score]]*'Detailed Rubric V3'!$C$41</f>
        <v>0.4</v>
      </c>
      <c r="BB36" s="529">
        <v>32</v>
      </c>
      <c r="BC36" s="529" cm="1">
        <f t="array" ref="BC36">_xlfn.IFS(Table9[[#This Row],[Railway Station (km)
(10%)]]="", 0, Table9[[#This Row],[Railway Station (km)
(10%)]]&gt;150, 0,Table9[[#This Row],[Railway Station (km)
(10%)]]&lt;=50,4, TRUE, 2)</f>
        <v>4</v>
      </c>
      <c r="BD36" s="529">
        <f>Table9[[#This Row],[Railway Station Score]]*'Detailed Rubric V3'!$F$41</f>
        <v>0.4</v>
      </c>
      <c r="BE36" s="529">
        <v>4.5</v>
      </c>
      <c r="BF36" s="529" cm="1">
        <f t="array" ref="BF36">_xlfn.IFS(Table9[[#This Row],[Inland waterway/ Land port (km)
(20%)]]="", 0, Table9[[#This Row],[Inland waterway/ Land port (km)
(20%)]]&gt;200, 0,Table9[[#This Row],[Inland waterway/ Land port (km)
(20%)]]&lt;=50,4, TRUE, 2)</f>
        <v>4</v>
      </c>
      <c r="BG36" s="529">
        <f>Table9[[#This Row],[Inland waterway/ Land port Score]]*'Detailed Rubric V3'!$I$41</f>
        <v>0.8</v>
      </c>
      <c r="BH36"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0.33999999999999997</v>
      </c>
      <c r="BI36" s="529">
        <v>0</v>
      </c>
      <c r="BJ36" s="529" cm="1">
        <f t="array" ref="BJ36">_xlfn.IFS(Table9[[#This Row],[Power Station (40%)]]="",0, Table9[[#This Row],[Power Station (40%)]]&gt;100, 0,Table9[[#This Row],[Power Station (40%)]]&lt;=50,4, TRUE, 2)</f>
        <v>4</v>
      </c>
      <c r="BK36" s="529">
        <f>Table9[[#This Row],[Power Station Score]]*'Detailed Rubric V3'!$C$53</f>
        <v>1.6</v>
      </c>
      <c r="BL36" s="529">
        <v>30</v>
      </c>
      <c r="BM36" s="529" cm="1">
        <f t="array" ref="BM36">IF(ISNUMBER(Table9[[#This Row],[Gas Station (20%)]]), _xlfn.IFS(Table9[[#This Row],[Gas Station (20%)]]="", 0, Table9[[#This Row],[Gas Station (20%)]]&gt;100, 0,Table9[[#This Row],[Gas Station (20%)]]&lt;=50,4, TRUE, 2), 0)</f>
        <v>4</v>
      </c>
      <c r="BN36" s="529">
        <f>Table9[[#This Row],[Gas Station Score]]*'Detailed Rubric V3'!$F$53</f>
        <v>0.8</v>
      </c>
      <c r="BO36" s="529">
        <v>1</v>
      </c>
      <c r="BP36" s="529" cm="1">
        <f t="array" ref="BP36">IF(ISNUMBER(Table9[[#This Row],[Source of Surface Water (40%)]]), _xlfn.IFS(Table9[[#This Row],[Source of Surface Water (40%)]]="", 0, Table9[[#This Row],[Source of Surface Water (40%)]]&gt;50, 0,Table9[[#This Row],[Source of Surface Water (40%)]]&lt;=20,4, TRUE, 2), 0)</f>
        <v>4</v>
      </c>
      <c r="BQ36" s="529">
        <f>Table9[[#This Row],[Source of Surface Water Score]]*'Detailed Rubric V3'!$I$53</f>
        <v>1.6</v>
      </c>
      <c r="BR36" s="529">
        <f>SUM(Table9[[#This Row],[Power Station Weighted Score]],Table9[[#This Row],[Gas Station Weighted Score]],Table9[[#This Row],[Source of Surface Water Weighted Score]])*'Detailed Rubric V3'!$C$51</f>
        <v>0.48</v>
      </c>
      <c r="BS36" s="529" t="s">
        <v>417</v>
      </c>
      <c r="BT36" s="529" cm="1">
        <f t="array" ref="BT36">_xlfn.IFS(Table9[[#This Row],[Other BEZA EZ (20%)]]="", 0, Table9[[#This Row],[Other BEZA EZ (20%)]]="Yes", 4, TRUE, 0)</f>
        <v>4</v>
      </c>
      <c r="BU36" s="529">
        <f>Table9[[#This Row],[Other BEZA EZ Score]]*'Detailed Rubric V3'!$C$66</f>
        <v>0.8</v>
      </c>
      <c r="BV36" s="529" t="s">
        <v>417</v>
      </c>
      <c r="BW36" s="529" cm="1">
        <f t="array" ref="BW36">_xlfn.IFS(Table9[[#This Row],[BEPZA/ BHPTA/ BSCIC (20%)]]="", 0, Table9[[#This Row],[BEPZA/ BHPTA/ BSCIC (20%)]]="Yes", 4, TRUE, 0)</f>
        <v>4</v>
      </c>
      <c r="BX36" s="529">
        <f>Table9[[#This Row],[BEPZA/ BHPTA/ BSCIC Score]]*'Detailed Rubric V3'!$F$66</f>
        <v>0.8</v>
      </c>
      <c r="BY36" s="529">
        <v>606</v>
      </c>
      <c r="BZ36" s="529" cm="1">
        <f t="array" ref="BZ36">_xlfn.IFS(Table9[[#This Row],[Cluster Industries (from SMI) (20%)]]="", 0, Table9[[#This Row],[Cluster Industries (from SMI) (20%)]]&gt;100, 4, Table9[[#This Row],[Cluster Industries (from SMI) (20%)]]&lt;50, 0, TRUE, 2)</f>
        <v>4</v>
      </c>
      <c r="CA36" s="529">
        <f>Table9[[#This Row],[Cluster Industries (from SMI) Score]]*'Detailed Rubric V3'!$I$66</f>
        <v>0.8</v>
      </c>
      <c r="CB36" s="529" t="s">
        <v>417</v>
      </c>
      <c r="CC36" s="529" cm="1">
        <f t="array" ref="CC36">_xlfn.IFS(Table9[[#This Row],[Located on Industrial corridor (40%)]]="", 0, Table9[[#This Row],[Located on Industrial corridor (40%)]]="Yes", 4, TRUE, 0)</f>
        <v>4</v>
      </c>
      <c r="CD36" s="529">
        <f>Table9[[#This Row],[Located on Industrial corridor Score]]*'Detailed Rubric V3'!$L$66</f>
        <v>1.6</v>
      </c>
      <c r="CE36" s="529">
        <f>SUM(Table9[[#This Row],[Other BEZA EZ Weighted Score]],Table9[[#This Row],[BEPZA/ BHPTA/ BSCIC Weighted Score]],Table9[[#This Row],[Unorganized (from SMI) Weighted Score]],Table9[[#This Row],[Located on Industrial corridor Weighted Score]])*'Detailed Rubric V3'!$C$64</f>
        <v>0.4</v>
      </c>
      <c r="CF36" s="529" t="s">
        <v>418</v>
      </c>
      <c r="CG36" s="529" cm="1">
        <f t="array" ref="CG36">_xlfn.IFS(Table9[[#This Row],[Economic/ Social priority (laggered area) (100%)]]="", 0, Table9[[#This Row],[Economic/ Social priority (laggered area) (100%)]]="Yes", 4, TRUE, 0)</f>
        <v>0</v>
      </c>
      <c r="CH36" s="529">
        <f>Table9[[#This Row],[Economic/ Social priority (laggered area) Score]]*'Detailed Rubric V3'!$C$82</f>
        <v>0</v>
      </c>
      <c r="CI36" s="529" t="s">
        <v>418</v>
      </c>
      <c r="CJ36" s="529" cm="1">
        <f t="array" ref="CJ36">_xlfn.IFS(Table9[[#This Row],[Regional Tax incentive  (0%)]]="", 0, Table9[[#This Row],[Regional Tax incentive  (0%)]]="Yes", 4, TRUE, 0)</f>
        <v>0</v>
      </c>
      <c r="CK36" s="529">
        <f>Table9[[#This Row],[Regional Tax incentive Score]]*'Detailed Rubric V3'!$F$82</f>
        <v>0</v>
      </c>
      <c r="CL36" s="529">
        <f>SUM(Table9[[#This Row],[Economic/ Social priority (laagered area) Weighted Score]],Table9[[#This Row],[Regional Tax incentive  Weighted Score]])*'Detailed Rubric V3'!$C$80</f>
        <v>0</v>
      </c>
      <c r="CM36" s="529">
        <v>861792</v>
      </c>
      <c r="CN36" s="529" cm="1">
        <f t="array" ref="CN36">_xlfn.IFS(Table9[[#This Row],[Employable population (40%) 2013]]="", 0, Table9[[#This Row],[Employable population (40%) 2013]]&gt;200000, 4, Table9[[#This Row],[Employable population (40%) 2013]]&lt;100000,0, TRUE, 2)</f>
        <v>4</v>
      </c>
      <c r="CO36" s="529">
        <f>Table9[[#This Row],[Employable population Score]]*'Detailed Rubric V3'!$C$92</f>
        <v>1.6</v>
      </c>
      <c r="CP36" s="529">
        <v>26</v>
      </c>
      <c r="CQ36" s="529" cm="1">
        <f t="array" ref="CQ36">_xlfn.IFS(Table9[[#This Row],[Housing (20%)]]="", 0, Table9[[#This Row],[Housing (20%)]]&gt;50, 0, Table9[[#This Row],[Housing (20%)]]&lt;25, 4, TRUE, 2)</f>
        <v>2</v>
      </c>
      <c r="CR36" s="529">
        <f>Table9[[#This Row],[Housing Score]]*'Detailed Rubric V3'!$F$92</f>
        <v>0.4</v>
      </c>
      <c r="CS36" s="529">
        <v>218</v>
      </c>
      <c r="CT36" s="529" cm="1">
        <f t="array" ref="CT36">_xlfn.IFS(Table9[[#This Row],[Hotels (10%)]]="", 0, Table9[[#This Row],[Hotels (10%)]]&gt;25, 4, Table9[[#This Row],[Hotels (10%)]]&lt;5, 0, TRUE, 2)</f>
        <v>4</v>
      </c>
      <c r="CU36" s="529">
        <f>Table9[[#This Row],[Hotels Score]]*'Detailed Rubric V3'!$I$92</f>
        <v>0.4</v>
      </c>
      <c r="CV36" s="529">
        <v>144</v>
      </c>
      <c r="CW36" s="529" cm="1">
        <f t="array" ref="CW36">_xlfn.IFS(Table9[[#This Row],[Health (Hospital) (15%)]]="", 0, Table9[[#This Row],[Health (Hospital) (15%)]]&gt;10, 4, Table9[[#This Row],[Health (Hospital) (15%)]]&lt;5, 0, TRUE, 2)</f>
        <v>4</v>
      </c>
      <c r="CX36" s="529">
        <f>Table9[[#This Row],[Health (Hospital) Score]]*'Detailed Rubric V3'!$L$92</f>
        <v>0.6</v>
      </c>
      <c r="CY36" s="529">
        <v>78</v>
      </c>
      <c r="CZ36" s="529" cm="1">
        <f t="array" ref="CZ36">_xlfn.IFS(Table9[[#This Row],[University/ Technical &amp; Vocational Institutions (15%)]]="", 0, Table9[[#This Row],[University/ Technical &amp; Vocational Institutions (15%)]]&gt;3, 4, Table9[[#This Row],[University/ Technical &amp; Vocational Institutions (15%)]]&lt;1, 0, TRUE, 2)</f>
        <v>4</v>
      </c>
      <c r="DA36" s="529">
        <f>Table9[[#This Row],[University/ Technical &amp; Vocational Institutions Score]]*'Detailed Rubric V3'!$O$92</f>
        <v>0.6</v>
      </c>
      <c r="DB36" s="529">
        <f>SUM(Table9[[#This Row],[Employable population Weighted Score]],Table9[[#This Row],[Housing Weighted Score]],Table9[[#This Row],[Hotels Weighted Score]],Table9[[#This Row],[Health (Hospital) Weighted Score]],Table9[[#This Row],[University/ Technical &amp; Vocational Institutions Weighted Score]])*'Detailed Rubric V3'!$C$90</f>
        <v>0.28800000000000003</v>
      </c>
      <c r="DC36" s="529" t="s">
        <v>418</v>
      </c>
      <c r="DD36" s="529" cm="1">
        <f t="array" ref="DD36">_xlfn.IFS(Table9[[#This Row],[Environment compliance (30%)]]="", 0, Table9[[#This Row],[Environment compliance (30%)]]="Yes", 4, TRUE, 0)</f>
        <v>0</v>
      </c>
      <c r="DE36" s="529">
        <f>Table9[[#This Row],[Environment compliance Score]]*'Detailed Rubric V3'!$C$104</f>
        <v>0</v>
      </c>
      <c r="DF36" s="529" t="s">
        <v>421</v>
      </c>
      <c r="DG36" s="529" cm="1">
        <f t="array" ref="DG36">_xlfn.IFS(Table9[[#This Row],[Flood Risk Index (30%)]]="", 0, Table9[[#This Row],[Flood Risk Index (30%)]]="Very Low", 4, Table9[[#This Row],[Flood Risk Index (30%)]]="Moderate &amp; Low", 2, TRUE, 0)</f>
        <v>0</v>
      </c>
      <c r="DH36" s="529">
        <f>Table9[[#This Row],[Flood Risk Index Score]]*'Detailed Rubric V3'!$F$104</f>
        <v>0</v>
      </c>
      <c r="DI36" s="529" t="s">
        <v>421</v>
      </c>
      <c r="DJ36" s="529" cm="1">
        <f t="array" ref="DJ36">_xlfn.IFS(Table9[[#This Row],[Earth Quake Risk Index (10%)]]="", 0, Table9[[#This Row],[Earth Quake Risk Index (10%)]]="Very Low", 4, Table9[[#This Row],[Earth Quake Risk Index (10%)]]="Moderate &amp; Low", 2, TRUE, 0)</f>
        <v>0</v>
      </c>
      <c r="DK36" s="529">
        <f>Table9[[#This Row],[Earth Quake Risk Index Score]]*'Detailed Rubric V3'!$I$104</f>
        <v>0</v>
      </c>
      <c r="DL36" s="529" t="s">
        <v>428</v>
      </c>
      <c r="DM36" s="529" cm="1">
        <f t="array" ref="DM36">_xlfn.IFS(Table9[[#This Row],[Sea Level Rise Risk Index (10%)]]="", 0, Table9[[#This Row],[Sea Level Rise Risk Index (10%)]]="Very Low", 4, Table9[[#This Row],[Sea Level Rise Risk Index (10%)]]="Moderate &amp; Low", 2, TRUE, 0)</f>
        <v>4</v>
      </c>
      <c r="DN36" s="529">
        <f>Table9[[#This Row],[Sea Level Rise  Risk Index Score]]*'Detailed Rubric V3'!$L$104</f>
        <v>0.4</v>
      </c>
      <c r="DO36" s="529" t="s">
        <v>420</v>
      </c>
      <c r="DP36" s="529" cm="1">
        <f t="array" ref="DP36">_xlfn.IFS(Table9[[#This Row],[Cyclone Risk Index (10%)]]="", 0, Table9[[#This Row],[Cyclone Risk Index (10%)]]="Very Low", 4, Table9[[#This Row],[Cyclone Risk Index (10%)]]="Moderate &amp; Low", 2, TRUE, 0)</f>
        <v>0</v>
      </c>
      <c r="DQ36" s="529">
        <f>Table9[[#This Row],[Cyclone Risk Index Score]]*'Detailed Rubric V3'!$O$104</f>
        <v>0</v>
      </c>
      <c r="DR36" s="529" t="s">
        <v>428</v>
      </c>
      <c r="DS36" s="529" cm="1">
        <f t="array" ref="DS36">_xlfn.IFS(Table9[[#This Row],[Storm Surge Risk Index (10%)]]="", 0, Table9[[#This Row],[Storm Surge Risk Index (10%)]]="Very Low", 4, Table9[[#This Row],[Storm Surge Risk Index (10%)]]="Moderate &amp; Low", 2, TRUE, 0)</f>
        <v>4</v>
      </c>
      <c r="DT36" s="529">
        <f>Table9[[#This Row],[Storm Surge Risk Index Score]]*'Detailed Rubric V3'!$R$104</f>
        <v>0.4</v>
      </c>
      <c r="DU36"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4.8000000000000001E-2</v>
      </c>
      <c r="DV36" s="533">
        <f>SUM(Table9[[#This Row],[2.1. Connectivity/ Logistics (10% weightage)]],Table9[[#This Row],[2.2. Utility (12% weightage)]],Table9[[#This Row],[2.3. Agglomeration effects (10% weightage)]],Table9[[#This Row],[2.4. Regional Policy (4% weightage)]],Table9[[#This Row],[2.5. Social (8% weightage)]],Table9[[#This Row],[2.6. Environment (6% weightage)]])</f>
        <v>1.556</v>
      </c>
      <c r="DW36" s="232">
        <f>_xlfn.RANK.EQ(Table9[[#This Row],[Level 2 Score]],$DV$3:$DV$103)</f>
        <v>24</v>
      </c>
      <c r="DX36" s="533">
        <f>Table9[[#This Row],[Level 1 Score]]+Table9[[#This Row],[Level 2 Score]]</f>
        <v>2.2560000000000002</v>
      </c>
      <c r="DY36" s="308">
        <f>_xlfn.RANK.EQ(Table9[[#This Row],[Total Score]],$DX$3:$DX$103)</f>
        <v>33</v>
      </c>
      <c r="DZ36" s="237" t="str">
        <f>IF(Table9[[#This Row],[Count of Blanks]]&lt;=2, "Yes", "No")</f>
        <v>Yes</v>
      </c>
      <c r="EA36" s="237">
        <f>COUNTBLANK(Table9[[#This Row],[Name]:[Total Score Rank]])</f>
        <v>2</v>
      </c>
      <c r="EB36" s="237"/>
    </row>
    <row r="37" spans="2:132" x14ac:dyDescent="0.25">
      <c r="B37" s="220">
        <v>83</v>
      </c>
      <c r="C37" s="221" t="s">
        <v>40</v>
      </c>
      <c r="D37" s="220" t="s">
        <v>68</v>
      </c>
      <c r="E37" s="220" t="s">
        <v>100</v>
      </c>
      <c r="F37" s="220" t="s">
        <v>101</v>
      </c>
      <c r="G37" s="220" t="s">
        <v>92</v>
      </c>
      <c r="H37" s="525" t="s">
        <v>410</v>
      </c>
      <c r="I37" s="70" t="s">
        <v>426</v>
      </c>
      <c r="J37" s="227" t="s">
        <v>412</v>
      </c>
      <c r="K37" s="220">
        <f>IFERROR(VLOOKUP(Table9[[#This Row],[Land Availability (Grade)​
(50%)]],'Detailed Rubric V3'!$B$8:$C$11,2), 0)</f>
        <v>4</v>
      </c>
      <c r="L37" s="220">
        <f>IFERROR(Table9[[#This Row],[Land Availability (Grade)​ Score]]*'Detailed Rubric V3'!$C$6, "")</f>
        <v>2</v>
      </c>
      <c r="M37" s="222">
        <v>272</v>
      </c>
      <c r="N37" s="222" cm="1">
        <f t="array" ref="N37">_xlfn.IFS(Table9[[#This Row],[Land Size (Acres)
(15%)]]&lt;100,0,Table9[[#This Row],[Land Size (Acres)
(15%)]]&gt;500,4,TRUE,2)</f>
        <v>2</v>
      </c>
      <c r="O37" s="222">
        <f>Table9[[#This Row],[Land Size (Acres) Score]]*'Detailed Rubric V3'!$G$6</f>
        <v>0.3</v>
      </c>
      <c r="P37" s="526"/>
      <c r="Q37" s="526">
        <f>IFERROR(Table9[[#This Row],[Site Filling Cost (Mn BDT)]]/Table9[[#This Row],[Land Size (Acres)
(15%)]],"")</f>
        <v>0</v>
      </c>
      <c r="R37" s="526" cm="1">
        <f t="array" ref="R37">IF(Table9[[#This Row],[Name]]="Sitakundo Economic Zone", 4, _xlfn.IFS(Table9[[#This Row],[Site Filling Cost (Mn BDT)]]="",0,Table9[[#This Row],[Land Suitability
(Cost of Land Filling in Million BDT per acre)
(25%)]]&gt;5,0,Table9[[#This Row],[Land Suitability
(Cost of Land Filling in Million BDT per acre)
(25%)]]&lt;2,4,TRUE,2))</f>
        <v>0</v>
      </c>
      <c r="S37" s="526">
        <f>Table9[[#This Row],[Land Suitability for Construction Score]]*'Detailed Rubric V3'!$J$6</f>
        <v>0</v>
      </c>
      <c r="T37" s="526"/>
      <c r="U37" s="526">
        <f>IFERROR(Table9[[#This Row],[Embankment/Dyke Cost (Mn BDT)]]/Table9[[#This Row],[Land Size (Acres)
(15%)]], 0)</f>
        <v>0</v>
      </c>
      <c r="V37" s="526" cm="1">
        <f t="array" ref="V37">IF(Table9[[#This Row],[Name]]="Sitakundo Economic Zone", 2, _xlfn.IFS(Table9[[#This Row],[Embankment/Dyke Cost (Mn BDT)]]="",0,Table9[[#This Row],[Cost of DRRI Infrastructure in million BDT per acre
(10%)]]&gt;5,0,Table9[[#This Row],[Cost of DRRI Infrastructure in million BDT per acre
(10%)]]&lt;2,4,TRUE,2))</f>
        <v>0</v>
      </c>
      <c r="W37" s="526">
        <f>Table9[[#This Row],[Requirement for Distaster Risk Reduction &amp; Resilience Infrastructure Score]]*'Detailed Rubric V3'!$M$6</f>
        <v>0</v>
      </c>
      <c r="X37"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0.45999999999999996</v>
      </c>
      <c r="Y37" s="227" t="s">
        <v>440</v>
      </c>
      <c r="Z37" s="210">
        <f>IFERROR(VLOOKUP(Table9[[#This Row],[Zone Priority
(40%)]],'Detailed Rubric V3'!$B$18:$C$21, 2,FALSE), 0)</f>
        <v>4</v>
      </c>
      <c r="AA37" s="210">
        <f>IFERROR(Table9[[#This Row],[Zone Priority Score]]*'Detailed Rubric V3'!$C$16, 0)</f>
        <v>0</v>
      </c>
      <c r="AB37" s="237" t="s">
        <v>441</v>
      </c>
      <c r="AC37" s="237">
        <f>VLOOKUP(Table9[[#This Row],[Existing BEZA Report
(60%)]],'Detailed Rubric V3'!$E$18:$F$20,2,FALSE)</f>
        <v>0</v>
      </c>
      <c r="AD37" s="237">
        <f>Table9[[#This Row],[Existing BEZA Report Score]]*'Detailed Rubric V3'!F$16</f>
        <v>0</v>
      </c>
      <c r="AE37" s="237">
        <f>(Table9[[#This Row],[Zone Priority Weighted Score]]+Table9[[#This Row],[Existing BEZA Report Weighted Score]])*'Detailed Rubric V3'!$C$14</f>
        <v>0</v>
      </c>
      <c r="AF37" s="528">
        <v>3</v>
      </c>
      <c r="AG37" s="529" cm="1">
        <f t="array" ref="AG37">_xlfn.IFS(Table9[[#This Row],[Existing Sectors
(50%)]]&gt;10, 4,Table9[[#This Row],[Existing Sectors
(50%)]]&lt;5, 0, TRUE, 2)</f>
        <v>0</v>
      </c>
      <c r="AH37" s="529">
        <f>Table9[[#This Row],[Existing Sectors Score]]*'Detailed Rubric V3'!$C$25</f>
        <v>0</v>
      </c>
      <c r="AI37" s="529">
        <v>5</v>
      </c>
      <c r="AJ37" s="529">
        <v>2</v>
      </c>
      <c r="AK37" s="529" cm="1">
        <f t="array" ref="AK37">_xlfn.IFS(Table9[[#This Row],[Potential New Sectors
(50%)]]&gt;5, 4, Table9[[#This Row],[Potential New Sectors
(50%)]]&lt;2,0, TRUE, 2)</f>
        <v>2</v>
      </c>
      <c r="AL37" s="529">
        <f>Table9[[#This Row],[Potential New Sectors Score]]*'Detailed Rubric V3'!$F$25</f>
        <v>1</v>
      </c>
      <c r="AM37" s="232">
        <f>(Table9[[#This Row],[Existing Sectors Weighted Score]]+Table9[[#This Row],[Potential New Sectors Weighted Score]])*'Detailed Rubric V3'!$C$23</f>
        <v>0.15</v>
      </c>
      <c r="AN37" s="530">
        <f>SUM(Table9[[#This Row],[1.1. Land Details (20% weightage)]],Table9[[#This Row],[1.2. BEZA Existing plans (15% weightage)]],Table9[[#This Row],[1.3. Sector Demand (15% weightage):]])</f>
        <v>0.61</v>
      </c>
      <c r="AO37" s="531">
        <f>_xlfn.RANK.EQ(Table9[[#This Row],[Level 1 Score]],$AN$3:$AN$103)</f>
        <v>52</v>
      </c>
      <c r="AP37" s="529">
        <v>0.9</v>
      </c>
      <c r="AQ37" s="529" cm="1">
        <f t="array" ref="AQ37">_xlfn.IFS(Table9[[#This Row],[National Highway Connectivity (km)
(15%)]]="", 0, Table9[[#This Row],[National Highway Connectivity (km)
(15%)]]&gt;50, 0, Table9[[#This Row],[National Highway Connectivity (km)
(15%)]]&lt;=25, 4, TRUE, 2)</f>
        <v>4</v>
      </c>
      <c r="AR37" s="529">
        <f>Table9[[#This Row],[National Highway Connectivity Score]]*'Detailed Rubric V3'!$C$35</f>
        <v>0.6</v>
      </c>
      <c r="AS37" s="529" t="s">
        <v>417</v>
      </c>
      <c r="AT37" s="529" cm="1">
        <f t="array" ref="AT37">_xlfn.IFS(Table9[[#This Row],[Connecting Road to Highway (km)
(15%)]]="", 0, Table9[[#This Row],[Connecting Road to Highway (km)
(15%)]]="Yes", 4, TRUE, 0)</f>
        <v>4</v>
      </c>
      <c r="AU37" s="529">
        <f>Table9[[#This Row],[Connecting Road to Highway Score]]*'Detailed Rubric V3'!$F$35</f>
        <v>0.6</v>
      </c>
      <c r="AV37" s="529">
        <v>215</v>
      </c>
      <c r="AW37" s="529" cm="1">
        <f t="array" ref="AW37">_xlfn.IFS(Table9[[#This Row],[Seaport Connectivity (km)
(30%)]]="",0, Table9[[#This Row],[Seaport Connectivity (km)
(30%)]]&gt;400, 0,Table9[[#This Row],[Seaport Connectivity (km)
(30%)]]&lt;=200,4, TRUE, 2)</f>
        <v>2</v>
      </c>
      <c r="AX37" s="529">
        <f>Table9[[#This Row],[Seaport Connectivity Score]]*'Detailed Rubric V3'!$I$35</f>
        <v>0.6</v>
      </c>
      <c r="AY37" s="529">
        <v>52</v>
      </c>
      <c r="AZ37" s="529" cm="1">
        <f t="array" ref="AZ37">_xlfn.IFS(Table9[[#This Row],[Airport Connectivity (km)
(10%)]]="", 0, Table9[[#This Row],[Airport Connectivity (km)
(10%)]]&gt;200, 0, Table9[[#This Row],[Airport Connectivity (km)
(10%)]]&lt;=100,4,TRUE, 2)</f>
        <v>4</v>
      </c>
      <c r="BA37" s="529">
        <f>Table9[[#This Row],[Airport Connectivity Score]]*'Detailed Rubric V3'!$C$41</f>
        <v>0.4</v>
      </c>
      <c r="BB37" s="529">
        <v>36</v>
      </c>
      <c r="BC37" s="529" cm="1">
        <f t="array" ref="BC37">_xlfn.IFS(Table9[[#This Row],[Railway Station (km)
(10%)]]="", 0, Table9[[#This Row],[Railway Station (km)
(10%)]]&gt;150, 0,Table9[[#This Row],[Railway Station (km)
(10%)]]&lt;=50,4, TRUE, 2)</f>
        <v>4</v>
      </c>
      <c r="BD37" s="529">
        <f>Table9[[#This Row],[Railway Station Score]]*'Detailed Rubric V3'!$F$41</f>
        <v>0.4</v>
      </c>
      <c r="BE37" s="529">
        <v>97</v>
      </c>
      <c r="BF37" s="529" cm="1">
        <f t="array" ref="BF37">_xlfn.IFS(Table9[[#This Row],[Inland waterway/ Land port (km)
(20%)]]="", 0, Table9[[#This Row],[Inland waterway/ Land port (km)
(20%)]]&gt;200, 0,Table9[[#This Row],[Inland waterway/ Land port (km)
(20%)]]&lt;=50,4, TRUE, 2)</f>
        <v>2</v>
      </c>
      <c r="BG37" s="529">
        <f>Table9[[#This Row],[Inland waterway/ Land port Score]]*'Detailed Rubric V3'!$I$41</f>
        <v>0.4</v>
      </c>
      <c r="BH37"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v>
      </c>
      <c r="BI37" s="529">
        <v>8.5</v>
      </c>
      <c r="BJ37" s="529" cm="1">
        <f t="array" ref="BJ37">_xlfn.IFS(Table9[[#This Row],[Power Station (40%)]]="",0, Table9[[#This Row],[Power Station (40%)]]&gt;100, 0,Table9[[#This Row],[Power Station (40%)]]&lt;=50,4, TRUE, 2)</f>
        <v>4</v>
      </c>
      <c r="BK37" s="529">
        <f>Table9[[#This Row],[Power Station Score]]*'Detailed Rubric V3'!$C$53</f>
        <v>1.6</v>
      </c>
      <c r="BL37" s="529">
        <v>79.900000000000006</v>
      </c>
      <c r="BM37" s="529" cm="1">
        <f t="array" ref="BM37">IF(ISNUMBER(Table9[[#This Row],[Gas Station (20%)]]), _xlfn.IFS(Table9[[#This Row],[Gas Station (20%)]]="", 0, Table9[[#This Row],[Gas Station (20%)]]&gt;100, 0,Table9[[#This Row],[Gas Station (20%)]]&lt;=50,4, TRUE, 2), 0)</f>
        <v>2</v>
      </c>
      <c r="BN37" s="529">
        <f>Table9[[#This Row],[Gas Station Score]]*'Detailed Rubric V3'!$F$53</f>
        <v>0.4</v>
      </c>
      <c r="BO37" s="529">
        <v>2</v>
      </c>
      <c r="BP37" s="529" cm="1">
        <f t="array" ref="BP37">IF(ISNUMBER(Table9[[#This Row],[Source of Surface Water (40%)]]), _xlfn.IFS(Table9[[#This Row],[Source of Surface Water (40%)]]="", 0, Table9[[#This Row],[Source of Surface Water (40%)]]&gt;50, 0,Table9[[#This Row],[Source of Surface Water (40%)]]&lt;=20,4, TRUE, 2), 0)</f>
        <v>4</v>
      </c>
      <c r="BQ37" s="529">
        <f>Table9[[#This Row],[Source of Surface Water Score]]*'Detailed Rubric V3'!$I$53</f>
        <v>1.6</v>
      </c>
      <c r="BR37" s="529">
        <f>SUM(Table9[[#This Row],[Power Station Weighted Score]],Table9[[#This Row],[Gas Station Weighted Score]],Table9[[#This Row],[Source of Surface Water Weighted Score]])*'Detailed Rubric V3'!$C$51</f>
        <v>0.432</v>
      </c>
      <c r="BS37" s="529" t="s">
        <v>417</v>
      </c>
      <c r="BT37" s="529" cm="1">
        <f t="array" ref="BT37">_xlfn.IFS(Table9[[#This Row],[Other BEZA EZ (20%)]]="", 0, Table9[[#This Row],[Other BEZA EZ (20%)]]="Yes", 4, TRUE, 0)</f>
        <v>4</v>
      </c>
      <c r="BU37" s="529">
        <f>Table9[[#This Row],[Other BEZA EZ Score]]*'Detailed Rubric V3'!$C$66</f>
        <v>0.8</v>
      </c>
      <c r="BV37" s="529" t="s">
        <v>417</v>
      </c>
      <c r="BW37" s="529" cm="1">
        <f t="array" ref="BW37">_xlfn.IFS(Table9[[#This Row],[BEPZA/ BHPTA/ BSCIC (20%)]]="", 0, Table9[[#This Row],[BEPZA/ BHPTA/ BSCIC (20%)]]="Yes", 4, TRUE, 0)</f>
        <v>4</v>
      </c>
      <c r="BX37" s="529">
        <f>Table9[[#This Row],[BEPZA/ BHPTA/ BSCIC Score]]*'Detailed Rubric V3'!$F$66</f>
        <v>0.8</v>
      </c>
      <c r="BY37" s="529">
        <v>177</v>
      </c>
      <c r="BZ37" s="529" cm="1">
        <f t="array" ref="BZ37">_xlfn.IFS(Table9[[#This Row],[Cluster Industries (from SMI) (20%)]]="", 0, Table9[[#This Row],[Cluster Industries (from SMI) (20%)]]&gt;100, 4, Table9[[#This Row],[Cluster Industries (from SMI) (20%)]]&lt;50, 0, TRUE, 2)</f>
        <v>4</v>
      </c>
      <c r="CA37" s="529">
        <f>Table9[[#This Row],[Cluster Industries (from SMI) Score]]*'Detailed Rubric V3'!$I$66</f>
        <v>0.8</v>
      </c>
      <c r="CB37" s="529" t="s">
        <v>417</v>
      </c>
      <c r="CC37" s="529" cm="1">
        <f t="array" ref="CC37">_xlfn.IFS(Table9[[#This Row],[Located on Industrial corridor (40%)]]="", 0, Table9[[#This Row],[Located on Industrial corridor (40%)]]="Yes", 4, TRUE, 0)</f>
        <v>4</v>
      </c>
      <c r="CD37" s="529">
        <f>Table9[[#This Row],[Located on Industrial corridor Score]]*'Detailed Rubric V3'!$L$66</f>
        <v>1.6</v>
      </c>
      <c r="CE37" s="529">
        <f>SUM(Table9[[#This Row],[Other BEZA EZ Weighted Score]],Table9[[#This Row],[BEPZA/ BHPTA/ BSCIC Weighted Score]],Table9[[#This Row],[Unorganized (from SMI) Weighted Score]],Table9[[#This Row],[Located on Industrial corridor Weighted Score]])*'Detailed Rubric V3'!$C$64</f>
        <v>0.4</v>
      </c>
      <c r="CF37" s="529" t="s">
        <v>417</v>
      </c>
      <c r="CG37" s="529" cm="1">
        <f t="array" ref="CG37">_xlfn.IFS(Table9[[#This Row],[Economic/ Social priority (laggered area) (100%)]]="", 0, Table9[[#This Row],[Economic/ Social priority (laggered area) (100%)]]="Yes", 4, TRUE, 0)</f>
        <v>4</v>
      </c>
      <c r="CH37" s="529">
        <f>Table9[[#This Row],[Economic/ Social priority (laggered area) Score]]*'Detailed Rubric V3'!$C$82</f>
        <v>4</v>
      </c>
      <c r="CI37" s="529" t="s">
        <v>417</v>
      </c>
      <c r="CJ37" s="529" cm="1">
        <f t="array" ref="CJ37">_xlfn.IFS(Table9[[#This Row],[Regional Tax incentive  (0%)]]="", 0, Table9[[#This Row],[Regional Tax incentive  (0%)]]="Yes", 4, TRUE, 0)</f>
        <v>4</v>
      </c>
      <c r="CK37" s="529">
        <f>Table9[[#This Row],[Regional Tax incentive Score]]*'Detailed Rubric V3'!$F$82</f>
        <v>0</v>
      </c>
      <c r="CL37" s="529">
        <f>SUM(Table9[[#This Row],[Economic/ Social priority (laagered area) Weighted Score]],Table9[[#This Row],[Regional Tax incentive  Weighted Score]])*'Detailed Rubric V3'!$C$80</f>
        <v>0.16</v>
      </c>
      <c r="CM37" s="529">
        <v>260078</v>
      </c>
      <c r="CN37" s="529" cm="1">
        <f t="array" ref="CN37">_xlfn.IFS(Table9[[#This Row],[Employable population (40%) 2013]]="", 0, Table9[[#This Row],[Employable population (40%) 2013]]&gt;200000, 4, Table9[[#This Row],[Employable population (40%) 2013]]&lt;100000,0, TRUE, 2)</f>
        <v>4</v>
      </c>
      <c r="CO37" s="529">
        <f>Table9[[#This Row],[Employable population Score]]*'Detailed Rubric V3'!$C$92</f>
        <v>1.6</v>
      </c>
      <c r="CP37" s="529">
        <v>10</v>
      </c>
      <c r="CQ37" s="529" cm="1">
        <f t="array" ref="CQ37">_xlfn.IFS(Table9[[#This Row],[Housing (20%)]]="", 0, Table9[[#This Row],[Housing (20%)]]&gt;50, 0, Table9[[#This Row],[Housing (20%)]]&lt;25, 4, TRUE, 2)</f>
        <v>4</v>
      </c>
      <c r="CR37" s="529">
        <f>Table9[[#This Row],[Housing Score]]*'Detailed Rubric V3'!$F$92</f>
        <v>0.8</v>
      </c>
      <c r="CS37" s="529">
        <v>23</v>
      </c>
      <c r="CT37" s="529" cm="1">
        <f t="array" ref="CT37">_xlfn.IFS(Table9[[#This Row],[Hotels (10%)]]="", 0, Table9[[#This Row],[Hotels (10%)]]&gt;25, 4, Table9[[#This Row],[Hotels (10%)]]&lt;5, 0, TRUE, 2)</f>
        <v>2</v>
      </c>
      <c r="CU37" s="529">
        <f>Table9[[#This Row],[Hotels Score]]*'Detailed Rubric V3'!$I$92</f>
        <v>0.2</v>
      </c>
      <c r="CV37" s="529">
        <v>254</v>
      </c>
      <c r="CW37" s="529" cm="1">
        <f t="array" ref="CW37">_xlfn.IFS(Table9[[#This Row],[Health (Hospital) (15%)]]="", 0, Table9[[#This Row],[Health (Hospital) (15%)]]&gt;10, 4, Table9[[#This Row],[Health (Hospital) (15%)]]&lt;5, 0, TRUE, 2)</f>
        <v>4</v>
      </c>
      <c r="CX37" s="529">
        <f>Table9[[#This Row],[Health (Hospital) Score]]*'Detailed Rubric V3'!$L$92</f>
        <v>0.6</v>
      </c>
      <c r="CY37" s="529">
        <v>5</v>
      </c>
      <c r="CZ37" s="529" cm="1">
        <f t="array" ref="CZ37">_xlfn.IFS(Table9[[#This Row],[University/ Technical &amp; Vocational Institutions (15%)]]="", 0, Table9[[#This Row],[University/ Technical &amp; Vocational Institutions (15%)]]&gt;3, 4, Table9[[#This Row],[University/ Technical &amp; Vocational Institutions (15%)]]&lt;1, 0, TRUE, 2)</f>
        <v>4</v>
      </c>
      <c r="DA37" s="529">
        <f>Table9[[#This Row],[University/ Technical &amp; Vocational Institutions Score]]*'Detailed Rubric V3'!$O$92</f>
        <v>0.6</v>
      </c>
      <c r="DB37" s="529">
        <f>SUM(Table9[[#This Row],[Employable population Weighted Score]],Table9[[#This Row],[Housing Weighted Score]],Table9[[#This Row],[Hotels Weighted Score]],Table9[[#This Row],[Health (Hospital) Weighted Score]],Table9[[#This Row],[University/ Technical &amp; Vocational Institutions Weighted Score]])*'Detailed Rubric V3'!$C$90</f>
        <v>0.30400000000000005</v>
      </c>
      <c r="DC37" s="529" t="s">
        <v>418</v>
      </c>
      <c r="DD37" s="529" cm="1">
        <f t="array" ref="DD37">_xlfn.IFS(Table9[[#This Row],[Environment compliance (30%)]]="", 0, Table9[[#This Row],[Environment compliance (30%)]]="Yes", 4, TRUE, 0)</f>
        <v>0</v>
      </c>
      <c r="DE37" s="529">
        <f>Table9[[#This Row],[Environment compliance Score]]*'Detailed Rubric V3'!$C$104</f>
        <v>0</v>
      </c>
      <c r="DF37" s="529" t="s">
        <v>421</v>
      </c>
      <c r="DG37" s="529" cm="1">
        <f t="array" ref="DG37">_xlfn.IFS(Table9[[#This Row],[Flood Risk Index (30%)]]="", 0, Table9[[#This Row],[Flood Risk Index (30%)]]="Very Low", 4, Table9[[#This Row],[Flood Risk Index (30%)]]="Moderate &amp; Low", 2, TRUE, 0)</f>
        <v>0</v>
      </c>
      <c r="DH37" s="529">
        <f>Table9[[#This Row],[Flood Risk Index Score]]*'Detailed Rubric V3'!$F$104</f>
        <v>0</v>
      </c>
      <c r="DI37" s="529" t="s">
        <v>421</v>
      </c>
      <c r="DJ37" s="529" cm="1">
        <f t="array" ref="DJ37">_xlfn.IFS(Table9[[#This Row],[Earth Quake Risk Index (10%)]]="", 0, Table9[[#This Row],[Earth Quake Risk Index (10%)]]="Very Low", 4, Table9[[#This Row],[Earth Quake Risk Index (10%)]]="Moderate &amp; Low", 2, TRUE, 0)</f>
        <v>0</v>
      </c>
      <c r="DK37" s="529">
        <f>Table9[[#This Row],[Earth Quake Risk Index Score]]*'Detailed Rubric V3'!$I$104</f>
        <v>0</v>
      </c>
      <c r="DL37" s="529" t="s">
        <v>428</v>
      </c>
      <c r="DM37" s="529" cm="1">
        <f t="array" ref="DM37">_xlfn.IFS(Table9[[#This Row],[Sea Level Rise Risk Index (10%)]]="", 0, Table9[[#This Row],[Sea Level Rise Risk Index (10%)]]="Very Low", 4, Table9[[#This Row],[Sea Level Rise Risk Index (10%)]]="Moderate &amp; Low", 2, TRUE, 0)</f>
        <v>4</v>
      </c>
      <c r="DN37" s="529">
        <f>Table9[[#This Row],[Sea Level Rise  Risk Index Score]]*'Detailed Rubric V3'!$L$104</f>
        <v>0.4</v>
      </c>
      <c r="DO37" s="529" t="s">
        <v>420</v>
      </c>
      <c r="DP37" s="529" cm="1">
        <f t="array" ref="DP37">_xlfn.IFS(Table9[[#This Row],[Cyclone Risk Index (10%)]]="", 0, Table9[[#This Row],[Cyclone Risk Index (10%)]]="Very Low", 4, Table9[[#This Row],[Cyclone Risk Index (10%)]]="Moderate &amp; Low", 2, TRUE, 0)</f>
        <v>0</v>
      </c>
      <c r="DQ37" s="529">
        <f>Table9[[#This Row],[Cyclone Risk Index Score]]*'Detailed Rubric V3'!$O$104</f>
        <v>0</v>
      </c>
      <c r="DR37" s="529" t="s">
        <v>428</v>
      </c>
      <c r="DS37" s="529" cm="1">
        <f t="array" ref="DS37">_xlfn.IFS(Table9[[#This Row],[Storm Surge Risk Index (10%)]]="", 0, Table9[[#This Row],[Storm Surge Risk Index (10%)]]="Very Low", 4, Table9[[#This Row],[Storm Surge Risk Index (10%)]]="Moderate &amp; Low", 2, TRUE, 0)</f>
        <v>4</v>
      </c>
      <c r="DT37" s="529">
        <f>Table9[[#This Row],[Storm Surge Risk Index Score]]*'Detailed Rubric V3'!$R$104</f>
        <v>0.4</v>
      </c>
      <c r="DU37"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4.8000000000000001E-2</v>
      </c>
      <c r="DV37" s="533">
        <f>SUM(Table9[[#This Row],[2.1. Connectivity/ Logistics (10% weightage)]],Table9[[#This Row],[2.2. Utility (12% weightage)]],Table9[[#This Row],[2.3. Agglomeration effects (10% weightage)]],Table9[[#This Row],[2.4. Regional Policy (4% weightage)]],Table9[[#This Row],[2.5. Social (8% weightage)]],Table9[[#This Row],[2.6. Environment (6% weightage)]])</f>
        <v>1.6440000000000001</v>
      </c>
      <c r="DW37" s="232">
        <f>_xlfn.RANK.EQ(Table9[[#This Row],[Level 2 Score]],$DV$3:$DV$103)</f>
        <v>10</v>
      </c>
      <c r="DX37" s="533">
        <f>Table9[[#This Row],[Level 1 Score]]+Table9[[#This Row],[Level 2 Score]]</f>
        <v>2.254</v>
      </c>
      <c r="DY37" s="232">
        <f>_xlfn.RANK.EQ(Table9[[#This Row],[Total Score]],$DX$3:$DX$103)</f>
        <v>35</v>
      </c>
      <c r="DZ37" s="237" t="str">
        <f>IF(Table9[[#This Row],[Count of Blanks]]&lt;=2, "Yes", "No")</f>
        <v>Yes</v>
      </c>
      <c r="EA37" s="237">
        <f>COUNTBLANK(Table9[[#This Row],[Name]:[Total Score Rank]])</f>
        <v>2</v>
      </c>
      <c r="EB37" s="237"/>
    </row>
    <row r="38" spans="2:132" ht="27" x14ac:dyDescent="0.25">
      <c r="B38" s="220">
        <v>43</v>
      </c>
      <c r="C38" s="221" t="s">
        <v>58</v>
      </c>
      <c r="D38" s="220" t="s">
        <v>104</v>
      </c>
      <c r="E38" s="220" t="s">
        <v>126</v>
      </c>
      <c r="F38" s="220" t="s">
        <v>127</v>
      </c>
      <c r="G38" s="220" t="s">
        <v>70</v>
      </c>
      <c r="H38" s="525" t="s">
        <v>422</v>
      </c>
      <c r="I38" s="70" t="s">
        <v>455</v>
      </c>
      <c r="J38" s="227" t="s">
        <v>444</v>
      </c>
      <c r="K38" s="220">
        <f>IFERROR(VLOOKUP(Table9[[#This Row],[Land Availability (Grade)​
(50%)]],'Detailed Rubric V3'!$B$8:$C$11,2), 0)</f>
        <v>0</v>
      </c>
      <c r="L38" s="220">
        <f>IFERROR(Table9[[#This Row],[Land Availability (Grade)​ Score]]*'Detailed Rubric V3'!$C$6, "")</f>
        <v>0</v>
      </c>
      <c r="M38" s="222">
        <v>500</v>
      </c>
      <c r="N38" s="222" cm="1">
        <f t="array" ref="N38">_xlfn.IFS(Table9[[#This Row],[Land Size (Acres)
(15%)]]&lt;100,0,Table9[[#This Row],[Land Size (Acres)
(15%)]]&gt;500,4,TRUE,2)</f>
        <v>2</v>
      </c>
      <c r="O38" s="222">
        <f>Table9[[#This Row],[Land Size (Acres) Score]]*'Detailed Rubric V3'!$G$6</f>
        <v>0.3</v>
      </c>
      <c r="P38" s="526"/>
      <c r="Q38" s="526">
        <f>IFERROR(Table9[[#This Row],[Site Filling Cost (Mn BDT)]]/Table9[[#This Row],[Land Size (Acres)
(15%)]],"")</f>
        <v>0</v>
      </c>
      <c r="R38" s="526" cm="1">
        <f t="array" ref="R38">IF(Table9[[#This Row],[Name]]="Sitakundo Economic Zone", 4, _xlfn.IFS(Table9[[#This Row],[Site Filling Cost (Mn BDT)]]="",0,Table9[[#This Row],[Land Suitability
(Cost of Land Filling in Million BDT per acre)
(25%)]]&gt;5,0,Table9[[#This Row],[Land Suitability
(Cost of Land Filling in Million BDT per acre)
(25%)]]&lt;2,4,TRUE,2))</f>
        <v>0</v>
      </c>
      <c r="S38" s="526">
        <f>Table9[[#This Row],[Land Suitability for Construction Score]]*'Detailed Rubric V3'!$J$6</f>
        <v>0</v>
      </c>
      <c r="T38" s="526">
        <v>66</v>
      </c>
      <c r="U38" s="526">
        <f>IFERROR(Table9[[#This Row],[Embankment/Dyke Cost (Mn BDT)]]/Table9[[#This Row],[Land Size (Acres)
(15%)]], 0)</f>
        <v>0.13200000000000001</v>
      </c>
      <c r="V38" s="526" cm="1">
        <f t="array" ref="V38">IF(Table9[[#This Row],[Name]]="Sitakundo Economic Zone", 2, _xlfn.IFS(Table9[[#This Row],[Embankment/Dyke Cost (Mn BDT)]]="",0,Table9[[#This Row],[Cost of DRRI Infrastructure in million BDT per acre
(10%)]]&gt;5,0,Table9[[#This Row],[Cost of DRRI Infrastructure in million BDT per acre
(10%)]]&lt;2,4,TRUE,2))</f>
        <v>4</v>
      </c>
      <c r="W38" s="526">
        <f>Table9[[#This Row],[Requirement for Distaster Risk Reduction &amp; Resilience Infrastructure Score]]*'Detailed Rubric V3'!$M$6</f>
        <v>0.4</v>
      </c>
      <c r="X38"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0.13999999999999999</v>
      </c>
      <c r="Y38" s="452" t="s">
        <v>443</v>
      </c>
      <c r="Z38" s="210">
        <f>IFERROR(VLOOKUP(Table9[[#This Row],[Zone Priority
(40%)]],'Detailed Rubric V3'!$B$18:$C$21, 2,FALSE), 0)</f>
        <v>2</v>
      </c>
      <c r="AA38" s="210">
        <f>IFERROR(Table9[[#This Row],[Zone Priority Score]]*'Detailed Rubric V3'!$C$16, 0)</f>
        <v>0</v>
      </c>
      <c r="AB38" s="237" t="s">
        <v>416</v>
      </c>
      <c r="AC38" s="237">
        <f>VLOOKUP(Table9[[#This Row],[Existing BEZA Report
(60%)]],'Detailed Rubric V3'!$E$18:$F$20,2,FALSE)</f>
        <v>4</v>
      </c>
      <c r="AD38" s="237">
        <f>Table9[[#This Row],[Existing BEZA Report Score]]*'Detailed Rubric V3'!F$16</f>
        <v>4</v>
      </c>
      <c r="AE38" s="237">
        <f>(Table9[[#This Row],[Zone Priority Weighted Score]]+Table9[[#This Row],[Existing BEZA Report Weighted Score]])*'Detailed Rubric V3'!$C$14</f>
        <v>0.6</v>
      </c>
      <c r="AF38" s="528">
        <v>0</v>
      </c>
      <c r="AG38" s="529" cm="1">
        <f t="array" ref="AG38">_xlfn.IFS(Table9[[#This Row],[Existing Sectors
(50%)]]&gt;10, 4,Table9[[#This Row],[Existing Sectors
(50%)]]&lt;5, 0, TRUE, 2)</f>
        <v>0</v>
      </c>
      <c r="AH38" s="529">
        <f>Table9[[#This Row],[Existing Sectors Score]]*'Detailed Rubric V3'!$C$25</f>
        <v>0</v>
      </c>
      <c r="AI38" s="529">
        <v>1</v>
      </c>
      <c r="AJ38" s="529">
        <v>1</v>
      </c>
      <c r="AK38" s="529" cm="1">
        <f t="array" ref="AK38">_xlfn.IFS(Table9[[#This Row],[Potential New Sectors
(50%)]]&gt;5, 4, Table9[[#This Row],[Potential New Sectors
(50%)]]&lt;2,0, TRUE, 2)</f>
        <v>0</v>
      </c>
      <c r="AL38" s="529">
        <f>Table9[[#This Row],[Potential New Sectors Score]]*'Detailed Rubric V3'!$F$25</f>
        <v>0</v>
      </c>
      <c r="AM38" s="232">
        <f>(Table9[[#This Row],[Existing Sectors Weighted Score]]+Table9[[#This Row],[Potential New Sectors Weighted Score]])*'Detailed Rubric V3'!$C$23</f>
        <v>0</v>
      </c>
      <c r="AN38" s="530">
        <f>SUM(Table9[[#This Row],[1.1. Land Details (20% weightage)]],Table9[[#This Row],[1.2. BEZA Existing plans (15% weightage)]],Table9[[#This Row],[1.3. Sector Demand (15% weightage):]])</f>
        <v>0.74</v>
      </c>
      <c r="AO38" s="531">
        <f>_xlfn.RANK.EQ(Table9[[#This Row],[Level 1 Score]],$AN$3:$AN$103)</f>
        <v>37</v>
      </c>
      <c r="AP38" s="529">
        <v>10</v>
      </c>
      <c r="AQ38" s="529" cm="1">
        <f t="array" ref="AQ38">_xlfn.IFS(Table9[[#This Row],[National Highway Connectivity (km)
(15%)]]="", 0, Table9[[#This Row],[National Highway Connectivity (km)
(15%)]]&gt;50, 0, Table9[[#This Row],[National Highway Connectivity (km)
(15%)]]&lt;=25, 4, TRUE, 2)</f>
        <v>4</v>
      </c>
      <c r="AR38" s="529">
        <f>Table9[[#This Row],[National Highway Connectivity Score]]*'Detailed Rubric V3'!$C$35</f>
        <v>0.6</v>
      </c>
      <c r="AS38" s="529" t="s">
        <v>417</v>
      </c>
      <c r="AT38" s="529" cm="1">
        <f t="array" ref="AT38">_xlfn.IFS(Table9[[#This Row],[Connecting Road to Highway (km)
(15%)]]="", 0, Table9[[#This Row],[Connecting Road to Highway (km)
(15%)]]="Yes", 4, TRUE, 0)</f>
        <v>4</v>
      </c>
      <c r="AU38" s="529">
        <f>Table9[[#This Row],[Connecting Road to Highway Score]]*'Detailed Rubric V3'!$F$35</f>
        <v>0.6</v>
      </c>
      <c r="AV38" s="529">
        <v>346</v>
      </c>
      <c r="AW38" s="529" cm="1">
        <f t="array" ref="AW38">_xlfn.IFS(Table9[[#This Row],[Seaport Connectivity (km)
(30%)]]="",0, Table9[[#This Row],[Seaport Connectivity (km)
(30%)]]&gt;400, 0,Table9[[#This Row],[Seaport Connectivity (km)
(30%)]]&lt;=200,4, TRUE, 2)</f>
        <v>2</v>
      </c>
      <c r="AX38" s="529">
        <f>Table9[[#This Row],[Seaport Connectivity Score]]*'Detailed Rubric V3'!$I$35</f>
        <v>0.6</v>
      </c>
      <c r="AY38" s="529">
        <v>150</v>
      </c>
      <c r="AZ38" s="529" cm="1">
        <f t="array" ref="AZ38">_xlfn.IFS(Table9[[#This Row],[Airport Connectivity (km)
(10%)]]="", 0, Table9[[#This Row],[Airport Connectivity (km)
(10%)]]&gt;200, 0, Table9[[#This Row],[Airport Connectivity (km)
(10%)]]&lt;=100,4,TRUE, 2)</f>
        <v>2</v>
      </c>
      <c r="BA38" s="529">
        <f>Table9[[#This Row],[Airport Connectivity Score]]*'Detailed Rubric V3'!$C$41</f>
        <v>0.2</v>
      </c>
      <c r="BB38" s="529">
        <v>5</v>
      </c>
      <c r="BC38" s="529" cm="1">
        <f t="array" ref="BC38">_xlfn.IFS(Table9[[#This Row],[Railway Station (km)
(10%)]]="", 0, Table9[[#This Row],[Railway Station (km)
(10%)]]&gt;150, 0,Table9[[#This Row],[Railway Station (km)
(10%)]]&lt;=50,4, TRUE, 2)</f>
        <v>4</v>
      </c>
      <c r="BD38" s="529">
        <f>Table9[[#This Row],[Railway Station Score]]*'Detailed Rubric V3'!$F$41</f>
        <v>0.4</v>
      </c>
      <c r="BE38" s="529">
        <v>87</v>
      </c>
      <c r="BF38" s="529" cm="1">
        <f t="array" ref="BF38">_xlfn.IFS(Table9[[#This Row],[Inland waterway/ Land port (km)
(20%)]]="", 0, Table9[[#This Row],[Inland waterway/ Land port (km)
(20%)]]&gt;200, 0,Table9[[#This Row],[Inland waterway/ Land port (km)
(20%)]]&lt;=50,4, TRUE, 2)</f>
        <v>2</v>
      </c>
      <c r="BG38" s="529">
        <f>Table9[[#This Row],[Inland waterway/ Land port Score]]*'Detailed Rubric V3'!$I$41</f>
        <v>0.4</v>
      </c>
      <c r="BH38"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0.27999999999999997</v>
      </c>
      <c r="BI38" s="529">
        <v>11</v>
      </c>
      <c r="BJ38" s="529" cm="1">
        <f t="array" ref="BJ38">_xlfn.IFS(Table9[[#This Row],[Power Station (40%)]]="",0, Table9[[#This Row],[Power Station (40%)]]&gt;100, 0,Table9[[#This Row],[Power Station (40%)]]&lt;=50,4, TRUE, 2)</f>
        <v>4</v>
      </c>
      <c r="BK38" s="529">
        <f>Table9[[#This Row],[Power Station Score]]*'Detailed Rubric V3'!$C$53</f>
        <v>1.6</v>
      </c>
      <c r="BL38" s="529">
        <v>4</v>
      </c>
      <c r="BM38" s="529" cm="1">
        <f t="array" ref="BM38">IF(ISNUMBER(Table9[[#This Row],[Gas Station (20%)]]), _xlfn.IFS(Table9[[#This Row],[Gas Station (20%)]]="", 0, Table9[[#This Row],[Gas Station (20%)]]&gt;100, 0,Table9[[#This Row],[Gas Station (20%)]]&lt;=50,4, TRUE, 2), 0)</f>
        <v>4</v>
      </c>
      <c r="BN38" s="529">
        <f>Table9[[#This Row],[Gas Station Score]]*'Detailed Rubric V3'!$F$53</f>
        <v>0.8</v>
      </c>
      <c r="BO38" s="529">
        <v>4</v>
      </c>
      <c r="BP38" s="529" cm="1">
        <f t="array" ref="BP38">IF(ISNUMBER(Table9[[#This Row],[Source of Surface Water (40%)]]), _xlfn.IFS(Table9[[#This Row],[Source of Surface Water (40%)]]="", 0, Table9[[#This Row],[Source of Surface Water (40%)]]&gt;50, 0,Table9[[#This Row],[Source of Surface Water (40%)]]&lt;=20,4, TRUE, 2), 0)</f>
        <v>4</v>
      </c>
      <c r="BQ38" s="529">
        <f>Table9[[#This Row],[Source of Surface Water Score]]*'Detailed Rubric V3'!$I$53</f>
        <v>1.6</v>
      </c>
      <c r="BR38" s="529">
        <f>SUM(Table9[[#This Row],[Power Station Weighted Score]],Table9[[#This Row],[Gas Station Weighted Score]],Table9[[#This Row],[Source of Surface Water Weighted Score]])*'Detailed Rubric V3'!$C$51</f>
        <v>0.48</v>
      </c>
      <c r="BS38" s="529" t="s">
        <v>418</v>
      </c>
      <c r="BT38" s="529" cm="1">
        <f t="array" ref="BT38">_xlfn.IFS(Table9[[#This Row],[Other BEZA EZ (20%)]]="", 0, Table9[[#This Row],[Other BEZA EZ (20%)]]="Yes", 4, TRUE, 0)</f>
        <v>0</v>
      </c>
      <c r="BU38" s="529">
        <f>Table9[[#This Row],[Other BEZA EZ Score]]*'Detailed Rubric V3'!$C$66</f>
        <v>0</v>
      </c>
      <c r="BV38" s="529" t="s">
        <v>417</v>
      </c>
      <c r="BW38" s="529" cm="1">
        <f t="array" ref="BW38">_xlfn.IFS(Table9[[#This Row],[BEPZA/ BHPTA/ BSCIC (20%)]]="", 0, Table9[[#This Row],[BEPZA/ BHPTA/ BSCIC (20%)]]="Yes", 4, TRUE, 0)</f>
        <v>4</v>
      </c>
      <c r="BX38" s="529">
        <f>Table9[[#This Row],[BEPZA/ BHPTA/ BSCIC Score]]*'Detailed Rubric V3'!$F$66</f>
        <v>0.8</v>
      </c>
      <c r="BY38" s="529">
        <v>33</v>
      </c>
      <c r="BZ38" s="529" cm="1">
        <f t="array" ref="BZ38">_xlfn.IFS(Table9[[#This Row],[Cluster Industries (from SMI) (20%)]]="", 0, Table9[[#This Row],[Cluster Industries (from SMI) (20%)]]&gt;100, 4, Table9[[#This Row],[Cluster Industries (from SMI) (20%)]]&lt;50, 0, TRUE, 2)</f>
        <v>0</v>
      </c>
      <c r="CA38" s="529">
        <f>Table9[[#This Row],[Cluster Industries (from SMI) Score]]*'Detailed Rubric V3'!$I$66</f>
        <v>0</v>
      </c>
      <c r="CB38" s="529" t="s">
        <v>418</v>
      </c>
      <c r="CC38" s="529" cm="1">
        <f t="array" ref="CC38">_xlfn.IFS(Table9[[#This Row],[Located on Industrial corridor (40%)]]="", 0, Table9[[#This Row],[Located on Industrial corridor (40%)]]="Yes", 4, TRUE, 0)</f>
        <v>0</v>
      </c>
      <c r="CD38" s="529">
        <f>Table9[[#This Row],[Located on Industrial corridor Score]]*'Detailed Rubric V3'!$L$66</f>
        <v>0</v>
      </c>
      <c r="CE38" s="529">
        <f>SUM(Table9[[#This Row],[Other BEZA EZ Weighted Score]],Table9[[#This Row],[BEPZA/ BHPTA/ BSCIC Weighted Score]],Table9[[#This Row],[Unorganized (from SMI) Weighted Score]],Table9[[#This Row],[Located on Industrial corridor Weighted Score]])*'Detailed Rubric V3'!$C$64</f>
        <v>8.0000000000000016E-2</v>
      </c>
      <c r="CF38" s="529" t="s">
        <v>417</v>
      </c>
      <c r="CG38" s="529" cm="1">
        <f t="array" ref="CG38">_xlfn.IFS(Table9[[#This Row],[Economic/ Social priority (laggered area) (100%)]]="", 0, Table9[[#This Row],[Economic/ Social priority (laggered area) (100%)]]="Yes", 4, TRUE, 0)</f>
        <v>4</v>
      </c>
      <c r="CH38" s="529">
        <f>Table9[[#This Row],[Economic/ Social priority (laggered area) Score]]*'Detailed Rubric V3'!$C$82</f>
        <v>4</v>
      </c>
      <c r="CI38" s="529" t="s">
        <v>417</v>
      </c>
      <c r="CJ38" s="529" cm="1">
        <f t="array" ref="CJ38">_xlfn.IFS(Table9[[#This Row],[Regional Tax incentive  (0%)]]="", 0, Table9[[#This Row],[Regional Tax incentive  (0%)]]="Yes", 4, TRUE, 0)</f>
        <v>4</v>
      </c>
      <c r="CK38" s="529">
        <f>Table9[[#This Row],[Regional Tax incentive Score]]*'Detailed Rubric V3'!$F$82</f>
        <v>0</v>
      </c>
      <c r="CL38" s="529">
        <f>SUM(Table9[[#This Row],[Economic/ Social priority (laagered area) Weighted Score]],Table9[[#This Row],[Regional Tax incentive  Weighted Score]])*'Detailed Rubric V3'!$C$80</f>
        <v>0.16</v>
      </c>
      <c r="CM38" s="529">
        <v>237713</v>
      </c>
      <c r="CN38" s="529" cm="1">
        <f t="array" ref="CN38">_xlfn.IFS(Table9[[#This Row],[Employable population (40%) 2013]]="", 0, Table9[[#This Row],[Employable population (40%) 2013]]&gt;200000, 4, Table9[[#This Row],[Employable population (40%) 2013]]&lt;100000,0, TRUE, 2)</f>
        <v>4</v>
      </c>
      <c r="CO38" s="529">
        <f>Table9[[#This Row],[Employable population Score]]*'Detailed Rubric V3'!$C$92</f>
        <v>1.6</v>
      </c>
      <c r="CP38" s="529">
        <v>7.2</v>
      </c>
      <c r="CQ38" s="529" cm="1">
        <f t="array" ref="CQ38">_xlfn.IFS(Table9[[#This Row],[Housing (20%)]]="", 0, Table9[[#This Row],[Housing (20%)]]&gt;50, 0, Table9[[#This Row],[Housing (20%)]]&lt;25, 4, TRUE, 2)</f>
        <v>4</v>
      </c>
      <c r="CR38" s="529">
        <f>Table9[[#This Row],[Housing Score]]*'Detailed Rubric V3'!$F$92</f>
        <v>0.8</v>
      </c>
      <c r="CS38" s="529">
        <v>2</v>
      </c>
      <c r="CT38" s="529" cm="1">
        <f t="array" ref="CT38">_xlfn.IFS(Table9[[#This Row],[Hotels (10%)]]="", 0, Table9[[#This Row],[Hotels (10%)]]&gt;25, 4, Table9[[#This Row],[Hotels (10%)]]&lt;5, 0, TRUE, 2)</f>
        <v>0</v>
      </c>
      <c r="CU38" s="529">
        <f>Table9[[#This Row],[Hotels Score]]*'Detailed Rubric V3'!$I$92</f>
        <v>0</v>
      </c>
      <c r="CV38" s="529">
        <v>56</v>
      </c>
      <c r="CW38" s="529" cm="1">
        <f t="array" ref="CW38">_xlfn.IFS(Table9[[#This Row],[Health (Hospital) (15%)]]="", 0, Table9[[#This Row],[Health (Hospital) (15%)]]&gt;10, 4, Table9[[#This Row],[Health (Hospital) (15%)]]&lt;5, 0, TRUE, 2)</f>
        <v>4</v>
      </c>
      <c r="CX38" s="529">
        <f>Table9[[#This Row],[Health (Hospital) Score]]*'Detailed Rubric V3'!$L$92</f>
        <v>0.6</v>
      </c>
      <c r="CY38" s="529">
        <v>5</v>
      </c>
      <c r="CZ38" s="529" cm="1">
        <f t="array" ref="CZ38">_xlfn.IFS(Table9[[#This Row],[University/ Technical &amp; Vocational Institutions (15%)]]="", 0, Table9[[#This Row],[University/ Technical &amp; Vocational Institutions (15%)]]&gt;3, 4, Table9[[#This Row],[University/ Technical &amp; Vocational Institutions (15%)]]&lt;1, 0, TRUE, 2)</f>
        <v>4</v>
      </c>
      <c r="DA38" s="529">
        <f>Table9[[#This Row],[University/ Technical &amp; Vocational Institutions Score]]*'Detailed Rubric V3'!$O$92</f>
        <v>0.6</v>
      </c>
      <c r="DB38" s="529">
        <f>SUM(Table9[[#This Row],[Employable population Weighted Score]],Table9[[#This Row],[Housing Weighted Score]],Table9[[#This Row],[Hotels Weighted Score]],Table9[[#This Row],[Health (Hospital) Weighted Score]],Table9[[#This Row],[University/ Technical &amp; Vocational Institutions Weighted Score]])*'Detailed Rubric V3'!$C$90</f>
        <v>0.28800000000000003</v>
      </c>
      <c r="DC38" s="529" t="s">
        <v>417</v>
      </c>
      <c r="DD38" s="529" cm="1">
        <f t="array" ref="DD38">_xlfn.IFS(Table9[[#This Row],[Environment compliance (30%)]]="", 0, Table9[[#This Row],[Environment compliance (30%)]]="Yes", 4, TRUE, 0)</f>
        <v>4</v>
      </c>
      <c r="DE38" s="529">
        <f>Table9[[#This Row],[Environment compliance Score]]*'Detailed Rubric V3'!$C$104</f>
        <v>1.2</v>
      </c>
      <c r="DF38" s="529" t="s">
        <v>419</v>
      </c>
      <c r="DG38" s="529" cm="1">
        <f t="array" ref="DG38">_xlfn.IFS(Table9[[#This Row],[Flood Risk Index (30%)]]="", 0, Table9[[#This Row],[Flood Risk Index (30%)]]="Very Low", 4, Table9[[#This Row],[Flood Risk Index (30%)]]="Moderate &amp; Low", 2, TRUE, 0)</f>
        <v>2</v>
      </c>
      <c r="DH38" s="529">
        <f>Table9[[#This Row],[Flood Risk Index Score]]*'Detailed Rubric V3'!$F$104</f>
        <v>0.6</v>
      </c>
      <c r="DI38" s="529" t="s">
        <v>421</v>
      </c>
      <c r="DJ38" s="529" cm="1">
        <f t="array" ref="DJ38">_xlfn.IFS(Table9[[#This Row],[Earth Quake Risk Index (10%)]]="", 0, Table9[[#This Row],[Earth Quake Risk Index (10%)]]="Very Low", 4, Table9[[#This Row],[Earth Quake Risk Index (10%)]]="Moderate &amp; Low", 2, TRUE, 0)</f>
        <v>0</v>
      </c>
      <c r="DK38" s="529">
        <f>Table9[[#This Row],[Earth Quake Risk Index Score]]*'Detailed Rubric V3'!$I$104</f>
        <v>0</v>
      </c>
      <c r="DL38" s="529" t="s">
        <v>428</v>
      </c>
      <c r="DM38" s="529" cm="1">
        <f t="array" ref="DM38">_xlfn.IFS(Table9[[#This Row],[Sea Level Rise Risk Index (10%)]]="", 0, Table9[[#This Row],[Sea Level Rise Risk Index (10%)]]="Very Low", 4, Table9[[#This Row],[Sea Level Rise Risk Index (10%)]]="Moderate &amp; Low", 2, TRUE, 0)</f>
        <v>4</v>
      </c>
      <c r="DN38" s="529">
        <f>Table9[[#This Row],[Sea Level Rise  Risk Index Score]]*'Detailed Rubric V3'!$L$104</f>
        <v>0.4</v>
      </c>
      <c r="DO38" s="529" t="s">
        <v>419</v>
      </c>
      <c r="DP38" s="529" cm="1">
        <f t="array" ref="DP38">_xlfn.IFS(Table9[[#This Row],[Cyclone Risk Index (10%)]]="", 0, Table9[[#This Row],[Cyclone Risk Index (10%)]]="Very Low", 4, Table9[[#This Row],[Cyclone Risk Index (10%)]]="Moderate &amp; Low", 2, TRUE, 0)</f>
        <v>2</v>
      </c>
      <c r="DQ38" s="529">
        <f>Table9[[#This Row],[Cyclone Risk Index Score]]*'Detailed Rubric V3'!$O$104</f>
        <v>0.2</v>
      </c>
      <c r="DR38" s="529" t="s">
        <v>428</v>
      </c>
      <c r="DS38" s="529" cm="1">
        <f t="array" ref="DS38">_xlfn.IFS(Table9[[#This Row],[Storm Surge Risk Index (10%)]]="", 0, Table9[[#This Row],[Storm Surge Risk Index (10%)]]="Very Low", 4, Table9[[#This Row],[Storm Surge Risk Index (10%)]]="Moderate &amp; Low", 2, TRUE, 0)</f>
        <v>4</v>
      </c>
      <c r="DT38" s="529">
        <f>Table9[[#This Row],[Storm Surge Risk Index Score]]*'Detailed Rubric V3'!$R$104</f>
        <v>0.4</v>
      </c>
      <c r="DU38"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0.16799999999999998</v>
      </c>
      <c r="DV38" s="533">
        <f>SUM(Table9[[#This Row],[2.1. Connectivity/ Logistics (10% weightage)]],Table9[[#This Row],[2.2. Utility (12% weightage)]],Table9[[#This Row],[2.3. Agglomeration effects (10% weightage)]],Table9[[#This Row],[2.4. Regional Policy (4% weightage)]],Table9[[#This Row],[2.5. Social (8% weightage)]],Table9[[#This Row],[2.6. Environment (6% weightage)]])</f>
        <v>1.456</v>
      </c>
      <c r="DW38" s="232">
        <f>_xlfn.RANK.EQ(Table9[[#This Row],[Level 2 Score]],$DV$3:$DV$103)</f>
        <v>35</v>
      </c>
      <c r="DX38" s="533">
        <f>Table9[[#This Row],[Level 1 Score]]+Table9[[#This Row],[Level 2 Score]]</f>
        <v>2.1959999999999997</v>
      </c>
      <c r="DY38" s="232">
        <f>_xlfn.RANK.EQ(Table9[[#This Row],[Total Score]],$DX$3:$DX$103)</f>
        <v>36</v>
      </c>
      <c r="DZ38" s="237" t="str">
        <f>IF(Table9[[#This Row],[Count of Blanks]]&lt;=2, "Yes", "No")</f>
        <v>Yes</v>
      </c>
      <c r="EA38" s="237">
        <f>COUNTBLANK(Table9[[#This Row],[Name]:[Total Score Rank]])</f>
        <v>1</v>
      </c>
      <c r="EB38" s="237"/>
    </row>
    <row r="39" spans="2:132" x14ac:dyDescent="0.25">
      <c r="B39" s="220">
        <v>79</v>
      </c>
      <c r="C39" s="221" t="s">
        <v>44</v>
      </c>
      <c r="D39" s="220" t="s">
        <v>76</v>
      </c>
      <c r="E39" s="220" t="s">
        <v>107</v>
      </c>
      <c r="F39" s="220" t="s">
        <v>108</v>
      </c>
      <c r="G39" s="220" t="s">
        <v>92</v>
      </c>
      <c r="H39" s="525" t="s">
        <v>410</v>
      </c>
      <c r="I39" s="70" t="s">
        <v>411</v>
      </c>
      <c r="J39" s="227" t="s">
        <v>412</v>
      </c>
      <c r="K39" s="220">
        <f>IFERROR(VLOOKUP(Table9[[#This Row],[Land Availability (Grade)​
(50%)]],'Detailed Rubric V3'!$B$8:$C$11,2), 0)</f>
        <v>4</v>
      </c>
      <c r="L39" s="220">
        <f>IFERROR(Table9[[#This Row],[Land Availability (Grade)​ Score]]*'Detailed Rubric V3'!$C$6, "")</f>
        <v>2</v>
      </c>
      <c r="M39" s="222">
        <v>65</v>
      </c>
      <c r="N39" s="222" cm="1">
        <f t="array" ref="N39">_xlfn.IFS(Table9[[#This Row],[Land Size (Acres)
(15%)]]&lt;100,0,Table9[[#This Row],[Land Size (Acres)
(15%)]]&gt;500,4,TRUE,2)</f>
        <v>0</v>
      </c>
      <c r="O39" s="222">
        <f>Table9[[#This Row],[Land Size (Acres) Score]]*'Detailed Rubric V3'!$G$6</f>
        <v>0</v>
      </c>
      <c r="P39" s="526"/>
      <c r="Q39" s="526">
        <f>IFERROR(Table9[[#This Row],[Site Filling Cost (Mn BDT)]]/Table9[[#This Row],[Land Size (Acres)
(15%)]],"")</f>
        <v>0</v>
      </c>
      <c r="R39" s="526" cm="1">
        <f t="array" ref="R39">IF(Table9[[#This Row],[Name]]="Sitakundo Economic Zone", 4, _xlfn.IFS(Table9[[#This Row],[Site Filling Cost (Mn BDT)]]="",0,Table9[[#This Row],[Land Suitability
(Cost of Land Filling in Million BDT per acre)
(25%)]]&gt;5,0,Table9[[#This Row],[Land Suitability
(Cost of Land Filling in Million BDT per acre)
(25%)]]&lt;2,4,TRUE,2))</f>
        <v>0</v>
      </c>
      <c r="S39" s="526">
        <f>Table9[[#This Row],[Land Suitability for Construction Score]]*'Detailed Rubric V3'!$J$6</f>
        <v>0</v>
      </c>
      <c r="T39" s="526"/>
      <c r="U39" s="526">
        <f>IFERROR(Table9[[#This Row],[Embankment/Dyke Cost (Mn BDT)]]/Table9[[#This Row],[Land Size (Acres)
(15%)]], 0)</f>
        <v>0</v>
      </c>
      <c r="V39" s="526" cm="1">
        <f t="array" ref="V39">IF(Table9[[#This Row],[Name]]="Sitakundo Economic Zone", 2, _xlfn.IFS(Table9[[#This Row],[Embankment/Dyke Cost (Mn BDT)]]="",0,Table9[[#This Row],[Cost of DRRI Infrastructure in million BDT per acre
(10%)]]&gt;5,0,Table9[[#This Row],[Cost of DRRI Infrastructure in million BDT per acre
(10%)]]&lt;2,4,TRUE,2))</f>
        <v>0</v>
      </c>
      <c r="W39" s="526">
        <f>Table9[[#This Row],[Requirement for Distaster Risk Reduction &amp; Resilience Infrastructure Score]]*'Detailed Rubric V3'!$M$6</f>
        <v>0</v>
      </c>
      <c r="X39"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v>
      </c>
      <c r="Y39" s="227" t="s">
        <v>440</v>
      </c>
      <c r="Z39" s="210">
        <f>IFERROR(VLOOKUP(Table9[[#This Row],[Zone Priority
(40%)]],'Detailed Rubric V3'!$B$18:$C$21, 2,FALSE), 0)</f>
        <v>4</v>
      </c>
      <c r="AA39" s="210">
        <f>IFERROR(Table9[[#This Row],[Zone Priority Score]]*'Detailed Rubric V3'!$C$16, 0)</f>
        <v>0</v>
      </c>
      <c r="AB39" s="237" t="s">
        <v>441</v>
      </c>
      <c r="AC39" s="237">
        <f>VLOOKUP(Table9[[#This Row],[Existing BEZA Report
(60%)]],'Detailed Rubric V3'!$E$18:$F$20,2,FALSE)</f>
        <v>0</v>
      </c>
      <c r="AD39" s="237">
        <f>Table9[[#This Row],[Existing BEZA Report Score]]*'Detailed Rubric V3'!F$16</f>
        <v>0</v>
      </c>
      <c r="AE39" s="237">
        <f>(Table9[[#This Row],[Zone Priority Weighted Score]]+Table9[[#This Row],[Existing BEZA Report Weighted Score]])*'Detailed Rubric V3'!$C$14</f>
        <v>0</v>
      </c>
      <c r="AF39" s="528">
        <v>13</v>
      </c>
      <c r="AG39" s="529" cm="1">
        <f t="array" ref="AG39">_xlfn.IFS(Table9[[#This Row],[Existing Sectors
(50%)]]&gt;10, 4,Table9[[#This Row],[Existing Sectors
(50%)]]&lt;5, 0, TRUE, 2)</f>
        <v>4</v>
      </c>
      <c r="AH39" s="529">
        <f>Table9[[#This Row],[Existing Sectors Score]]*'Detailed Rubric V3'!$C$25</f>
        <v>2</v>
      </c>
      <c r="AI39" s="529">
        <v>13</v>
      </c>
      <c r="AJ39" s="529">
        <v>0</v>
      </c>
      <c r="AK39" s="529" cm="1">
        <f t="array" ref="AK39">_xlfn.IFS(Table9[[#This Row],[Potential New Sectors
(50%)]]&gt;5, 4, Table9[[#This Row],[Potential New Sectors
(50%)]]&lt;2,0, TRUE, 2)</f>
        <v>0</v>
      </c>
      <c r="AL39" s="529">
        <f>Table9[[#This Row],[Potential New Sectors Score]]*'Detailed Rubric V3'!$F$25</f>
        <v>0</v>
      </c>
      <c r="AM39" s="232">
        <f>(Table9[[#This Row],[Existing Sectors Weighted Score]]+Table9[[#This Row],[Potential New Sectors Weighted Score]])*'Detailed Rubric V3'!$C$23</f>
        <v>0.3</v>
      </c>
      <c r="AN39" s="530">
        <f>SUM(Table9[[#This Row],[1.1. Land Details (20% weightage)]],Table9[[#This Row],[1.2. BEZA Existing plans (15% weightage)]],Table9[[#This Row],[1.3. Sector Demand (15% weightage):]])</f>
        <v>0.7</v>
      </c>
      <c r="AO39" s="531">
        <f>_xlfn.RANK.EQ(Table9[[#This Row],[Level 1 Score]],$AN$3:$AN$103)</f>
        <v>41</v>
      </c>
      <c r="AP39" s="529">
        <v>0</v>
      </c>
      <c r="AQ39" s="529" cm="1">
        <f t="array" ref="AQ39">_xlfn.IFS(Table9[[#This Row],[National Highway Connectivity (km)
(15%)]]="", 0, Table9[[#This Row],[National Highway Connectivity (km)
(15%)]]&gt;50, 0, Table9[[#This Row],[National Highway Connectivity (km)
(15%)]]&lt;=25, 4, TRUE, 2)</f>
        <v>4</v>
      </c>
      <c r="AR39" s="529">
        <f>Table9[[#This Row],[National Highway Connectivity Score]]*'Detailed Rubric V3'!$C$35</f>
        <v>0.6</v>
      </c>
      <c r="AS39" s="529" t="s">
        <v>417</v>
      </c>
      <c r="AT39" s="529" cm="1">
        <f t="array" ref="AT39">_xlfn.IFS(Table9[[#This Row],[Connecting Road to Highway (km)
(15%)]]="", 0, Table9[[#This Row],[Connecting Road to Highway (km)
(15%)]]="Yes", 4, TRUE, 0)</f>
        <v>4</v>
      </c>
      <c r="AU39" s="529">
        <f>Table9[[#This Row],[Connecting Road to Highway Score]]*'Detailed Rubric V3'!$F$35</f>
        <v>0.6</v>
      </c>
      <c r="AV39" s="529">
        <v>258</v>
      </c>
      <c r="AW39" s="529" cm="1">
        <f t="array" ref="AW39">_xlfn.IFS(Table9[[#This Row],[Seaport Connectivity (km)
(30%)]]="",0, Table9[[#This Row],[Seaport Connectivity (km)
(30%)]]&gt;400, 0,Table9[[#This Row],[Seaport Connectivity (km)
(30%)]]&lt;=200,4, TRUE, 2)</f>
        <v>2</v>
      </c>
      <c r="AX39" s="529">
        <f>Table9[[#This Row],[Seaport Connectivity Score]]*'Detailed Rubric V3'!$I$35</f>
        <v>0.6</v>
      </c>
      <c r="AY39" s="529">
        <v>24</v>
      </c>
      <c r="AZ39" s="529" cm="1">
        <f t="array" ref="AZ39">_xlfn.IFS(Table9[[#This Row],[Airport Connectivity (km)
(10%)]]="", 0, Table9[[#This Row],[Airport Connectivity (km)
(10%)]]&gt;200, 0, Table9[[#This Row],[Airport Connectivity (km)
(10%)]]&lt;=100,4,TRUE, 2)</f>
        <v>4</v>
      </c>
      <c r="BA39" s="529">
        <f>Table9[[#This Row],[Airport Connectivity Score]]*'Detailed Rubric V3'!$C$41</f>
        <v>0.4</v>
      </c>
      <c r="BB39" s="529">
        <v>40</v>
      </c>
      <c r="BC39" s="529" cm="1">
        <f t="array" ref="BC39">_xlfn.IFS(Table9[[#This Row],[Railway Station (km)
(10%)]]="", 0, Table9[[#This Row],[Railway Station (km)
(10%)]]&gt;150, 0,Table9[[#This Row],[Railway Station (km)
(10%)]]&lt;=50,4, TRUE, 2)</f>
        <v>4</v>
      </c>
      <c r="BD39" s="529">
        <f>Table9[[#This Row],[Railway Station Score]]*'Detailed Rubric V3'!$F$41</f>
        <v>0.4</v>
      </c>
      <c r="BE39" s="529">
        <v>40</v>
      </c>
      <c r="BF39" s="529" cm="1">
        <f t="array" ref="BF39">_xlfn.IFS(Table9[[#This Row],[Inland waterway/ Land port (km)
(20%)]]="", 0, Table9[[#This Row],[Inland waterway/ Land port (km)
(20%)]]&gt;200, 0,Table9[[#This Row],[Inland waterway/ Land port (km)
(20%)]]&lt;=50,4, TRUE, 2)</f>
        <v>4</v>
      </c>
      <c r="BG39" s="529">
        <f>Table9[[#This Row],[Inland waterway/ Land port Score]]*'Detailed Rubric V3'!$I$41</f>
        <v>0.8</v>
      </c>
      <c r="BH39"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0.33999999999999997</v>
      </c>
      <c r="BI39" s="529">
        <v>7.7</v>
      </c>
      <c r="BJ39" s="529" cm="1">
        <f t="array" ref="BJ39">_xlfn.IFS(Table9[[#This Row],[Power Station (40%)]]="",0, Table9[[#This Row],[Power Station (40%)]]&gt;100, 0,Table9[[#This Row],[Power Station (40%)]]&lt;=50,4, TRUE, 2)</f>
        <v>4</v>
      </c>
      <c r="BK39" s="529">
        <f>Table9[[#This Row],[Power Station Score]]*'Detailed Rubric V3'!$C$53</f>
        <v>1.6</v>
      </c>
      <c r="BL39" s="529">
        <v>35</v>
      </c>
      <c r="BM39" s="529" cm="1">
        <f t="array" ref="BM39">IF(ISNUMBER(Table9[[#This Row],[Gas Station (20%)]]), _xlfn.IFS(Table9[[#This Row],[Gas Station (20%)]]="", 0, Table9[[#This Row],[Gas Station (20%)]]&gt;100, 0,Table9[[#This Row],[Gas Station (20%)]]&lt;=50,4, TRUE, 2), 0)</f>
        <v>4</v>
      </c>
      <c r="BN39" s="529">
        <f>Table9[[#This Row],[Gas Station Score]]*'Detailed Rubric V3'!$F$53</f>
        <v>0.8</v>
      </c>
      <c r="BO39" s="529">
        <v>85</v>
      </c>
      <c r="BP39" s="529" cm="1">
        <f t="array" ref="BP39">IF(ISNUMBER(Table9[[#This Row],[Source of Surface Water (40%)]]), _xlfn.IFS(Table9[[#This Row],[Source of Surface Water (40%)]]="", 0, Table9[[#This Row],[Source of Surface Water (40%)]]&gt;50, 0,Table9[[#This Row],[Source of Surface Water (40%)]]&lt;=20,4, TRUE, 2), 0)</f>
        <v>0</v>
      </c>
      <c r="BQ39" s="529">
        <f>Table9[[#This Row],[Source of Surface Water Score]]*'Detailed Rubric V3'!$I$53</f>
        <v>0</v>
      </c>
      <c r="BR39" s="529">
        <f>SUM(Table9[[#This Row],[Power Station Weighted Score]],Table9[[#This Row],[Gas Station Weighted Score]],Table9[[#This Row],[Source of Surface Water Weighted Score]])*'Detailed Rubric V3'!$C$51</f>
        <v>0.28800000000000003</v>
      </c>
      <c r="BS39" s="529" t="s">
        <v>417</v>
      </c>
      <c r="BT39" s="529" cm="1">
        <f t="array" ref="BT39">_xlfn.IFS(Table9[[#This Row],[Other BEZA EZ (20%)]]="", 0, Table9[[#This Row],[Other BEZA EZ (20%)]]="Yes", 4, TRUE, 0)</f>
        <v>4</v>
      </c>
      <c r="BU39" s="529">
        <f>Table9[[#This Row],[Other BEZA EZ Score]]*'Detailed Rubric V3'!$C$66</f>
        <v>0.8</v>
      </c>
      <c r="BV39" s="529" t="s">
        <v>417</v>
      </c>
      <c r="BW39" s="529" cm="1">
        <f t="array" ref="BW39">_xlfn.IFS(Table9[[#This Row],[BEPZA/ BHPTA/ BSCIC (20%)]]="", 0, Table9[[#This Row],[BEPZA/ BHPTA/ BSCIC (20%)]]="Yes", 4, TRUE, 0)</f>
        <v>4</v>
      </c>
      <c r="BX39" s="529">
        <f>Table9[[#This Row],[BEPZA/ BHPTA/ BSCIC Score]]*'Detailed Rubric V3'!$F$66</f>
        <v>0.8</v>
      </c>
      <c r="BY39" s="529">
        <v>730</v>
      </c>
      <c r="BZ39" s="529" cm="1">
        <f t="array" ref="BZ39">_xlfn.IFS(Table9[[#This Row],[Cluster Industries (from SMI) (20%)]]="", 0, Table9[[#This Row],[Cluster Industries (from SMI) (20%)]]&gt;100, 4, Table9[[#This Row],[Cluster Industries (from SMI) (20%)]]&lt;50, 0, TRUE, 2)</f>
        <v>4</v>
      </c>
      <c r="CA39" s="529">
        <f>Table9[[#This Row],[Cluster Industries (from SMI) Score]]*'Detailed Rubric V3'!$I$66</f>
        <v>0.8</v>
      </c>
      <c r="CB39" s="529" t="s">
        <v>417</v>
      </c>
      <c r="CC39" s="529" cm="1">
        <f t="array" ref="CC39">_xlfn.IFS(Table9[[#This Row],[Located on Industrial corridor (40%)]]="", 0, Table9[[#This Row],[Located on Industrial corridor (40%)]]="Yes", 4, TRUE, 0)</f>
        <v>4</v>
      </c>
      <c r="CD39" s="529">
        <f>Table9[[#This Row],[Located on Industrial corridor Score]]*'Detailed Rubric V3'!$L$66</f>
        <v>1.6</v>
      </c>
      <c r="CE39" s="529">
        <f>SUM(Table9[[#This Row],[Other BEZA EZ Weighted Score]],Table9[[#This Row],[BEPZA/ BHPTA/ BSCIC Weighted Score]],Table9[[#This Row],[Unorganized (from SMI) Weighted Score]],Table9[[#This Row],[Located on Industrial corridor Weighted Score]])*'Detailed Rubric V3'!$C$64</f>
        <v>0.4</v>
      </c>
      <c r="CF39" s="529" t="s">
        <v>418</v>
      </c>
      <c r="CG39" s="529" cm="1">
        <f t="array" ref="CG39">_xlfn.IFS(Table9[[#This Row],[Economic/ Social priority (laggered area) (100%)]]="", 0, Table9[[#This Row],[Economic/ Social priority (laggered area) (100%)]]="Yes", 4, TRUE, 0)</f>
        <v>0</v>
      </c>
      <c r="CH39" s="529">
        <f>Table9[[#This Row],[Economic/ Social priority (laggered area) Score]]*'Detailed Rubric V3'!$C$82</f>
        <v>0</v>
      </c>
      <c r="CI39" s="529" t="s">
        <v>418</v>
      </c>
      <c r="CJ39" s="529" cm="1">
        <f t="array" ref="CJ39">_xlfn.IFS(Table9[[#This Row],[Regional Tax incentive  (0%)]]="", 0, Table9[[#This Row],[Regional Tax incentive  (0%)]]="Yes", 4, TRUE, 0)</f>
        <v>0</v>
      </c>
      <c r="CK39" s="529">
        <f>Table9[[#This Row],[Regional Tax incentive Score]]*'Detailed Rubric V3'!$F$82</f>
        <v>0</v>
      </c>
      <c r="CL39" s="529">
        <f>SUM(Table9[[#This Row],[Economic/ Social priority (laagered area) Weighted Score]],Table9[[#This Row],[Regional Tax incentive  Weighted Score]])*'Detailed Rubric V3'!$C$80</f>
        <v>0</v>
      </c>
      <c r="CM39" s="529">
        <v>1040218</v>
      </c>
      <c r="CN39" s="529" cm="1">
        <f t="array" ref="CN39">_xlfn.IFS(Table9[[#This Row],[Employable population (40%) 2013]]="", 0, Table9[[#This Row],[Employable population (40%) 2013]]&gt;200000, 4, Table9[[#This Row],[Employable population (40%) 2013]]&lt;100000,0, TRUE, 2)</f>
        <v>4</v>
      </c>
      <c r="CO39" s="529">
        <f>Table9[[#This Row],[Employable population Score]]*'Detailed Rubric V3'!$C$92</f>
        <v>1.6</v>
      </c>
      <c r="CP39" s="529">
        <v>16</v>
      </c>
      <c r="CQ39" s="529" cm="1">
        <f t="array" ref="CQ39">_xlfn.IFS(Table9[[#This Row],[Housing (20%)]]="", 0, Table9[[#This Row],[Housing (20%)]]&gt;50, 0, Table9[[#This Row],[Housing (20%)]]&lt;25, 4, TRUE, 2)</f>
        <v>4</v>
      </c>
      <c r="CR39" s="529">
        <f>Table9[[#This Row],[Housing Score]]*'Detailed Rubric V3'!$F$92</f>
        <v>0.8</v>
      </c>
      <c r="CS39" s="529">
        <v>110</v>
      </c>
      <c r="CT39" s="529" cm="1">
        <f t="array" ref="CT39">_xlfn.IFS(Table9[[#This Row],[Hotels (10%)]]="", 0, Table9[[#This Row],[Hotels (10%)]]&gt;25, 4, Table9[[#This Row],[Hotels (10%)]]&lt;5, 0, TRUE, 2)</f>
        <v>4</v>
      </c>
      <c r="CU39" s="529">
        <f>Table9[[#This Row],[Hotels Score]]*'Detailed Rubric V3'!$I$92</f>
        <v>0.4</v>
      </c>
      <c r="CV39" s="529">
        <v>179</v>
      </c>
      <c r="CW39" s="529" cm="1">
        <f t="array" ref="CW39">_xlfn.IFS(Table9[[#This Row],[Health (Hospital) (15%)]]="", 0, Table9[[#This Row],[Health (Hospital) (15%)]]&gt;10, 4, Table9[[#This Row],[Health (Hospital) (15%)]]&lt;5, 0, TRUE, 2)</f>
        <v>4</v>
      </c>
      <c r="CX39" s="529">
        <f>Table9[[#This Row],[Health (Hospital) Score]]*'Detailed Rubric V3'!$L$92</f>
        <v>0.6</v>
      </c>
      <c r="CY39" s="529">
        <f>24+5</f>
        <v>29</v>
      </c>
      <c r="CZ39" s="529" cm="1">
        <f t="array" ref="CZ39">_xlfn.IFS(Table9[[#This Row],[University/ Technical &amp; Vocational Institutions (15%)]]="", 0, Table9[[#This Row],[University/ Technical &amp; Vocational Institutions (15%)]]&gt;3, 4, Table9[[#This Row],[University/ Technical &amp; Vocational Institutions (15%)]]&lt;1, 0, TRUE, 2)</f>
        <v>4</v>
      </c>
      <c r="DA39" s="529">
        <f>Table9[[#This Row],[University/ Technical &amp; Vocational Institutions Score]]*'Detailed Rubric V3'!$O$92</f>
        <v>0.6</v>
      </c>
      <c r="DB39"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39" s="529" t="s">
        <v>418</v>
      </c>
      <c r="DD39" s="529" cm="1">
        <f t="array" ref="DD39">_xlfn.IFS(Table9[[#This Row],[Environment compliance (30%)]]="", 0, Table9[[#This Row],[Environment compliance (30%)]]="Yes", 4, TRUE, 0)</f>
        <v>0</v>
      </c>
      <c r="DE39" s="529">
        <f>Table9[[#This Row],[Environment compliance Score]]*'Detailed Rubric V3'!$C$104</f>
        <v>0</v>
      </c>
      <c r="DF39" s="529" t="s">
        <v>428</v>
      </c>
      <c r="DG39" s="529" cm="1">
        <f t="array" ref="DG39">_xlfn.IFS(Table9[[#This Row],[Flood Risk Index (30%)]]="", 0, Table9[[#This Row],[Flood Risk Index (30%)]]="Very Low", 4, Table9[[#This Row],[Flood Risk Index (30%)]]="Moderate &amp; Low", 2, TRUE, 0)</f>
        <v>4</v>
      </c>
      <c r="DH39" s="529">
        <f>Table9[[#This Row],[Flood Risk Index Score]]*'Detailed Rubric V3'!$F$104</f>
        <v>1.2</v>
      </c>
      <c r="DI39" s="529" t="s">
        <v>419</v>
      </c>
      <c r="DJ39" s="529" cm="1">
        <f t="array" ref="DJ39">_xlfn.IFS(Table9[[#This Row],[Earth Quake Risk Index (10%)]]="", 0, Table9[[#This Row],[Earth Quake Risk Index (10%)]]="Very Low", 4, Table9[[#This Row],[Earth Quake Risk Index (10%)]]="Moderate &amp; Low", 2, TRUE, 0)</f>
        <v>2</v>
      </c>
      <c r="DK39" s="529">
        <f>Table9[[#This Row],[Earth Quake Risk Index Score]]*'Detailed Rubric V3'!$I$104</f>
        <v>0.2</v>
      </c>
      <c r="DL39" s="529" t="s">
        <v>428</v>
      </c>
      <c r="DM39" s="529" cm="1">
        <f t="array" ref="DM39">_xlfn.IFS(Table9[[#This Row],[Sea Level Rise Risk Index (10%)]]="", 0, Table9[[#This Row],[Sea Level Rise Risk Index (10%)]]="Very Low", 4, Table9[[#This Row],[Sea Level Rise Risk Index (10%)]]="Moderate &amp; Low", 2, TRUE, 0)</f>
        <v>4</v>
      </c>
      <c r="DN39" s="529">
        <f>Table9[[#This Row],[Sea Level Rise  Risk Index Score]]*'Detailed Rubric V3'!$L$104</f>
        <v>0.4</v>
      </c>
      <c r="DO39" s="529" t="s">
        <v>419</v>
      </c>
      <c r="DP39" s="529" cm="1">
        <f t="array" ref="DP39">_xlfn.IFS(Table9[[#This Row],[Cyclone Risk Index (10%)]]="", 0, Table9[[#This Row],[Cyclone Risk Index (10%)]]="Very Low", 4, Table9[[#This Row],[Cyclone Risk Index (10%)]]="Moderate &amp; Low", 2, TRUE, 0)</f>
        <v>2</v>
      </c>
      <c r="DQ39" s="529">
        <f>Table9[[#This Row],[Cyclone Risk Index Score]]*'Detailed Rubric V3'!$O$104</f>
        <v>0.2</v>
      </c>
      <c r="DR39" s="529" t="s">
        <v>428</v>
      </c>
      <c r="DS39" s="529" cm="1">
        <f t="array" ref="DS39">_xlfn.IFS(Table9[[#This Row],[Storm Surge Risk Index (10%)]]="", 0, Table9[[#This Row],[Storm Surge Risk Index (10%)]]="Very Low", 4, Table9[[#This Row],[Storm Surge Risk Index (10%)]]="Moderate &amp; Low", 2, TRUE, 0)</f>
        <v>4</v>
      </c>
      <c r="DT39" s="529">
        <f>Table9[[#This Row],[Storm Surge Risk Index Score]]*'Detailed Rubric V3'!$R$104</f>
        <v>0.4</v>
      </c>
      <c r="DU39"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0.14399999999999999</v>
      </c>
      <c r="DV39" s="533">
        <f>SUM(Table9[[#This Row],[2.1. Connectivity/ Logistics (10% weightage)]],Table9[[#This Row],[2.2. Utility (12% weightage)]],Table9[[#This Row],[2.3. Agglomeration effects (10% weightage)]],Table9[[#This Row],[2.4. Regional Policy (4% weightage)]],Table9[[#This Row],[2.5. Social (8% weightage)]],Table9[[#This Row],[2.6. Environment (6% weightage)]])</f>
        <v>1.492</v>
      </c>
      <c r="DW39" s="232">
        <f>_xlfn.RANK.EQ(Table9[[#This Row],[Level 2 Score]],$DV$3:$DV$103)</f>
        <v>31</v>
      </c>
      <c r="DX39" s="533">
        <f>Table9[[#This Row],[Level 1 Score]]+Table9[[#This Row],[Level 2 Score]]</f>
        <v>2.1920000000000002</v>
      </c>
      <c r="DY39" s="232">
        <f>_xlfn.RANK.EQ(Table9[[#This Row],[Total Score]],$DX$3:$DX$103)</f>
        <v>37</v>
      </c>
      <c r="DZ39" s="237" t="str">
        <f>IF(Table9[[#This Row],[Count of Blanks]]&lt;=2, "Yes", "No")</f>
        <v>Yes</v>
      </c>
      <c r="EA39" s="237">
        <f>COUNTBLANK(Table9[[#This Row],[Name]:[Total Score Rank]])</f>
        <v>2</v>
      </c>
      <c r="EB39" s="237"/>
    </row>
    <row r="40" spans="2:132" ht="27" x14ac:dyDescent="0.25">
      <c r="B40" s="220">
        <v>48</v>
      </c>
      <c r="C40" s="221" t="s">
        <v>55</v>
      </c>
      <c r="D40" s="220" t="s">
        <v>121</v>
      </c>
      <c r="E40" s="220" t="s">
        <v>122</v>
      </c>
      <c r="F40" s="220" t="s">
        <v>123</v>
      </c>
      <c r="G40" s="220" t="s">
        <v>70</v>
      </c>
      <c r="H40" s="525" t="s">
        <v>422</v>
      </c>
      <c r="I40" s="70" t="s">
        <v>452</v>
      </c>
      <c r="J40" s="227" t="s">
        <v>435</v>
      </c>
      <c r="K40" s="220">
        <f>IFERROR(VLOOKUP(Table9[[#This Row],[Land Availability (Grade)​
(50%)]],'Detailed Rubric V3'!$B$8:$C$11,2), 0)</f>
        <v>2</v>
      </c>
      <c r="L40" s="220">
        <f>IFERROR(Table9[[#This Row],[Land Availability (Grade)​ Score]]*'Detailed Rubric V3'!$C$6, "")</f>
        <v>1</v>
      </c>
      <c r="M40" s="222">
        <v>602.41999999999996</v>
      </c>
      <c r="N40" s="222" cm="1">
        <f t="array" ref="N40">_xlfn.IFS(Table9[[#This Row],[Land Size (Acres)
(15%)]]&lt;100,0,Table9[[#This Row],[Land Size (Acres)
(15%)]]&gt;500,4,TRUE,2)</f>
        <v>4</v>
      </c>
      <c r="O40" s="222">
        <f>Table9[[#This Row],[Land Size (Acres) Score]]*'Detailed Rubric V3'!$G$6</f>
        <v>0.6</v>
      </c>
      <c r="P40" s="526">
        <v>2910.9</v>
      </c>
      <c r="Q40" s="526">
        <f>IFERROR(Table9[[#This Row],[Site Filling Cost (Mn BDT)]]/Table9[[#This Row],[Land Size (Acres)
(15%)]],"")</f>
        <v>4.832010889412703</v>
      </c>
      <c r="R40" s="526" cm="1">
        <f t="array" ref="R40">IF(Table9[[#This Row],[Name]]="Sitakundo Economic Zone", 4, _xlfn.IFS(Table9[[#This Row],[Site Filling Cost (Mn BDT)]]="",0,Table9[[#This Row],[Land Suitability
(Cost of Land Filling in Million BDT per acre)
(25%)]]&gt;5,0,Table9[[#This Row],[Land Suitability
(Cost of Land Filling in Million BDT per acre)
(25%)]]&lt;2,4,TRUE,2))</f>
        <v>2</v>
      </c>
      <c r="S40" s="526">
        <f>Table9[[#This Row],[Land Suitability for Construction Score]]*'Detailed Rubric V3'!$J$6</f>
        <v>0.5</v>
      </c>
      <c r="T40" s="526">
        <v>759.2</v>
      </c>
      <c r="U40" s="526">
        <f>IFERROR(Table9[[#This Row],[Embankment/Dyke Cost (Mn BDT)]]/Table9[[#This Row],[Land Size (Acres)
(15%)]], 0)</f>
        <v>1.2602503236944327</v>
      </c>
      <c r="V40" s="526" cm="1">
        <f t="array" ref="V40">IF(Table9[[#This Row],[Name]]="Sitakundo Economic Zone", 2, _xlfn.IFS(Table9[[#This Row],[Embankment/Dyke Cost (Mn BDT)]]="",0,Table9[[#This Row],[Cost of DRRI Infrastructure in million BDT per acre
(10%)]]&gt;5,0,Table9[[#This Row],[Cost of DRRI Infrastructure in million BDT per acre
(10%)]]&lt;2,4,TRUE,2))</f>
        <v>4</v>
      </c>
      <c r="W40" s="526">
        <f>Table9[[#This Row],[Requirement for Distaster Risk Reduction &amp; Resilience Infrastructure Score]]*'Detailed Rubric V3'!$M$6</f>
        <v>0.4</v>
      </c>
      <c r="X40"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0.5</v>
      </c>
      <c r="Y40" s="227" t="s">
        <v>415</v>
      </c>
      <c r="Z40" s="583">
        <f>IFERROR(VLOOKUP(Table9[[#This Row],[Zone Priority
(40%)]],'Detailed Rubric V3'!$B$18:$C$21, 2,FALSE), 0)</f>
        <v>4</v>
      </c>
      <c r="AA40" s="583">
        <f>IFERROR(Table9[[#This Row],[Zone Priority Score]]*'Detailed Rubric V3'!$C$16, 0)</f>
        <v>0</v>
      </c>
      <c r="AB40" s="584" t="s">
        <v>416</v>
      </c>
      <c r="AC40" s="584">
        <f>VLOOKUP(Table9[[#This Row],[Existing BEZA Report
(60%)]],'Detailed Rubric V3'!$E$18:$F$20,2,FALSE)</f>
        <v>4</v>
      </c>
      <c r="AD40" s="584">
        <f>Table9[[#This Row],[Existing BEZA Report Score]]*'Detailed Rubric V3'!F$16</f>
        <v>4</v>
      </c>
      <c r="AE40" s="237">
        <f>(Table9[[#This Row],[Zone Priority Weighted Score]]+Table9[[#This Row],[Existing BEZA Report Weighted Score]])*'Detailed Rubric V3'!$C$14</f>
        <v>0.6</v>
      </c>
      <c r="AF40" s="528">
        <v>0</v>
      </c>
      <c r="AG40" s="585" cm="1">
        <f t="array" ref="AG40">_xlfn.IFS(Table9[[#This Row],[Existing Sectors
(50%)]]&gt;10, 4,Table9[[#This Row],[Existing Sectors
(50%)]]&lt;5, 0, TRUE, 2)</f>
        <v>0</v>
      </c>
      <c r="AH40" s="585">
        <f>Table9[[#This Row],[Existing Sectors Score]]*'Detailed Rubric V3'!$C$25</f>
        <v>0</v>
      </c>
      <c r="AI40" s="585">
        <v>0</v>
      </c>
      <c r="AJ40" s="585">
        <v>0</v>
      </c>
      <c r="AK40" s="585" cm="1">
        <f t="array" ref="AK40">_xlfn.IFS(Table9[[#This Row],[Potential New Sectors
(50%)]]&gt;5, 4, Table9[[#This Row],[Potential New Sectors
(50%)]]&lt;2,0, TRUE, 2)</f>
        <v>0</v>
      </c>
      <c r="AL40" s="585">
        <f>Table9[[#This Row],[Potential New Sectors Score]]*'Detailed Rubric V3'!$F$25</f>
        <v>0</v>
      </c>
      <c r="AM40" s="586">
        <f>(Table9[[#This Row],[Existing Sectors Weighted Score]]+Table9[[#This Row],[Potential New Sectors Weighted Score]])*'Detailed Rubric V3'!$C$23</f>
        <v>0</v>
      </c>
      <c r="AN40" s="530">
        <f>SUM(Table9[[#This Row],[1.1. Land Details (20% weightage)]],Table9[[#This Row],[1.2. BEZA Existing plans (15% weightage)]],Table9[[#This Row],[1.3. Sector Demand (15% weightage):]])</f>
        <v>1.1000000000000001</v>
      </c>
      <c r="AO40" s="531">
        <f>_xlfn.RANK.EQ(Table9[[#This Row],[Level 1 Score]],$AN$3:$AN$103)</f>
        <v>20</v>
      </c>
      <c r="AP40" s="529">
        <v>28</v>
      </c>
      <c r="AQ40" s="529" cm="1">
        <f t="array" ref="AQ40">_xlfn.IFS(Table9[[#This Row],[National Highway Connectivity (km)
(15%)]]="", 0, Table9[[#This Row],[National Highway Connectivity (km)
(15%)]]&gt;50, 0, Table9[[#This Row],[National Highway Connectivity (km)
(15%)]]&lt;=25, 4, TRUE, 2)</f>
        <v>2</v>
      </c>
      <c r="AR40" s="529">
        <f>Table9[[#This Row],[National Highway Connectivity Score]]*'Detailed Rubric V3'!$C$35</f>
        <v>0.3</v>
      </c>
      <c r="AS40" s="529" t="s">
        <v>418</v>
      </c>
      <c r="AT40" s="529" cm="1">
        <f t="array" ref="AT40">_xlfn.IFS(Table9[[#This Row],[Connecting Road to Highway (km)
(15%)]]="", 0, Table9[[#This Row],[Connecting Road to Highway (km)
(15%)]]="Yes", 4, TRUE, 0)</f>
        <v>0</v>
      </c>
      <c r="AU40" s="529">
        <f>Table9[[#This Row],[Connecting Road to Highway Score]]*'Detailed Rubric V3'!$F$35</f>
        <v>0</v>
      </c>
      <c r="AV40" s="529">
        <v>522</v>
      </c>
      <c r="AW40" s="529" cm="1">
        <f t="array" ref="AW40">_xlfn.IFS(Table9[[#This Row],[Seaport Connectivity (km)
(30%)]]="",0, Table9[[#This Row],[Seaport Connectivity (km)
(30%)]]&gt;400, 0,Table9[[#This Row],[Seaport Connectivity (km)
(30%)]]&lt;=200,4, TRUE, 2)</f>
        <v>0</v>
      </c>
      <c r="AX40" s="529">
        <f>Table9[[#This Row],[Seaport Connectivity Score]]*'Detailed Rubric V3'!$I$35</f>
        <v>0</v>
      </c>
      <c r="AY40" s="529">
        <v>45</v>
      </c>
      <c r="AZ40" s="529" cm="1">
        <f t="array" ref="AZ40">_xlfn.IFS(Table9[[#This Row],[Airport Connectivity (km)
(10%)]]="", 0, Table9[[#This Row],[Airport Connectivity (km)
(10%)]]&gt;200, 0, Table9[[#This Row],[Airport Connectivity (km)
(10%)]]&lt;=100,4,TRUE, 2)</f>
        <v>4</v>
      </c>
      <c r="BA40" s="529">
        <f>Table9[[#This Row],[Airport Connectivity Score]]*'Detailed Rubric V3'!$C$41</f>
        <v>0.4</v>
      </c>
      <c r="BB40" s="529">
        <v>7</v>
      </c>
      <c r="BC40" s="529" cm="1">
        <f t="array" ref="BC40">_xlfn.IFS(Table9[[#This Row],[Railway Station (km)
(10%)]]="", 0, Table9[[#This Row],[Railway Station (km)
(10%)]]&gt;150, 0,Table9[[#This Row],[Railway Station (km)
(10%)]]&lt;=50,4, TRUE, 2)</f>
        <v>4</v>
      </c>
      <c r="BD40" s="529">
        <f>Table9[[#This Row],[Railway Station Score]]*'Detailed Rubric V3'!$F$41</f>
        <v>0.4</v>
      </c>
      <c r="BE40" s="529">
        <v>79</v>
      </c>
      <c r="BF40" s="529" cm="1">
        <f t="array" ref="BF40">_xlfn.IFS(Table9[[#This Row],[Inland waterway/ Land port (km)
(20%)]]="", 0, Table9[[#This Row],[Inland waterway/ Land port (km)
(20%)]]&gt;200, 0,Table9[[#This Row],[Inland waterway/ Land port (km)
(20%)]]&lt;=50,4, TRUE, 2)</f>
        <v>2</v>
      </c>
      <c r="BG40" s="529">
        <f>Table9[[#This Row],[Inland waterway/ Land port Score]]*'Detailed Rubric V3'!$I$41</f>
        <v>0.4</v>
      </c>
      <c r="BH40"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0.15000000000000002</v>
      </c>
      <c r="BI40" s="529">
        <v>2</v>
      </c>
      <c r="BJ40" s="529" cm="1">
        <f t="array" ref="BJ40">_xlfn.IFS(Table9[[#This Row],[Power Station (40%)]]="",0, Table9[[#This Row],[Power Station (40%)]]&gt;100, 0,Table9[[#This Row],[Power Station (40%)]]&lt;=50,4, TRUE, 2)</f>
        <v>4</v>
      </c>
      <c r="BK40" s="529">
        <f>Table9[[#This Row],[Power Station Score]]*'Detailed Rubric V3'!$C$53</f>
        <v>1.6</v>
      </c>
      <c r="BL40" s="529">
        <v>185</v>
      </c>
      <c r="BM40" s="529" cm="1">
        <f t="array" ref="BM40">IF(ISNUMBER(Table9[[#This Row],[Gas Station (20%)]]), _xlfn.IFS(Table9[[#This Row],[Gas Station (20%)]]="", 0, Table9[[#This Row],[Gas Station (20%)]]&gt;100, 0,Table9[[#This Row],[Gas Station (20%)]]&lt;=50,4, TRUE, 2), 0)</f>
        <v>0</v>
      </c>
      <c r="BN40" s="529">
        <f>Table9[[#This Row],[Gas Station Score]]*'Detailed Rubric V3'!$F$53</f>
        <v>0</v>
      </c>
      <c r="BO40" s="529">
        <v>0</v>
      </c>
      <c r="BP40" s="529" cm="1">
        <f t="array" ref="BP40">IF(ISNUMBER(Table9[[#This Row],[Source of Surface Water (40%)]]), _xlfn.IFS(Table9[[#This Row],[Source of Surface Water (40%)]]="", 0, Table9[[#This Row],[Source of Surface Water (40%)]]&gt;50, 0,Table9[[#This Row],[Source of Surface Water (40%)]]&lt;=20,4, TRUE, 2), 0)</f>
        <v>4</v>
      </c>
      <c r="BQ40" s="529">
        <f>Table9[[#This Row],[Source of Surface Water Score]]*'Detailed Rubric V3'!$I$53</f>
        <v>1.6</v>
      </c>
      <c r="BR40" s="529">
        <f>SUM(Table9[[#This Row],[Power Station Weighted Score]],Table9[[#This Row],[Gas Station Weighted Score]],Table9[[#This Row],[Source of Surface Water Weighted Score]])*'Detailed Rubric V3'!$C$51</f>
        <v>0.38400000000000001</v>
      </c>
      <c r="BS40" s="529" t="s">
        <v>418</v>
      </c>
      <c r="BT40" s="529" cm="1">
        <f t="array" ref="BT40">_xlfn.IFS(Table9[[#This Row],[Other BEZA EZ (20%)]]="", 0, Table9[[#This Row],[Other BEZA EZ (20%)]]="Yes", 4, TRUE, 0)</f>
        <v>0</v>
      </c>
      <c r="BU40" s="529">
        <f>Table9[[#This Row],[Other BEZA EZ Score]]*'Detailed Rubric V3'!$C$66</f>
        <v>0</v>
      </c>
      <c r="BV40" s="529" t="s">
        <v>417</v>
      </c>
      <c r="BW40" s="529" cm="1">
        <f t="array" ref="BW40">_xlfn.IFS(Table9[[#This Row],[BEPZA/ BHPTA/ BSCIC (20%)]]="", 0, Table9[[#This Row],[BEPZA/ BHPTA/ BSCIC (20%)]]="Yes", 4, TRUE, 0)</f>
        <v>4</v>
      </c>
      <c r="BX40" s="529">
        <f>Table9[[#This Row],[BEPZA/ BHPTA/ BSCIC Score]]*'Detailed Rubric V3'!$F$66</f>
        <v>0.8</v>
      </c>
      <c r="BY40" s="529">
        <v>22</v>
      </c>
      <c r="BZ40" s="529" cm="1">
        <f t="array" ref="BZ40">_xlfn.IFS(Table9[[#This Row],[Cluster Industries (from SMI) (20%)]]="", 0, Table9[[#This Row],[Cluster Industries (from SMI) (20%)]]&gt;100, 4, Table9[[#This Row],[Cluster Industries (from SMI) (20%)]]&lt;50, 0, TRUE, 2)</f>
        <v>0</v>
      </c>
      <c r="CA40" s="529">
        <f>Table9[[#This Row],[Cluster Industries (from SMI) Score]]*'Detailed Rubric V3'!$I$66</f>
        <v>0</v>
      </c>
      <c r="CB40" s="529" t="s">
        <v>417</v>
      </c>
      <c r="CC40" s="529" cm="1">
        <f t="array" ref="CC40">_xlfn.IFS(Table9[[#This Row],[Located on Industrial corridor (40%)]]="", 0, Table9[[#This Row],[Located on Industrial corridor (40%)]]="Yes", 4, TRUE, 0)</f>
        <v>4</v>
      </c>
      <c r="CD40" s="529">
        <f>Table9[[#This Row],[Located on Industrial corridor Score]]*'Detailed Rubric V3'!$L$66</f>
        <v>1.6</v>
      </c>
      <c r="CE40" s="529">
        <f>SUM(Table9[[#This Row],[Other BEZA EZ Weighted Score]],Table9[[#This Row],[BEPZA/ BHPTA/ BSCIC Weighted Score]],Table9[[#This Row],[Unorganized (from SMI) Weighted Score]],Table9[[#This Row],[Located on Industrial corridor Weighted Score]])*'Detailed Rubric V3'!$C$64</f>
        <v>0.24000000000000005</v>
      </c>
      <c r="CF40" s="529" t="s">
        <v>418</v>
      </c>
      <c r="CG40" s="529" cm="1">
        <f t="array" ref="CG40">_xlfn.IFS(Table9[[#This Row],[Economic/ Social priority (laggered area) (100%)]]="", 0, Table9[[#This Row],[Economic/ Social priority (laggered area) (100%)]]="Yes", 4, TRUE, 0)</f>
        <v>0</v>
      </c>
      <c r="CH40" s="529">
        <f>Table9[[#This Row],[Economic/ Social priority (laggered area) Score]]*'Detailed Rubric V3'!$C$82</f>
        <v>0</v>
      </c>
      <c r="CI40" s="529" t="s">
        <v>418</v>
      </c>
      <c r="CJ40" s="529" cm="1">
        <f t="array" ref="CJ40">_xlfn.IFS(Table9[[#This Row],[Regional Tax incentive  (0%)]]="", 0, Table9[[#This Row],[Regional Tax incentive  (0%)]]="Yes", 4, TRUE, 0)</f>
        <v>0</v>
      </c>
      <c r="CK40" s="529">
        <f>Table9[[#This Row],[Regional Tax incentive Score]]*'Detailed Rubric V3'!$F$82</f>
        <v>0</v>
      </c>
      <c r="CL40" s="529">
        <f>SUM(Table9[[#This Row],[Economic/ Social priority (laagered area) Weighted Score]],Table9[[#This Row],[Regional Tax incentive  Weighted Score]])*'Detailed Rubric V3'!$C$80</f>
        <v>0</v>
      </c>
      <c r="CM40" s="529">
        <v>186161</v>
      </c>
      <c r="CN40" s="529" cm="1">
        <f t="array" ref="CN40">_xlfn.IFS(Table9[[#This Row],[Employable population (40%) 2013]]="", 0, Table9[[#This Row],[Employable population (40%) 2013]]&gt;200000, 4, Table9[[#This Row],[Employable population (40%) 2013]]&lt;100000,0, TRUE, 2)</f>
        <v>2</v>
      </c>
      <c r="CO40" s="529">
        <f>Table9[[#This Row],[Employable population Score]]*'Detailed Rubric V3'!$C$92</f>
        <v>0.8</v>
      </c>
      <c r="CP40" s="529">
        <v>39</v>
      </c>
      <c r="CQ40" s="529" cm="1">
        <f t="array" ref="CQ40">_xlfn.IFS(Table9[[#This Row],[Housing (20%)]]="", 0, Table9[[#This Row],[Housing (20%)]]&gt;50, 0, Table9[[#This Row],[Housing (20%)]]&lt;25, 4, TRUE, 2)</f>
        <v>2</v>
      </c>
      <c r="CR40" s="529">
        <f>Table9[[#This Row],[Housing Score]]*'Detailed Rubric V3'!$F$92</f>
        <v>0.4</v>
      </c>
      <c r="CS40" s="529">
        <v>18</v>
      </c>
      <c r="CT40" s="529" cm="1">
        <f t="array" ref="CT40">_xlfn.IFS(Table9[[#This Row],[Hotels (10%)]]="", 0, Table9[[#This Row],[Hotels (10%)]]&gt;25, 4, Table9[[#This Row],[Hotels (10%)]]&lt;5, 0, TRUE, 2)</f>
        <v>2</v>
      </c>
      <c r="CU40" s="529">
        <f>Table9[[#This Row],[Hotels Score]]*'Detailed Rubric V3'!$I$92</f>
        <v>0.2</v>
      </c>
      <c r="CV40" s="529">
        <v>29</v>
      </c>
      <c r="CW40" s="529" cm="1">
        <f t="array" ref="CW40">_xlfn.IFS(Table9[[#This Row],[Health (Hospital) (15%)]]="", 0, Table9[[#This Row],[Health (Hospital) (15%)]]&gt;10, 4, Table9[[#This Row],[Health (Hospital) (15%)]]&lt;5, 0, TRUE, 2)</f>
        <v>4</v>
      </c>
      <c r="CX40" s="529">
        <f>Table9[[#This Row],[Health (Hospital) Score]]*'Detailed Rubric V3'!$L$92</f>
        <v>0.6</v>
      </c>
      <c r="CY40" s="529">
        <v>2</v>
      </c>
      <c r="CZ40" s="529" cm="1">
        <f t="array" ref="CZ40">_xlfn.IFS(Table9[[#This Row],[University/ Technical &amp; Vocational Institutions (15%)]]="", 0, Table9[[#This Row],[University/ Technical &amp; Vocational Institutions (15%)]]&gt;3, 4, Table9[[#This Row],[University/ Technical &amp; Vocational Institutions (15%)]]&lt;1, 0, TRUE, 2)</f>
        <v>2</v>
      </c>
      <c r="DA40" s="529">
        <f>Table9[[#This Row],[University/ Technical &amp; Vocational Institutions Score]]*'Detailed Rubric V3'!$O$92</f>
        <v>0.3</v>
      </c>
      <c r="DB40" s="529">
        <f>SUM(Table9[[#This Row],[Employable population Weighted Score]],Table9[[#This Row],[Housing Weighted Score]],Table9[[#This Row],[Hotels Weighted Score]],Table9[[#This Row],[Health (Hospital) Weighted Score]],Table9[[#This Row],[University/ Technical &amp; Vocational Institutions Weighted Score]])*'Detailed Rubric V3'!$C$90</f>
        <v>0.184</v>
      </c>
      <c r="DC40" s="529" t="s">
        <v>418</v>
      </c>
      <c r="DD40" s="529" cm="1">
        <f t="array" ref="DD40">_xlfn.IFS(Table9[[#This Row],[Environment compliance (30%)]]="", 0, Table9[[#This Row],[Environment compliance (30%)]]="Yes", 4, TRUE, 0)</f>
        <v>0</v>
      </c>
      <c r="DE40" s="529">
        <f>Table9[[#This Row],[Environment compliance Score]]*'Detailed Rubric V3'!$C$104</f>
        <v>0</v>
      </c>
      <c r="DF40" s="529" t="s">
        <v>419</v>
      </c>
      <c r="DG40" s="529" cm="1">
        <f t="array" ref="DG40">_xlfn.IFS(Table9[[#This Row],[Flood Risk Index (30%)]]="", 0, Table9[[#This Row],[Flood Risk Index (30%)]]="Very Low", 4, Table9[[#This Row],[Flood Risk Index (30%)]]="Moderate &amp; Low", 2, TRUE, 0)</f>
        <v>2</v>
      </c>
      <c r="DH40" s="529">
        <f>Table9[[#This Row],[Flood Risk Index Score]]*'Detailed Rubric V3'!$F$104</f>
        <v>0.6</v>
      </c>
      <c r="DI40" s="529" t="s">
        <v>419</v>
      </c>
      <c r="DJ40" s="529" cm="1">
        <f t="array" ref="DJ40">_xlfn.IFS(Table9[[#This Row],[Earth Quake Risk Index (10%)]]="", 0, Table9[[#This Row],[Earth Quake Risk Index (10%)]]="Very Low", 4, Table9[[#This Row],[Earth Quake Risk Index (10%)]]="Moderate &amp; Low", 2, TRUE, 0)</f>
        <v>2</v>
      </c>
      <c r="DK40" s="529">
        <f>Table9[[#This Row],[Earth Quake Risk Index Score]]*'Detailed Rubric V3'!$I$104</f>
        <v>0.2</v>
      </c>
      <c r="DL40" s="529" t="s">
        <v>428</v>
      </c>
      <c r="DM40" s="529" cm="1">
        <f t="array" ref="DM40">_xlfn.IFS(Table9[[#This Row],[Sea Level Rise Risk Index (10%)]]="", 0, Table9[[#This Row],[Sea Level Rise Risk Index (10%)]]="Very Low", 4, Table9[[#This Row],[Sea Level Rise Risk Index (10%)]]="Moderate &amp; Low", 2, TRUE, 0)</f>
        <v>4</v>
      </c>
      <c r="DN40" s="529">
        <f>Table9[[#This Row],[Sea Level Rise  Risk Index Score]]*'Detailed Rubric V3'!$L$104</f>
        <v>0.4</v>
      </c>
      <c r="DO40" s="529" t="s">
        <v>428</v>
      </c>
      <c r="DP40" s="529" cm="1">
        <f t="array" ref="DP40">_xlfn.IFS(Table9[[#This Row],[Cyclone Risk Index (10%)]]="", 0, Table9[[#This Row],[Cyclone Risk Index (10%)]]="Very Low", 4, Table9[[#This Row],[Cyclone Risk Index (10%)]]="Moderate &amp; Low", 2, TRUE, 0)</f>
        <v>4</v>
      </c>
      <c r="DQ40" s="529">
        <f>Table9[[#This Row],[Cyclone Risk Index Score]]*'Detailed Rubric V3'!$O$104</f>
        <v>0.4</v>
      </c>
      <c r="DR40" s="529" t="s">
        <v>428</v>
      </c>
      <c r="DS40" s="529" cm="1">
        <f t="array" ref="DS40">_xlfn.IFS(Table9[[#This Row],[Storm Surge Risk Index (10%)]]="", 0, Table9[[#This Row],[Storm Surge Risk Index (10%)]]="Very Low", 4, Table9[[#This Row],[Storm Surge Risk Index (10%)]]="Moderate &amp; Low", 2, TRUE, 0)</f>
        <v>4</v>
      </c>
      <c r="DT40" s="529">
        <f>Table9[[#This Row],[Storm Surge Risk Index Score]]*'Detailed Rubric V3'!$R$104</f>
        <v>0.4</v>
      </c>
      <c r="DU40"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0.12</v>
      </c>
      <c r="DV40" s="533">
        <f>SUM(Table9[[#This Row],[2.1. Connectivity/ Logistics (10% weightage)]],Table9[[#This Row],[2.2. Utility (12% weightage)]],Table9[[#This Row],[2.3. Agglomeration effects (10% weightage)]],Table9[[#This Row],[2.4. Regional Policy (4% weightage)]],Table9[[#This Row],[2.5. Social (8% weightage)]],Table9[[#This Row],[2.6. Environment (6% weightage)]])</f>
        <v>1.0779999999999998</v>
      </c>
      <c r="DW40" s="232">
        <f>_xlfn.RANK.EQ(Table9[[#This Row],[Level 2 Score]],$DV$3:$DV$103)</f>
        <v>50</v>
      </c>
      <c r="DX40" s="533">
        <f>Table9[[#This Row],[Level 1 Score]]+Table9[[#This Row],[Level 2 Score]]</f>
        <v>2.1779999999999999</v>
      </c>
      <c r="DY40" s="336">
        <f>_xlfn.RANK.EQ(Table9[[#This Row],[Total Score]],$DX$3:$DX$103)</f>
        <v>38</v>
      </c>
      <c r="DZ40" s="237" t="str">
        <f>IF(Table9[[#This Row],[Count of Blanks]]&lt;=2, "Yes", "No")</f>
        <v>Yes</v>
      </c>
      <c r="EA40" s="237">
        <f>COUNTBLANK(Table9[[#This Row],[Name]:[Total Score Rank]])</f>
        <v>0</v>
      </c>
      <c r="EB40" s="613" t="s">
        <v>417</v>
      </c>
    </row>
    <row r="41" spans="2:132" x14ac:dyDescent="0.25">
      <c r="B41" s="220">
        <v>40</v>
      </c>
      <c r="C41" s="221" t="s">
        <v>60</v>
      </c>
      <c r="D41" s="220" t="s">
        <v>113</v>
      </c>
      <c r="E41" s="220" t="s">
        <v>130</v>
      </c>
      <c r="F41" s="220" t="s">
        <v>131</v>
      </c>
      <c r="G41" s="220" t="s">
        <v>70</v>
      </c>
      <c r="H41" s="525" t="s">
        <v>430</v>
      </c>
      <c r="I41" s="70" t="s">
        <v>457</v>
      </c>
      <c r="J41" s="227" t="s">
        <v>444</v>
      </c>
      <c r="K41" s="220">
        <f>IFERROR(VLOOKUP(Table9[[#This Row],[Land Availability (Grade)​
(50%)]],'Detailed Rubric V3'!$B$8:$C$11,2), 0)</f>
        <v>0</v>
      </c>
      <c r="L41" s="220">
        <f>IFERROR(Table9[[#This Row],[Land Availability (Grade)​ Score]]*'Detailed Rubric V3'!$C$6, "")</f>
        <v>0</v>
      </c>
      <c r="M41" s="222">
        <v>242.34</v>
      </c>
      <c r="N41" s="222" cm="1">
        <f t="array" ref="N41">_xlfn.IFS(Table9[[#This Row],[Land Size (Acres)
(15%)]]&lt;100,0,Table9[[#This Row],[Land Size (Acres)
(15%)]]&gt;500,4,TRUE,2)</f>
        <v>2</v>
      </c>
      <c r="O41" s="222">
        <f>Table9[[#This Row],[Land Size (Acres) Score]]*'Detailed Rubric V3'!$G$6</f>
        <v>0.3</v>
      </c>
      <c r="P41" s="526">
        <v>1591</v>
      </c>
      <c r="Q41" s="526">
        <f>IFERROR(Table9[[#This Row],[Site Filling Cost (Mn BDT)]]/Table9[[#This Row],[Land Size (Acres)
(15%)]],"")</f>
        <v>6.5651563918461662</v>
      </c>
      <c r="R41" s="526" cm="1">
        <f t="array" ref="R41">IF(Table9[[#This Row],[Name]]="Sitakundo Economic Zone", 4, _xlfn.IFS(Table9[[#This Row],[Site Filling Cost (Mn BDT)]]="",0,Table9[[#This Row],[Land Suitability
(Cost of Land Filling in Million BDT per acre)
(25%)]]&gt;5,0,Table9[[#This Row],[Land Suitability
(Cost of Land Filling in Million BDT per acre)
(25%)]]&lt;2,4,TRUE,2))</f>
        <v>0</v>
      </c>
      <c r="S41" s="526">
        <f>Table9[[#This Row],[Land Suitability for Construction Score]]*'Detailed Rubric V3'!$J$6</f>
        <v>0</v>
      </c>
      <c r="T41" s="526">
        <v>44</v>
      </c>
      <c r="U41" s="526">
        <f>IFERROR(Table9[[#This Row],[Embankment/Dyke Cost (Mn BDT)]]/Table9[[#This Row],[Land Size (Acres)
(15%)]], 0)</f>
        <v>0.18156309317487826</v>
      </c>
      <c r="V41" s="526" cm="1">
        <f t="array" ref="V41">IF(Table9[[#This Row],[Name]]="Sitakundo Economic Zone", 2, _xlfn.IFS(Table9[[#This Row],[Embankment/Dyke Cost (Mn BDT)]]="",0,Table9[[#This Row],[Cost of DRRI Infrastructure in million BDT per acre
(10%)]]&gt;5,0,Table9[[#This Row],[Cost of DRRI Infrastructure in million BDT per acre
(10%)]]&lt;2,4,TRUE,2))</f>
        <v>4</v>
      </c>
      <c r="W41" s="526">
        <f>Table9[[#This Row],[Requirement for Distaster Risk Reduction &amp; Resilience Infrastructure Score]]*'Detailed Rubric V3'!$M$6</f>
        <v>0.4</v>
      </c>
      <c r="X41"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0.13999999999999999</v>
      </c>
      <c r="Y41" s="452" t="s">
        <v>436</v>
      </c>
      <c r="Z41" s="210">
        <f>IFERROR(VLOOKUP(Table9[[#This Row],[Zone Priority
(40%)]],'Detailed Rubric V3'!$B$18:$C$21, 2,FALSE), 0)</f>
        <v>0</v>
      </c>
      <c r="AA41" s="210">
        <f>IFERROR(Table9[[#This Row],[Zone Priority Score]]*'Detailed Rubric V3'!$C$16, 0)</f>
        <v>0</v>
      </c>
      <c r="AB41" s="237" t="s">
        <v>416</v>
      </c>
      <c r="AC41" s="237">
        <f>VLOOKUP(Table9[[#This Row],[Existing BEZA Report
(60%)]],'Detailed Rubric V3'!$E$18:$F$20,2,FALSE)</f>
        <v>4</v>
      </c>
      <c r="AD41" s="237">
        <f>Table9[[#This Row],[Existing BEZA Report Score]]*'Detailed Rubric V3'!F$16</f>
        <v>4</v>
      </c>
      <c r="AE41" s="237">
        <f>(Table9[[#This Row],[Zone Priority Weighted Score]]+Table9[[#This Row],[Existing BEZA Report Weighted Score]])*'Detailed Rubric V3'!$C$14</f>
        <v>0.6</v>
      </c>
      <c r="AF41" s="528">
        <v>2</v>
      </c>
      <c r="AG41" s="529" cm="1">
        <f t="array" ref="AG41">_xlfn.IFS(Table9[[#This Row],[Existing Sectors
(50%)]]&gt;10, 4,Table9[[#This Row],[Existing Sectors
(50%)]]&lt;5, 0, TRUE, 2)</f>
        <v>0</v>
      </c>
      <c r="AH41" s="529">
        <f>Table9[[#This Row],[Existing Sectors Score]]*'Detailed Rubric V3'!$C$25</f>
        <v>0</v>
      </c>
      <c r="AI41" s="529">
        <v>4</v>
      </c>
      <c r="AJ41" s="529">
        <v>2</v>
      </c>
      <c r="AK41" s="529" cm="1">
        <f t="array" ref="AK41">_xlfn.IFS(Table9[[#This Row],[Potential New Sectors
(50%)]]&gt;5, 4, Table9[[#This Row],[Potential New Sectors
(50%)]]&lt;2,0, TRUE, 2)</f>
        <v>2</v>
      </c>
      <c r="AL41" s="529">
        <f>Table9[[#This Row],[Potential New Sectors Score]]*'Detailed Rubric V3'!$F$25</f>
        <v>1</v>
      </c>
      <c r="AM41" s="232">
        <f>(Table9[[#This Row],[Existing Sectors Weighted Score]]+Table9[[#This Row],[Potential New Sectors Weighted Score]])*'Detailed Rubric V3'!$C$23</f>
        <v>0.15</v>
      </c>
      <c r="AN41" s="530">
        <f>SUM(Table9[[#This Row],[1.1. Land Details (20% weightage)]],Table9[[#This Row],[1.2. BEZA Existing plans (15% weightage)]],Table9[[#This Row],[1.3. Sector Demand (15% weightage):]])</f>
        <v>0.89</v>
      </c>
      <c r="AO41" s="531">
        <f>_xlfn.RANK.EQ(Table9[[#This Row],[Level 1 Score]],$AN$3:$AN$103)</f>
        <v>28</v>
      </c>
      <c r="AP41" s="529">
        <v>0</v>
      </c>
      <c r="AQ41" s="529" cm="1">
        <f t="array" ref="AQ41">_xlfn.IFS(Table9[[#This Row],[National Highway Connectivity (km)
(15%)]]="", 0, Table9[[#This Row],[National Highway Connectivity (km)
(15%)]]&gt;50, 0, Table9[[#This Row],[National Highway Connectivity (km)
(15%)]]&lt;=25, 4, TRUE, 2)</f>
        <v>4</v>
      </c>
      <c r="AR41" s="529">
        <f>Table9[[#This Row],[National Highway Connectivity Score]]*'Detailed Rubric V3'!$C$35</f>
        <v>0.6</v>
      </c>
      <c r="AS41" s="529" t="s">
        <v>417</v>
      </c>
      <c r="AT41" s="529" cm="1">
        <f t="array" ref="AT41">_xlfn.IFS(Table9[[#This Row],[Connecting Road to Highway (km)
(15%)]]="", 0, Table9[[#This Row],[Connecting Road to Highway (km)
(15%)]]="Yes", 4, TRUE, 0)</f>
        <v>4</v>
      </c>
      <c r="AU41" s="529">
        <f>Table9[[#This Row],[Connecting Road to Highway Score]]*'Detailed Rubric V3'!$F$35</f>
        <v>0.6</v>
      </c>
      <c r="AV41" s="529">
        <v>204</v>
      </c>
      <c r="AW41" s="529" cm="1">
        <f t="array" ref="AW41">_xlfn.IFS(Table9[[#This Row],[Seaport Connectivity (km)
(30%)]]="",0, Table9[[#This Row],[Seaport Connectivity (km)
(30%)]]&gt;400, 0,Table9[[#This Row],[Seaport Connectivity (km)
(30%)]]&lt;=200,4, TRUE, 2)</f>
        <v>2</v>
      </c>
      <c r="AX41" s="529">
        <f>Table9[[#This Row],[Seaport Connectivity Score]]*'Detailed Rubric V3'!$I$35</f>
        <v>0.6</v>
      </c>
      <c r="AY41" s="529">
        <v>42</v>
      </c>
      <c r="AZ41" s="529" cm="1">
        <f t="array" ref="AZ41">_xlfn.IFS(Table9[[#This Row],[Airport Connectivity (km)
(10%)]]="", 0, Table9[[#This Row],[Airport Connectivity (km)
(10%)]]&gt;200, 0, Table9[[#This Row],[Airport Connectivity (km)
(10%)]]&lt;=100,4,TRUE, 2)</f>
        <v>4</v>
      </c>
      <c r="BA41" s="529">
        <f>Table9[[#This Row],[Airport Connectivity Score]]*'Detailed Rubric V3'!$C$41</f>
        <v>0.4</v>
      </c>
      <c r="BB41" s="529">
        <v>22.8</v>
      </c>
      <c r="BC41" s="529" cm="1">
        <f t="array" ref="BC41">_xlfn.IFS(Table9[[#This Row],[Railway Station (km)
(10%)]]="", 0, Table9[[#This Row],[Railway Station (km)
(10%)]]&gt;150, 0,Table9[[#This Row],[Railway Station (km)
(10%)]]&lt;=50,4, TRUE, 2)</f>
        <v>4</v>
      </c>
      <c r="BD41" s="529">
        <f>Table9[[#This Row],[Railway Station Score]]*'Detailed Rubric V3'!$F$41</f>
        <v>0.4</v>
      </c>
      <c r="BE41" s="529">
        <v>146</v>
      </c>
      <c r="BF41" s="529" cm="1">
        <f t="array" ref="BF41">_xlfn.IFS(Table9[[#This Row],[Inland waterway/ Land port (km)
(20%)]]="", 0, Table9[[#This Row],[Inland waterway/ Land port (km)
(20%)]]&gt;200, 0,Table9[[#This Row],[Inland waterway/ Land port (km)
(20%)]]&lt;=50,4, TRUE, 2)</f>
        <v>2</v>
      </c>
      <c r="BG41" s="529">
        <f>Table9[[#This Row],[Inland waterway/ Land port Score]]*'Detailed Rubric V3'!$I$41</f>
        <v>0.4</v>
      </c>
      <c r="BH41"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v>
      </c>
      <c r="BI41" s="529">
        <v>5</v>
      </c>
      <c r="BJ41" s="529" cm="1">
        <f t="array" ref="BJ41">_xlfn.IFS(Table9[[#This Row],[Power Station (40%)]]="",0, Table9[[#This Row],[Power Station (40%)]]&gt;100, 0,Table9[[#This Row],[Power Station (40%)]]&lt;=50,4, TRUE, 2)</f>
        <v>4</v>
      </c>
      <c r="BK41" s="529">
        <f>Table9[[#This Row],[Power Station Score]]*'Detailed Rubric V3'!$C$53</f>
        <v>1.6</v>
      </c>
      <c r="BL41" s="529" t="s">
        <v>433</v>
      </c>
      <c r="BM41" s="529" cm="1">
        <f t="array" ref="BM41">IF(ISNUMBER(Table9[[#This Row],[Gas Station (20%)]]), _xlfn.IFS(Table9[[#This Row],[Gas Station (20%)]]="", 0, Table9[[#This Row],[Gas Station (20%)]]&gt;100, 0,Table9[[#This Row],[Gas Station (20%)]]&lt;=50,4, TRUE, 2), 0)</f>
        <v>0</v>
      </c>
      <c r="BN41" s="529">
        <f>Table9[[#This Row],[Gas Station Score]]*'Detailed Rubric V3'!$F$53</f>
        <v>0</v>
      </c>
      <c r="BO41" s="529" t="s">
        <v>433</v>
      </c>
      <c r="BP41" s="529" cm="1">
        <f t="array" ref="BP41">IF(ISNUMBER(Table9[[#This Row],[Source of Surface Water (40%)]]), _xlfn.IFS(Table9[[#This Row],[Source of Surface Water (40%)]]="", 0, Table9[[#This Row],[Source of Surface Water (40%)]]&gt;50, 0,Table9[[#This Row],[Source of Surface Water (40%)]]&lt;=20,4, TRUE, 2), 0)</f>
        <v>0</v>
      </c>
      <c r="BQ41" s="529">
        <f>Table9[[#This Row],[Source of Surface Water Score]]*'Detailed Rubric V3'!$I$53</f>
        <v>0</v>
      </c>
      <c r="BR41" s="529">
        <f>SUM(Table9[[#This Row],[Power Station Weighted Score]],Table9[[#This Row],[Gas Station Weighted Score]],Table9[[#This Row],[Source of Surface Water Weighted Score]])*'Detailed Rubric V3'!$C$51</f>
        <v>0.192</v>
      </c>
      <c r="BS41" s="529" t="s">
        <v>417</v>
      </c>
      <c r="BT41" s="529" cm="1">
        <f t="array" ref="BT41">_xlfn.IFS(Table9[[#This Row],[Other BEZA EZ (20%)]]="", 0, Table9[[#This Row],[Other BEZA EZ (20%)]]="Yes", 4, TRUE, 0)</f>
        <v>4</v>
      </c>
      <c r="BU41" s="529">
        <f>Table9[[#This Row],[Other BEZA EZ Score]]*'Detailed Rubric V3'!$C$66</f>
        <v>0.8</v>
      </c>
      <c r="BV41" s="529" t="s">
        <v>417</v>
      </c>
      <c r="BW41" s="529" cm="1">
        <f t="array" ref="BW41">_xlfn.IFS(Table9[[#This Row],[BEPZA/ BHPTA/ BSCIC (20%)]]="", 0, Table9[[#This Row],[BEPZA/ BHPTA/ BSCIC (20%)]]="Yes", 4, TRUE, 0)</f>
        <v>4</v>
      </c>
      <c r="BX41" s="529">
        <f>Table9[[#This Row],[BEPZA/ BHPTA/ BSCIC Score]]*'Detailed Rubric V3'!$F$66</f>
        <v>0.8</v>
      </c>
      <c r="BY41" s="529">
        <v>76</v>
      </c>
      <c r="BZ41" s="529" cm="1">
        <f t="array" ref="BZ41">_xlfn.IFS(Table9[[#This Row],[Cluster Industries (from SMI) (20%)]]="", 0, Table9[[#This Row],[Cluster Industries (from SMI) (20%)]]&gt;100, 4, Table9[[#This Row],[Cluster Industries (from SMI) (20%)]]&lt;50, 0, TRUE, 2)</f>
        <v>2</v>
      </c>
      <c r="CA41" s="529">
        <f>Table9[[#This Row],[Cluster Industries (from SMI) Score]]*'Detailed Rubric V3'!$I$66</f>
        <v>0.4</v>
      </c>
      <c r="CB41" s="529" t="s">
        <v>418</v>
      </c>
      <c r="CC41" s="529" cm="1">
        <f t="array" ref="CC41">_xlfn.IFS(Table9[[#This Row],[Located on Industrial corridor (40%)]]="", 0, Table9[[#This Row],[Located on Industrial corridor (40%)]]="Yes", 4, TRUE, 0)</f>
        <v>0</v>
      </c>
      <c r="CD41" s="529">
        <f>Table9[[#This Row],[Located on Industrial corridor Score]]*'Detailed Rubric V3'!$L$66</f>
        <v>0</v>
      </c>
      <c r="CE41" s="529">
        <f>SUM(Table9[[#This Row],[Other BEZA EZ Weighted Score]],Table9[[#This Row],[BEPZA/ BHPTA/ BSCIC Weighted Score]],Table9[[#This Row],[Unorganized (from SMI) Weighted Score]],Table9[[#This Row],[Located on Industrial corridor Weighted Score]])*'Detailed Rubric V3'!$C$64</f>
        <v>0.2</v>
      </c>
      <c r="CF41" s="529" t="s">
        <v>417</v>
      </c>
      <c r="CG41" s="529" cm="1">
        <f t="array" ref="CG41">_xlfn.IFS(Table9[[#This Row],[Economic/ Social priority (laggered area) (100%)]]="", 0, Table9[[#This Row],[Economic/ Social priority (laggered area) (100%)]]="Yes", 4, TRUE, 0)</f>
        <v>4</v>
      </c>
      <c r="CH41" s="529">
        <f>Table9[[#This Row],[Economic/ Social priority (laggered area) Score]]*'Detailed Rubric V3'!$C$82</f>
        <v>4</v>
      </c>
      <c r="CI41" s="529" t="s">
        <v>417</v>
      </c>
      <c r="CJ41" s="529" cm="1">
        <f t="array" ref="CJ41">_xlfn.IFS(Table9[[#This Row],[Regional Tax incentive  (0%)]]="", 0, Table9[[#This Row],[Regional Tax incentive  (0%)]]="Yes", 4, TRUE, 0)</f>
        <v>4</v>
      </c>
      <c r="CK41" s="529">
        <f>Table9[[#This Row],[Regional Tax incentive Score]]*'Detailed Rubric V3'!$F$82</f>
        <v>0</v>
      </c>
      <c r="CL41" s="529">
        <f>SUM(Table9[[#This Row],[Economic/ Social priority (laagered area) Weighted Score]],Table9[[#This Row],[Regional Tax incentive  Weighted Score]])*'Detailed Rubric V3'!$C$80</f>
        <v>0.16</v>
      </c>
      <c r="CM41" s="529">
        <v>301099</v>
      </c>
      <c r="CN41" s="529" cm="1">
        <f t="array" ref="CN41">_xlfn.IFS(Table9[[#This Row],[Employable population (40%) 2013]]="", 0, Table9[[#This Row],[Employable population (40%) 2013]]&gt;200000, 4, Table9[[#This Row],[Employable population (40%) 2013]]&lt;100000,0, TRUE, 2)</f>
        <v>4</v>
      </c>
      <c r="CO41" s="529">
        <f>Table9[[#This Row],[Employable population Score]]*'Detailed Rubric V3'!$C$92</f>
        <v>1.6</v>
      </c>
      <c r="CP41" s="529">
        <v>2.6</v>
      </c>
      <c r="CQ41" s="529" cm="1">
        <f t="array" ref="CQ41">_xlfn.IFS(Table9[[#This Row],[Housing (20%)]]="", 0, Table9[[#This Row],[Housing (20%)]]&gt;50, 0, Table9[[#This Row],[Housing (20%)]]&lt;25, 4, TRUE, 2)</f>
        <v>4</v>
      </c>
      <c r="CR41" s="529">
        <f>Table9[[#This Row],[Housing Score]]*'Detailed Rubric V3'!$F$92</f>
        <v>0.8</v>
      </c>
      <c r="CS41" s="529">
        <v>12</v>
      </c>
      <c r="CT41" s="529" cm="1">
        <f t="array" ref="CT41">_xlfn.IFS(Table9[[#This Row],[Hotels (10%)]]="", 0, Table9[[#This Row],[Hotels (10%)]]&gt;25, 4, Table9[[#This Row],[Hotels (10%)]]&lt;5, 0, TRUE, 2)</f>
        <v>2</v>
      </c>
      <c r="CU41" s="529">
        <f>Table9[[#This Row],[Hotels Score]]*'Detailed Rubric V3'!$I$92</f>
        <v>0.2</v>
      </c>
      <c r="CV41" s="529">
        <v>84</v>
      </c>
      <c r="CW41" s="529" cm="1">
        <f t="array" ref="CW41">_xlfn.IFS(Table9[[#This Row],[Health (Hospital) (15%)]]="", 0, Table9[[#This Row],[Health (Hospital) (15%)]]&gt;10, 4, Table9[[#This Row],[Health (Hospital) (15%)]]&lt;5, 0, TRUE, 2)</f>
        <v>4</v>
      </c>
      <c r="CX41" s="529">
        <f>Table9[[#This Row],[Health (Hospital) Score]]*'Detailed Rubric V3'!$L$92</f>
        <v>0.6</v>
      </c>
      <c r="CY41" s="529">
        <v>12</v>
      </c>
      <c r="CZ41" s="529" cm="1">
        <f t="array" ref="CZ41">_xlfn.IFS(Table9[[#This Row],[University/ Technical &amp; Vocational Institutions (15%)]]="", 0, Table9[[#This Row],[University/ Technical &amp; Vocational Institutions (15%)]]&gt;3, 4, Table9[[#This Row],[University/ Technical &amp; Vocational Institutions (15%)]]&lt;1, 0, TRUE, 2)</f>
        <v>4</v>
      </c>
      <c r="DA41" s="529">
        <f>Table9[[#This Row],[University/ Technical &amp; Vocational Institutions Score]]*'Detailed Rubric V3'!$O$92</f>
        <v>0.6</v>
      </c>
      <c r="DB41" s="529">
        <f>SUM(Table9[[#This Row],[Employable population Weighted Score]],Table9[[#This Row],[Housing Weighted Score]],Table9[[#This Row],[Hotels Weighted Score]],Table9[[#This Row],[Health (Hospital) Weighted Score]],Table9[[#This Row],[University/ Technical &amp; Vocational Institutions Weighted Score]])*'Detailed Rubric V3'!$C$90</f>
        <v>0.30400000000000005</v>
      </c>
      <c r="DC41" s="529" t="s">
        <v>418</v>
      </c>
      <c r="DD41" s="529" cm="1">
        <f t="array" ref="DD41">_xlfn.IFS(Table9[[#This Row],[Environment compliance (30%)]]="", 0, Table9[[#This Row],[Environment compliance (30%)]]="Yes", 4, TRUE, 0)</f>
        <v>0</v>
      </c>
      <c r="DE41" s="529">
        <f>Table9[[#This Row],[Environment compliance Score]]*'Detailed Rubric V3'!$C$104</f>
        <v>0</v>
      </c>
      <c r="DF41" s="529" t="s">
        <v>419</v>
      </c>
      <c r="DG41" s="529" cm="1">
        <f t="array" ref="DG41">_xlfn.IFS(Table9[[#This Row],[Flood Risk Index (30%)]]="", 0, Table9[[#This Row],[Flood Risk Index (30%)]]="Very Low", 4, Table9[[#This Row],[Flood Risk Index (30%)]]="Moderate &amp; Low", 2, TRUE, 0)</f>
        <v>2</v>
      </c>
      <c r="DH41" s="529">
        <f>Table9[[#This Row],[Flood Risk Index Score]]*'Detailed Rubric V3'!$F$104</f>
        <v>0.6</v>
      </c>
      <c r="DI41" s="529" t="s">
        <v>419</v>
      </c>
      <c r="DJ41" s="529" cm="1">
        <f t="array" ref="DJ41">_xlfn.IFS(Table9[[#This Row],[Earth Quake Risk Index (10%)]]="", 0, Table9[[#This Row],[Earth Quake Risk Index (10%)]]="Very Low", 4, Table9[[#This Row],[Earth Quake Risk Index (10%)]]="Moderate &amp; Low", 2, TRUE, 0)</f>
        <v>2</v>
      </c>
      <c r="DK41" s="529">
        <f>Table9[[#This Row],[Earth Quake Risk Index Score]]*'Detailed Rubric V3'!$I$104</f>
        <v>0.2</v>
      </c>
      <c r="DL41" s="529" t="s">
        <v>428</v>
      </c>
      <c r="DM41" s="529" cm="1">
        <f t="array" ref="DM41">_xlfn.IFS(Table9[[#This Row],[Sea Level Rise Risk Index (10%)]]="", 0, Table9[[#This Row],[Sea Level Rise Risk Index (10%)]]="Very Low", 4, Table9[[#This Row],[Sea Level Rise Risk Index (10%)]]="Moderate &amp; Low", 2, TRUE, 0)</f>
        <v>4</v>
      </c>
      <c r="DN41" s="529">
        <f>Table9[[#This Row],[Sea Level Rise  Risk Index Score]]*'Detailed Rubric V3'!$L$104</f>
        <v>0.4</v>
      </c>
      <c r="DO41" s="529" t="s">
        <v>419</v>
      </c>
      <c r="DP41" s="529" cm="1">
        <f t="array" ref="DP41">_xlfn.IFS(Table9[[#This Row],[Cyclone Risk Index (10%)]]="", 0, Table9[[#This Row],[Cyclone Risk Index (10%)]]="Very Low", 4, Table9[[#This Row],[Cyclone Risk Index (10%)]]="Moderate &amp; Low", 2, TRUE, 0)</f>
        <v>2</v>
      </c>
      <c r="DQ41" s="529">
        <f>Table9[[#This Row],[Cyclone Risk Index Score]]*'Detailed Rubric V3'!$O$104</f>
        <v>0.2</v>
      </c>
      <c r="DR41" s="529" t="s">
        <v>428</v>
      </c>
      <c r="DS41" s="529" cm="1">
        <f t="array" ref="DS41">_xlfn.IFS(Table9[[#This Row],[Storm Surge Risk Index (10%)]]="", 0, Table9[[#This Row],[Storm Surge Risk Index (10%)]]="Very Low", 4, Table9[[#This Row],[Storm Surge Risk Index (10%)]]="Moderate &amp; Low", 2, TRUE, 0)</f>
        <v>4</v>
      </c>
      <c r="DT41" s="529">
        <f>Table9[[#This Row],[Storm Surge Risk Index Score]]*'Detailed Rubric V3'!$R$104</f>
        <v>0.4</v>
      </c>
      <c r="DU41"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41" s="533">
        <f>SUM(Table9[[#This Row],[2.1. Connectivity/ Logistics (10% weightage)]],Table9[[#This Row],[2.2. Utility (12% weightage)]],Table9[[#This Row],[2.3. Agglomeration effects (10% weightage)]],Table9[[#This Row],[2.4. Regional Policy (4% weightage)]],Table9[[#This Row],[2.5. Social (8% weightage)]],Table9[[#This Row],[2.6. Environment (6% weightage)]])</f>
        <v>1.2640000000000002</v>
      </c>
      <c r="DW41" s="232">
        <f>_xlfn.RANK.EQ(Table9[[#This Row],[Level 2 Score]],$DV$3:$DV$103)</f>
        <v>44</v>
      </c>
      <c r="DX41" s="533">
        <f>Table9[[#This Row],[Level 1 Score]]+Table9[[#This Row],[Level 2 Score]]</f>
        <v>2.1540000000000004</v>
      </c>
      <c r="DY41" s="232">
        <f>_xlfn.RANK.EQ(Table9[[#This Row],[Total Score]],$DX$3:$DX$103)</f>
        <v>39</v>
      </c>
      <c r="DZ41" s="237" t="str">
        <f>IF(Table9[[#This Row],[Count of Blanks]]&lt;=2, "Yes", "No")</f>
        <v>Yes</v>
      </c>
      <c r="EA41" s="237">
        <f>COUNTBLANK(Table9[[#This Row],[Name]:[Total Score Rank]])</f>
        <v>0</v>
      </c>
      <c r="EB41" s="237"/>
    </row>
    <row r="42" spans="2:132" x14ac:dyDescent="0.25">
      <c r="B42" s="220">
        <v>87</v>
      </c>
      <c r="C42" s="221" t="s">
        <v>46</v>
      </c>
      <c r="D42" s="220" t="s">
        <v>104</v>
      </c>
      <c r="E42" s="220" t="s">
        <v>104</v>
      </c>
      <c r="F42" s="220" t="s">
        <v>110</v>
      </c>
      <c r="G42" s="220" t="s">
        <v>92</v>
      </c>
      <c r="H42" s="525" t="s">
        <v>430</v>
      </c>
      <c r="I42" s="70" t="s">
        <v>447</v>
      </c>
      <c r="J42" s="227" t="s">
        <v>435</v>
      </c>
      <c r="K42" s="220">
        <f>IFERROR(VLOOKUP(Table9[[#This Row],[Land Availability (Grade)​
(50%)]],'Detailed Rubric V3'!$B$8:$C$11,2), 0)</f>
        <v>2</v>
      </c>
      <c r="L42" s="220">
        <f>IFERROR(Table9[[#This Row],[Land Availability (Grade)​ Score]]*'Detailed Rubric V3'!$C$6, "")</f>
        <v>1</v>
      </c>
      <c r="M42" s="222">
        <v>153</v>
      </c>
      <c r="N42" s="222" cm="1">
        <f t="array" ref="N42">_xlfn.IFS(Table9[[#This Row],[Land Size (Acres)
(15%)]]&lt;100,0,Table9[[#This Row],[Land Size (Acres)
(15%)]]&gt;500,4,TRUE,2)</f>
        <v>2</v>
      </c>
      <c r="O42" s="222">
        <f>Table9[[#This Row],[Land Size (Acres) Score]]*'Detailed Rubric V3'!$G$6</f>
        <v>0.3</v>
      </c>
      <c r="P42" s="526"/>
      <c r="Q42" s="526">
        <f>IFERROR(Table9[[#This Row],[Site Filling Cost (Mn BDT)]]/Table9[[#This Row],[Land Size (Acres)
(15%)]],"")</f>
        <v>0</v>
      </c>
      <c r="R42" s="526" cm="1">
        <f t="array" ref="R42">IF(Table9[[#This Row],[Name]]="Sitakundo Economic Zone", 4, _xlfn.IFS(Table9[[#This Row],[Site Filling Cost (Mn BDT)]]="",0,Table9[[#This Row],[Land Suitability
(Cost of Land Filling in Million BDT per acre)
(25%)]]&gt;5,0,Table9[[#This Row],[Land Suitability
(Cost of Land Filling in Million BDT per acre)
(25%)]]&lt;2,4,TRUE,2))</f>
        <v>0</v>
      </c>
      <c r="S42" s="526">
        <f>Table9[[#This Row],[Land Suitability for Construction Score]]*'Detailed Rubric V3'!$J$6</f>
        <v>0</v>
      </c>
      <c r="T42" s="526"/>
      <c r="U42" s="526">
        <f>IFERROR(Table9[[#This Row],[Embankment/Dyke Cost (Mn BDT)]]/Table9[[#This Row],[Land Size (Acres)
(15%)]], 0)</f>
        <v>0</v>
      </c>
      <c r="V42" s="526" cm="1">
        <f t="array" ref="V42">IF(Table9[[#This Row],[Name]]="Sitakundo Economic Zone", 2, _xlfn.IFS(Table9[[#This Row],[Embankment/Dyke Cost (Mn BDT)]]="",0,Table9[[#This Row],[Cost of DRRI Infrastructure in million BDT per acre
(10%)]]&gt;5,0,Table9[[#This Row],[Cost of DRRI Infrastructure in million BDT per acre
(10%)]]&lt;2,4,TRUE,2))</f>
        <v>0</v>
      </c>
      <c r="W42" s="526">
        <f>Table9[[#This Row],[Requirement for Distaster Risk Reduction &amp; Resilience Infrastructure Score]]*'Detailed Rubric V3'!$M$6</f>
        <v>0</v>
      </c>
      <c r="X42"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0.26</v>
      </c>
      <c r="Y42" s="227" t="s">
        <v>440</v>
      </c>
      <c r="Z42" s="210">
        <f>IFERROR(VLOOKUP(Table9[[#This Row],[Zone Priority
(40%)]],'Detailed Rubric V3'!$B$18:$C$21, 2,FALSE), 0)</f>
        <v>4</v>
      </c>
      <c r="AA42" s="210">
        <f>IFERROR(Table9[[#This Row],[Zone Priority Score]]*'Detailed Rubric V3'!$C$16, 0)</f>
        <v>0</v>
      </c>
      <c r="AB42" s="237" t="s">
        <v>441</v>
      </c>
      <c r="AC42" s="237">
        <f>VLOOKUP(Table9[[#This Row],[Existing BEZA Report
(60%)]],'Detailed Rubric V3'!$E$18:$F$20,2,FALSE)</f>
        <v>0</v>
      </c>
      <c r="AD42" s="237">
        <f>Table9[[#This Row],[Existing BEZA Report Score]]*'Detailed Rubric V3'!F$16</f>
        <v>0</v>
      </c>
      <c r="AE42" s="237">
        <f>(Table9[[#This Row],[Zone Priority Weighted Score]]+Table9[[#This Row],[Existing BEZA Report Weighted Score]])*'Detailed Rubric V3'!$C$14</f>
        <v>0</v>
      </c>
      <c r="AF42" s="528">
        <v>5</v>
      </c>
      <c r="AG42" s="529" cm="1">
        <f t="array" ref="AG42">_xlfn.IFS(Table9[[#This Row],[Existing Sectors
(50%)]]&gt;10, 4,Table9[[#This Row],[Existing Sectors
(50%)]]&lt;5, 0, TRUE, 2)</f>
        <v>2</v>
      </c>
      <c r="AH42" s="529">
        <f>Table9[[#This Row],[Existing Sectors Score]]*'Detailed Rubric V3'!$C$25</f>
        <v>1</v>
      </c>
      <c r="AI42" s="529">
        <v>8</v>
      </c>
      <c r="AJ42" s="529">
        <v>3</v>
      </c>
      <c r="AK42" s="529" cm="1">
        <f t="array" ref="AK42">_xlfn.IFS(Table9[[#This Row],[Potential New Sectors
(50%)]]&gt;5, 4, Table9[[#This Row],[Potential New Sectors
(50%)]]&lt;2,0, TRUE, 2)</f>
        <v>2</v>
      </c>
      <c r="AL42" s="529">
        <f>Table9[[#This Row],[Potential New Sectors Score]]*'Detailed Rubric V3'!$F$25</f>
        <v>1</v>
      </c>
      <c r="AM42" s="232">
        <f>(Table9[[#This Row],[Existing Sectors Weighted Score]]+Table9[[#This Row],[Potential New Sectors Weighted Score]])*'Detailed Rubric V3'!$C$23</f>
        <v>0.3</v>
      </c>
      <c r="AN42" s="530">
        <f>SUM(Table9[[#This Row],[1.1. Land Details (20% weightage)]],Table9[[#This Row],[1.2. BEZA Existing plans (15% weightage)]],Table9[[#This Row],[1.3. Sector Demand (15% weightage):]])</f>
        <v>0.56000000000000005</v>
      </c>
      <c r="AO42" s="531">
        <f>_xlfn.RANK.EQ(Table9[[#This Row],[Level 1 Score]],$AN$3:$AN$103)</f>
        <v>54</v>
      </c>
      <c r="AP42" s="529">
        <v>1</v>
      </c>
      <c r="AQ42" s="529" cm="1">
        <f t="array" ref="AQ42">_xlfn.IFS(Table9[[#This Row],[National Highway Connectivity (km)
(15%)]]="", 0, Table9[[#This Row],[National Highway Connectivity (km)
(15%)]]&gt;50, 0, Table9[[#This Row],[National Highway Connectivity (km)
(15%)]]&lt;=25, 4, TRUE, 2)</f>
        <v>4</v>
      </c>
      <c r="AR42" s="529">
        <f>Table9[[#This Row],[National Highway Connectivity Score]]*'Detailed Rubric V3'!$C$35</f>
        <v>0.6</v>
      </c>
      <c r="AS42" s="529" t="s">
        <v>417</v>
      </c>
      <c r="AT42" s="529" cm="1">
        <f t="array" ref="AT42">_xlfn.IFS(Table9[[#This Row],[Connecting Road to Highway (km)
(15%)]]="", 0, Table9[[#This Row],[Connecting Road to Highway (km)
(15%)]]="Yes", 4, TRUE, 0)</f>
        <v>4</v>
      </c>
      <c r="AU42" s="529">
        <f>Table9[[#This Row],[Connecting Road to Highway Score]]*'Detailed Rubric V3'!$F$35</f>
        <v>0.6</v>
      </c>
      <c r="AV42" s="529">
        <v>300</v>
      </c>
      <c r="AW42" s="529" cm="1">
        <f t="array" ref="AW42">_xlfn.IFS(Table9[[#This Row],[Seaport Connectivity (km)
(30%)]]="",0, Table9[[#This Row],[Seaport Connectivity (km)
(30%)]]&gt;400, 0,Table9[[#This Row],[Seaport Connectivity (km)
(30%)]]&lt;=200,4, TRUE, 2)</f>
        <v>2</v>
      </c>
      <c r="AX42" s="529">
        <f>Table9[[#This Row],[Seaport Connectivity Score]]*'Detailed Rubric V3'!$I$35</f>
        <v>0.6</v>
      </c>
      <c r="AY42" s="529">
        <v>77</v>
      </c>
      <c r="AZ42" s="529" cm="1">
        <f t="array" ref="AZ42">_xlfn.IFS(Table9[[#This Row],[Airport Connectivity (km)
(10%)]]="", 0, Table9[[#This Row],[Airport Connectivity (km)
(10%)]]&gt;200, 0, Table9[[#This Row],[Airport Connectivity (km)
(10%)]]&lt;=100,4,TRUE, 2)</f>
        <v>4</v>
      </c>
      <c r="BA42" s="529">
        <f>Table9[[#This Row],[Airport Connectivity Score]]*'Detailed Rubric V3'!$C$41</f>
        <v>0.4</v>
      </c>
      <c r="BB42" s="529">
        <v>30</v>
      </c>
      <c r="BC42" s="529" cm="1">
        <f t="array" ref="BC42">_xlfn.IFS(Table9[[#This Row],[Railway Station (km)
(10%)]]="", 0, Table9[[#This Row],[Railway Station (km)
(10%)]]&gt;150, 0,Table9[[#This Row],[Railway Station (km)
(10%)]]&lt;=50,4, TRUE, 2)</f>
        <v>4</v>
      </c>
      <c r="BD42" s="529">
        <f>Table9[[#This Row],[Railway Station Score]]*'Detailed Rubric V3'!$F$41</f>
        <v>0.4</v>
      </c>
      <c r="BE42" s="529">
        <v>128</v>
      </c>
      <c r="BF42" s="529" cm="1">
        <f t="array" ref="BF42">_xlfn.IFS(Table9[[#This Row],[Inland waterway/ Land port (km)
(20%)]]="", 0, Table9[[#This Row],[Inland waterway/ Land port (km)
(20%)]]&gt;200, 0,Table9[[#This Row],[Inland waterway/ Land port (km)
(20%)]]&lt;=50,4, TRUE, 2)</f>
        <v>2</v>
      </c>
      <c r="BG42" s="529">
        <f>Table9[[#This Row],[Inland waterway/ Land port Score]]*'Detailed Rubric V3'!$I$41</f>
        <v>0.4</v>
      </c>
      <c r="BH42"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v>
      </c>
      <c r="BI42" s="529">
        <v>22</v>
      </c>
      <c r="BJ42" s="529" cm="1">
        <f t="array" ref="BJ42">_xlfn.IFS(Table9[[#This Row],[Power Station (40%)]]="",0, Table9[[#This Row],[Power Station (40%)]]&gt;100, 0,Table9[[#This Row],[Power Station (40%)]]&lt;=50,4, TRUE, 2)</f>
        <v>4</v>
      </c>
      <c r="BK42" s="529">
        <f>Table9[[#This Row],[Power Station Score]]*'Detailed Rubric V3'!$C$53</f>
        <v>1.6</v>
      </c>
      <c r="BL42" s="529">
        <v>10.15</v>
      </c>
      <c r="BM42" s="529" cm="1">
        <f t="array" ref="BM42">IF(ISNUMBER(Table9[[#This Row],[Gas Station (20%)]]), _xlfn.IFS(Table9[[#This Row],[Gas Station (20%)]]="", 0, Table9[[#This Row],[Gas Station (20%)]]&gt;100, 0,Table9[[#This Row],[Gas Station (20%)]]&lt;=50,4, TRUE, 2), 0)</f>
        <v>4</v>
      </c>
      <c r="BN42" s="529">
        <f>Table9[[#This Row],[Gas Station Score]]*'Detailed Rubric V3'!$F$53</f>
        <v>0.8</v>
      </c>
      <c r="BO42" s="529">
        <v>0.3</v>
      </c>
      <c r="BP42" s="529" cm="1">
        <f t="array" ref="BP42">IF(ISNUMBER(Table9[[#This Row],[Source of Surface Water (40%)]]), _xlfn.IFS(Table9[[#This Row],[Source of Surface Water (40%)]]="", 0, Table9[[#This Row],[Source of Surface Water (40%)]]&gt;50, 0,Table9[[#This Row],[Source of Surface Water (40%)]]&lt;=20,4, TRUE, 2), 0)</f>
        <v>4</v>
      </c>
      <c r="BQ42" s="529">
        <f>Table9[[#This Row],[Source of Surface Water Score]]*'Detailed Rubric V3'!$I$53</f>
        <v>1.6</v>
      </c>
      <c r="BR42" s="529">
        <f>SUM(Table9[[#This Row],[Power Station Weighted Score]],Table9[[#This Row],[Gas Station Weighted Score]],Table9[[#This Row],[Source of Surface Water Weighted Score]])*'Detailed Rubric V3'!$C$51</f>
        <v>0.48</v>
      </c>
      <c r="BS42" s="529" t="s">
        <v>417</v>
      </c>
      <c r="BT42" s="529" cm="1">
        <f t="array" ref="BT42">_xlfn.IFS(Table9[[#This Row],[Other BEZA EZ (20%)]]="", 0, Table9[[#This Row],[Other BEZA EZ (20%)]]="Yes", 4, TRUE, 0)</f>
        <v>4</v>
      </c>
      <c r="BU42" s="529">
        <f>Table9[[#This Row],[Other BEZA EZ Score]]*'Detailed Rubric V3'!$C$66</f>
        <v>0.8</v>
      </c>
      <c r="BV42" s="529" t="s">
        <v>417</v>
      </c>
      <c r="BW42" s="529" cm="1">
        <f t="array" ref="BW42">_xlfn.IFS(Table9[[#This Row],[BEPZA/ BHPTA/ BSCIC (20%)]]="", 0, Table9[[#This Row],[BEPZA/ BHPTA/ BSCIC (20%)]]="Yes", 4, TRUE, 0)</f>
        <v>4</v>
      </c>
      <c r="BX42" s="529">
        <f>Table9[[#This Row],[BEPZA/ BHPTA/ BSCIC Score]]*'Detailed Rubric V3'!$F$66</f>
        <v>0.8</v>
      </c>
      <c r="BY42" s="529">
        <v>190</v>
      </c>
      <c r="BZ42" s="529" cm="1">
        <f t="array" ref="BZ42">_xlfn.IFS(Table9[[#This Row],[Cluster Industries (from SMI) (20%)]]="", 0, Table9[[#This Row],[Cluster Industries (from SMI) (20%)]]&gt;100, 4, Table9[[#This Row],[Cluster Industries (from SMI) (20%)]]&lt;50, 0, TRUE, 2)</f>
        <v>4</v>
      </c>
      <c r="CA42" s="529">
        <f>Table9[[#This Row],[Cluster Industries (from SMI) Score]]*'Detailed Rubric V3'!$I$66</f>
        <v>0.8</v>
      </c>
      <c r="CB42" s="529" t="s">
        <v>417</v>
      </c>
      <c r="CC42" s="529" cm="1">
        <f t="array" ref="CC42">_xlfn.IFS(Table9[[#This Row],[Located on Industrial corridor (40%)]]="", 0, Table9[[#This Row],[Located on Industrial corridor (40%)]]="Yes", 4, TRUE, 0)</f>
        <v>4</v>
      </c>
      <c r="CD42" s="529">
        <f>Table9[[#This Row],[Located on Industrial corridor Score]]*'Detailed Rubric V3'!$L$66</f>
        <v>1.6</v>
      </c>
      <c r="CE42" s="529">
        <f>SUM(Table9[[#This Row],[Other BEZA EZ Weighted Score]],Table9[[#This Row],[BEPZA/ BHPTA/ BSCIC Weighted Score]],Table9[[#This Row],[Unorganized (from SMI) Weighted Score]],Table9[[#This Row],[Located on Industrial corridor Weighted Score]])*'Detailed Rubric V3'!$C$64</f>
        <v>0.4</v>
      </c>
      <c r="CF42" s="529" t="s">
        <v>418</v>
      </c>
      <c r="CG42" s="529" cm="1">
        <f t="array" ref="CG42">_xlfn.IFS(Table9[[#This Row],[Economic/ Social priority (laggered area) (100%)]]="", 0, Table9[[#This Row],[Economic/ Social priority (laggered area) (100%)]]="Yes", 4, TRUE, 0)</f>
        <v>0</v>
      </c>
      <c r="CH42" s="529">
        <f>Table9[[#This Row],[Economic/ Social priority (laggered area) Score]]*'Detailed Rubric V3'!$C$82</f>
        <v>0</v>
      </c>
      <c r="CI42" s="529" t="s">
        <v>418</v>
      </c>
      <c r="CJ42" s="529" cm="1">
        <f t="array" ref="CJ42">_xlfn.IFS(Table9[[#This Row],[Regional Tax incentive  (0%)]]="", 0, Table9[[#This Row],[Regional Tax incentive  (0%)]]="Yes", 4, TRUE, 0)</f>
        <v>0</v>
      </c>
      <c r="CK42" s="529">
        <f>Table9[[#This Row],[Regional Tax incentive Score]]*'Detailed Rubric V3'!$F$82</f>
        <v>0</v>
      </c>
      <c r="CL42" s="529">
        <f>SUM(Table9[[#This Row],[Economic/ Social priority (laagered area) Weighted Score]],Table9[[#This Row],[Regional Tax incentive  Weighted Score]])*'Detailed Rubric V3'!$C$80</f>
        <v>0</v>
      </c>
      <c r="CM42" s="529">
        <v>767787</v>
      </c>
      <c r="CN42" s="529" cm="1">
        <f t="array" ref="CN42">_xlfn.IFS(Table9[[#This Row],[Employable population (40%) 2013]]="", 0, Table9[[#This Row],[Employable population (40%) 2013]]&gt;200000, 4, Table9[[#This Row],[Employable population (40%) 2013]]&lt;100000,0, TRUE, 2)</f>
        <v>4</v>
      </c>
      <c r="CO42" s="529">
        <f>Table9[[#This Row],[Employable population Score]]*'Detailed Rubric V3'!$C$92</f>
        <v>1.6</v>
      </c>
      <c r="CP42" s="529">
        <v>10</v>
      </c>
      <c r="CQ42" s="529" cm="1">
        <f t="array" ref="CQ42">_xlfn.IFS(Table9[[#This Row],[Housing (20%)]]="", 0, Table9[[#This Row],[Housing (20%)]]&gt;50, 0, Table9[[#This Row],[Housing (20%)]]&lt;25, 4, TRUE, 2)</f>
        <v>4</v>
      </c>
      <c r="CR42" s="529">
        <f>Table9[[#This Row],[Housing Score]]*'Detailed Rubric V3'!$F$92</f>
        <v>0.8</v>
      </c>
      <c r="CS42" s="529">
        <v>5</v>
      </c>
      <c r="CT42" s="529" cm="1">
        <f t="array" ref="CT42">_xlfn.IFS(Table9[[#This Row],[Hotels (10%)]]="", 0, Table9[[#This Row],[Hotels (10%)]]&gt;25, 4, Table9[[#This Row],[Hotels (10%)]]&lt;5, 0, TRUE, 2)</f>
        <v>2</v>
      </c>
      <c r="CU42" s="529">
        <f>Table9[[#This Row],[Hotels Score]]*'Detailed Rubric V3'!$I$92</f>
        <v>0.2</v>
      </c>
      <c r="CV42" s="529">
        <v>164</v>
      </c>
      <c r="CW42" s="529" cm="1">
        <f t="array" ref="CW42">_xlfn.IFS(Table9[[#This Row],[Health (Hospital) (15%)]]="", 0, Table9[[#This Row],[Health (Hospital) (15%)]]&gt;10, 4, Table9[[#This Row],[Health (Hospital) (15%)]]&lt;5, 0, TRUE, 2)</f>
        <v>4</v>
      </c>
      <c r="CX42" s="529">
        <f>Table9[[#This Row],[Health (Hospital) Score]]*'Detailed Rubric V3'!$L$92</f>
        <v>0.6</v>
      </c>
      <c r="CY42" s="529">
        <v>5</v>
      </c>
      <c r="CZ42" s="529" cm="1">
        <f t="array" ref="CZ42">_xlfn.IFS(Table9[[#This Row],[University/ Technical &amp; Vocational Institutions (15%)]]="", 0, Table9[[#This Row],[University/ Technical &amp; Vocational Institutions (15%)]]&gt;3, 4, Table9[[#This Row],[University/ Technical &amp; Vocational Institutions (15%)]]&lt;1, 0, TRUE, 2)</f>
        <v>4</v>
      </c>
      <c r="DA42" s="529">
        <f>Table9[[#This Row],[University/ Technical &amp; Vocational Institutions Score]]*'Detailed Rubric V3'!$O$92</f>
        <v>0.6</v>
      </c>
      <c r="DB42" s="529">
        <f>SUM(Table9[[#This Row],[Employable population Weighted Score]],Table9[[#This Row],[Housing Weighted Score]],Table9[[#This Row],[Hotels Weighted Score]],Table9[[#This Row],[Health (Hospital) Weighted Score]],Table9[[#This Row],[University/ Technical &amp; Vocational Institutions Weighted Score]])*'Detailed Rubric V3'!$C$90</f>
        <v>0.30400000000000005</v>
      </c>
      <c r="DC42" s="529" t="s">
        <v>418</v>
      </c>
      <c r="DD42" s="529" cm="1">
        <f t="array" ref="DD42">_xlfn.IFS(Table9[[#This Row],[Environment compliance (30%)]]="", 0, Table9[[#This Row],[Environment compliance (30%)]]="Yes", 4, TRUE, 0)</f>
        <v>0</v>
      </c>
      <c r="DE42" s="529">
        <f>Table9[[#This Row],[Environment compliance Score]]*'Detailed Rubric V3'!$C$104</f>
        <v>0</v>
      </c>
      <c r="DF42" s="529" t="s">
        <v>419</v>
      </c>
      <c r="DG42" s="529" cm="1">
        <f t="array" ref="DG42">_xlfn.IFS(Table9[[#This Row],[Flood Risk Index (30%)]]="", 0, Table9[[#This Row],[Flood Risk Index (30%)]]="Very Low", 4, Table9[[#This Row],[Flood Risk Index (30%)]]="Moderate &amp; Low", 2, TRUE, 0)</f>
        <v>2</v>
      </c>
      <c r="DH42" s="529">
        <f>Table9[[#This Row],[Flood Risk Index Score]]*'Detailed Rubric V3'!$F$104</f>
        <v>0.6</v>
      </c>
      <c r="DI42" s="529" t="s">
        <v>421</v>
      </c>
      <c r="DJ42" s="529" cm="1">
        <f t="array" ref="DJ42">_xlfn.IFS(Table9[[#This Row],[Earth Quake Risk Index (10%)]]="", 0, Table9[[#This Row],[Earth Quake Risk Index (10%)]]="Very Low", 4, Table9[[#This Row],[Earth Quake Risk Index (10%)]]="Moderate &amp; Low", 2, TRUE, 0)</f>
        <v>0</v>
      </c>
      <c r="DK42" s="529">
        <f>Table9[[#This Row],[Earth Quake Risk Index Score]]*'Detailed Rubric V3'!$I$104</f>
        <v>0</v>
      </c>
      <c r="DL42" s="529" t="s">
        <v>428</v>
      </c>
      <c r="DM42" s="529" cm="1">
        <f t="array" ref="DM42">_xlfn.IFS(Table9[[#This Row],[Sea Level Rise Risk Index (10%)]]="", 0, Table9[[#This Row],[Sea Level Rise Risk Index (10%)]]="Very Low", 4, Table9[[#This Row],[Sea Level Rise Risk Index (10%)]]="Moderate &amp; Low", 2, TRUE, 0)</f>
        <v>4</v>
      </c>
      <c r="DN42" s="529">
        <f>Table9[[#This Row],[Sea Level Rise  Risk Index Score]]*'Detailed Rubric V3'!$L$104</f>
        <v>0.4</v>
      </c>
      <c r="DO42" s="529" t="s">
        <v>419</v>
      </c>
      <c r="DP42" s="529" cm="1">
        <f t="array" ref="DP42">_xlfn.IFS(Table9[[#This Row],[Cyclone Risk Index (10%)]]="", 0, Table9[[#This Row],[Cyclone Risk Index (10%)]]="Very Low", 4, Table9[[#This Row],[Cyclone Risk Index (10%)]]="Moderate &amp; Low", 2, TRUE, 0)</f>
        <v>2</v>
      </c>
      <c r="DQ42" s="529">
        <f>Table9[[#This Row],[Cyclone Risk Index Score]]*'Detailed Rubric V3'!$O$104</f>
        <v>0.2</v>
      </c>
      <c r="DR42" s="529" t="s">
        <v>428</v>
      </c>
      <c r="DS42" s="529" cm="1">
        <f t="array" ref="DS42">_xlfn.IFS(Table9[[#This Row],[Storm Surge Risk Index (10%)]]="", 0, Table9[[#This Row],[Storm Surge Risk Index (10%)]]="Very Low", 4, Table9[[#This Row],[Storm Surge Risk Index (10%)]]="Moderate &amp; Low", 2, TRUE, 0)</f>
        <v>4</v>
      </c>
      <c r="DT42" s="529">
        <f>Table9[[#This Row],[Storm Surge Risk Index Score]]*'Detailed Rubric V3'!$R$104</f>
        <v>0.4</v>
      </c>
      <c r="DU42"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9.6000000000000002E-2</v>
      </c>
      <c r="DV42" s="533">
        <f>SUM(Table9[[#This Row],[2.1. Connectivity/ Logistics (10% weightage)]],Table9[[#This Row],[2.2. Utility (12% weightage)]],Table9[[#This Row],[2.3. Agglomeration effects (10% weightage)]],Table9[[#This Row],[2.4. Regional Policy (4% weightage)]],Table9[[#This Row],[2.5. Social (8% weightage)]],Table9[[#This Row],[2.6. Environment (6% weightage)]])</f>
        <v>1.5800000000000003</v>
      </c>
      <c r="DW42" s="232">
        <f>_xlfn.RANK.EQ(Table9[[#This Row],[Level 2 Score]],$DV$3:$DV$103)</f>
        <v>20</v>
      </c>
      <c r="DX42" s="533">
        <f>Table9[[#This Row],[Level 1 Score]]+Table9[[#This Row],[Level 2 Score]]</f>
        <v>2.1400000000000006</v>
      </c>
      <c r="DY42" s="232">
        <f>_xlfn.RANK.EQ(Table9[[#This Row],[Total Score]],$DX$3:$DX$103)</f>
        <v>40</v>
      </c>
      <c r="DZ42" s="237" t="str">
        <f>IF(Table9[[#This Row],[Count of Blanks]]&lt;=2, "Yes", "No")</f>
        <v>Yes</v>
      </c>
      <c r="EA42" s="237">
        <f>COUNTBLANK(Table9[[#This Row],[Name]:[Total Score Rank]])</f>
        <v>2</v>
      </c>
      <c r="EB42" s="237"/>
    </row>
    <row r="43" spans="2:132" ht="113" customHeight="1" x14ac:dyDescent="0.25">
      <c r="B43" s="220">
        <v>90</v>
      </c>
      <c r="C43" s="221" t="s">
        <v>47</v>
      </c>
      <c r="D43" s="220" t="s">
        <v>68</v>
      </c>
      <c r="E43" s="220" t="s">
        <v>68</v>
      </c>
      <c r="F43" s="220" t="s">
        <v>111</v>
      </c>
      <c r="G43" s="220" t="s">
        <v>92</v>
      </c>
      <c r="H43" s="525" t="s">
        <v>430</v>
      </c>
      <c r="I43" s="70" t="s">
        <v>447</v>
      </c>
      <c r="J43" s="227" t="s">
        <v>435</v>
      </c>
      <c r="K43" s="220">
        <f>IFERROR(VLOOKUP(Table9[[#This Row],[Land Availability (Grade)​
(50%)]],'Detailed Rubric V3'!$B$8:$C$11,2), 0)</f>
        <v>2</v>
      </c>
      <c r="L43" s="220">
        <f>IFERROR(Table9[[#This Row],[Land Availability (Grade)​ Score]]*'Detailed Rubric V3'!$C$6, "")</f>
        <v>1</v>
      </c>
      <c r="M43" s="222">
        <v>130.62530000000001</v>
      </c>
      <c r="N43" s="222" cm="1">
        <f t="array" ref="N43">_xlfn.IFS(Table9[[#This Row],[Land Size (Acres)
(15%)]]&lt;100,0,Table9[[#This Row],[Land Size (Acres)
(15%)]]&gt;500,4,TRUE,2)</f>
        <v>2</v>
      </c>
      <c r="O43" s="222">
        <f>Table9[[#This Row],[Land Size (Acres) Score]]*'Detailed Rubric V3'!$G$6</f>
        <v>0.3</v>
      </c>
      <c r="P43" s="526"/>
      <c r="Q43" s="526">
        <f>IFERROR(Table9[[#This Row],[Site Filling Cost (Mn BDT)]]/Table9[[#This Row],[Land Size (Acres)
(15%)]],"")</f>
        <v>0</v>
      </c>
      <c r="R43" s="526" cm="1">
        <f t="array" ref="R43">IF(Table9[[#This Row],[Name]]="Sitakundo Economic Zone", 4, _xlfn.IFS(Table9[[#This Row],[Site Filling Cost (Mn BDT)]]="",0,Table9[[#This Row],[Land Suitability
(Cost of Land Filling in Million BDT per acre)
(25%)]]&gt;5,0,Table9[[#This Row],[Land Suitability
(Cost of Land Filling in Million BDT per acre)
(25%)]]&lt;2,4,TRUE,2))</f>
        <v>0</v>
      </c>
      <c r="S43" s="526">
        <f>Table9[[#This Row],[Land Suitability for Construction Score]]*'Detailed Rubric V3'!$J$6</f>
        <v>0</v>
      </c>
      <c r="T43" s="526"/>
      <c r="U43" s="526">
        <f>IFERROR(Table9[[#This Row],[Embankment/Dyke Cost (Mn BDT)]]/Table9[[#This Row],[Land Size (Acres)
(15%)]], 0)</f>
        <v>0</v>
      </c>
      <c r="V43" s="526" cm="1">
        <f t="array" ref="V43">IF(Table9[[#This Row],[Name]]="Sitakundo Economic Zone", 2, _xlfn.IFS(Table9[[#This Row],[Embankment/Dyke Cost (Mn BDT)]]="",0,Table9[[#This Row],[Cost of DRRI Infrastructure in million BDT per acre
(10%)]]&gt;5,0,Table9[[#This Row],[Cost of DRRI Infrastructure in million BDT per acre
(10%)]]&lt;2,4,TRUE,2))</f>
        <v>0</v>
      </c>
      <c r="W43" s="526">
        <f>Table9[[#This Row],[Requirement for Distaster Risk Reduction &amp; Resilience Infrastructure Score]]*'Detailed Rubric V3'!$M$6</f>
        <v>0</v>
      </c>
      <c r="X43"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0.26</v>
      </c>
      <c r="Y43" s="227" t="s">
        <v>440</v>
      </c>
      <c r="Z43" s="210">
        <f>IFERROR(VLOOKUP(Table9[[#This Row],[Zone Priority
(40%)]],'Detailed Rubric V3'!$B$18:$C$21, 2,FALSE), 0)</f>
        <v>4</v>
      </c>
      <c r="AA43" s="210">
        <f>IFERROR(Table9[[#This Row],[Zone Priority Score]]*'Detailed Rubric V3'!$C$16, 0)</f>
        <v>0</v>
      </c>
      <c r="AB43" s="237" t="s">
        <v>441</v>
      </c>
      <c r="AC43" s="237">
        <f>VLOOKUP(Table9[[#This Row],[Existing BEZA Report
(60%)]],'Detailed Rubric V3'!$E$18:$F$20,2,FALSE)</f>
        <v>0</v>
      </c>
      <c r="AD43" s="237">
        <f>Table9[[#This Row],[Existing BEZA Report Score]]*'Detailed Rubric V3'!F$16</f>
        <v>0</v>
      </c>
      <c r="AE43" s="237">
        <f>(Table9[[#This Row],[Zone Priority Weighted Score]]+Table9[[#This Row],[Existing BEZA Report Weighted Score]])*'Detailed Rubric V3'!$C$14</f>
        <v>0</v>
      </c>
      <c r="AF43" s="528">
        <v>19</v>
      </c>
      <c r="AG43" s="529" cm="1">
        <f t="array" ref="AG43">_xlfn.IFS(Table9[[#This Row],[Existing Sectors
(50%)]]&gt;10, 4,Table9[[#This Row],[Existing Sectors
(50%)]]&lt;5, 0, TRUE, 2)</f>
        <v>4</v>
      </c>
      <c r="AH43" s="529">
        <f>Table9[[#This Row],[Existing Sectors Score]]*'Detailed Rubric V3'!$C$25</f>
        <v>2</v>
      </c>
      <c r="AI43" s="529">
        <v>19</v>
      </c>
      <c r="AJ43" s="529">
        <v>0</v>
      </c>
      <c r="AK43" s="529" cm="1">
        <f t="array" ref="AK43">_xlfn.IFS(Table9[[#This Row],[Potential New Sectors
(50%)]]&gt;5, 4, Table9[[#This Row],[Potential New Sectors
(50%)]]&lt;2,0, TRUE, 2)</f>
        <v>0</v>
      </c>
      <c r="AL43" s="529">
        <f>Table9[[#This Row],[Potential New Sectors Score]]*'Detailed Rubric V3'!$F$25</f>
        <v>0</v>
      </c>
      <c r="AM43" s="232">
        <f>(Table9[[#This Row],[Existing Sectors Weighted Score]]+Table9[[#This Row],[Potential New Sectors Weighted Score]])*'Detailed Rubric V3'!$C$23</f>
        <v>0.3</v>
      </c>
      <c r="AN43" s="530">
        <f>SUM(Table9[[#This Row],[1.1. Land Details (20% weightage)]],Table9[[#This Row],[1.2. BEZA Existing plans (15% weightage)]],Table9[[#This Row],[1.3. Sector Demand (15% weightage):]])</f>
        <v>0.56000000000000005</v>
      </c>
      <c r="AO43" s="531">
        <f>_xlfn.RANK.EQ(Table9[[#This Row],[Level 1 Score]],$AN$3:$AN$103)</f>
        <v>54</v>
      </c>
      <c r="AP43" s="529">
        <v>5</v>
      </c>
      <c r="AQ43" s="529" cm="1">
        <f t="array" ref="AQ43">_xlfn.IFS(Table9[[#This Row],[National Highway Connectivity (km)
(15%)]]="", 0, Table9[[#This Row],[National Highway Connectivity (km)
(15%)]]&gt;50, 0, Table9[[#This Row],[National Highway Connectivity (km)
(15%)]]&lt;=25, 4, TRUE, 2)</f>
        <v>4</v>
      </c>
      <c r="AR43" s="529">
        <f>Table9[[#This Row],[National Highway Connectivity Score]]*'Detailed Rubric V3'!$C$35</f>
        <v>0.6</v>
      </c>
      <c r="AS43" s="529" t="s">
        <v>417</v>
      </c>
      <c r="AT43" s="529" cm="1">
        <f t="array" ref="AT43">_xlfn.IFS(Table9[[#This Row],[Connecting Road to Highway (km)
(15%)]]="", 0, Table9[[#This Row],[Connecting Road to Highway (km)
(15%)]]="Yes", 4, TRUE, 0)</f>
        <v>4</v>
      </c>
      <c r="AU43" s="529">
        <f>Table9[[#This Row],[Connecting Road to Highway Score]]*'Detailed Rubric V3'!$F$35</f>
        <v>0.6</v>
      </c>
      <c r="AV43" s="529">
        <v>7</v>
      </c>
      <c r="AW43" s="529" cm="1">
        <f t="array" ref="AW43">_xlfn.IFS(Table9[[#This Row],[Seaport Connectivity (km)
(30%)]]="",0, Table9[[#This Row],[Seaport Connectivity (km)
(30%)]]&gt;400, 0,Table9[[#This Row],[Seaport Connectivity (km)
(30%)]]&lt;=200,4, TRUE, 2)</f>
        <v>4</v>
      </c>
      <c r="AX43" s="529">
        <f>Table9[[#This Row],[Seaport Connectivity Score]]*'Detailed Rubric V3'!$I$35</f>
        <v>1.2</v>
      </c>
      <c r="AY43" s="529">
        <v>27</v>
      </c>
      <c r="AZ43" s="529" cm="1">
        <f t="array" ref="AZ43">_xlfn.IFS(Table9[[#This Row],[Airport Connectivity (km)
(10%)]]="", 0, Table9[[#This Row],[Airport Connectivity (km)
(10%)]]&gt;200, 0, Table9[[#This Row],[Airport Connectivity (km)
(10%)]]&lt;=100,4,TRUE, 2)</f>
        <v>4</v>
      </c>
      <c r="BA43" s="529">
        <f>Table9[[#This Row],[Airport Connectivity Score]]*'Detailed Rubric V3'!$C$41</f>
        <v>0.4</v>
      </c>
      <c r="BB43" s="529">
        <v>30</v>
      </c>
      <c r="BC43" s="529" cm="1">
        <f t="array" ref="BC43">_xlfn.IFS(Table9[[#This Row],[Railway Station (km)
(10%)]]="", 0, Table9[[#This Row],[Railway Station (km)
(10%)]]&gt;150, 0,Table9[[#This Row],[Railway Station (km)
(10%)]]&lt;=50,4, TRUE, 2)</f>
        <v>4</v>
      </c>
      <c r="BD43" s="529">
        <f>Table9[[#This Row],[Railway Station Score]]*'Detailed Rubric V3'!$F$41</f>
        <v>0.4</v>
      </c>
      <c r="BE43" s="529">
        <v>250</v>
      </c>
      <c r="BF43" s="529" cm="1">
        <f t="array" ref="BF43">_xlfn.IFS(Table9[[#This Row],[Inland waterway/ Land port (km)
(20%)]]="", 0, Table9[[#This Row],[Inland waterway/ Land port (km)
(20%)]]&gt;200, 0,Table9[[#This Row],[Inland waterway/ Land port (km)
(20%)]]&lt;=50,4, TRUE, 2)</f>
        <v>0</v>
      </c>
      <c r="BG43" s="529">
        <f>Table9[[#This Row],[Inland waterway/ Land port Score]]*'Detailed Rubric V3'!$I$41</f>
        <v>0</v>
      </c>
      <c r="BH43"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0.32</v>
      </c>
      <c r="BI43" s="529">
        <v>18</v>
      </c>
      <c r="BJ43" s="529" cm="1">
        <f t="array" ref="BJ43">_xlfn.IFS(Table9[[#This Row],[Power Station (40%)]]="",0, Table9[[#This Row],[Power Station (40%)]]&gt;100, 0,Table9[[#This Row],[Power Station (40%)]]&lt;=50,4, TRUE, 2)</f>
        <v>4</v>
      </c>
      <c r="BK43" s="529">
        <f>Table9[[#This Row],[Power Station Score]]*'Detailed Rubric V3'!$C$53</f>
        <v>1.6</v>
      </c>
      <c r="BL43" s="529">
        <v>20</v>
      </c>
      <c r="BM43" s="529" cm="1">
        <f t="array" ref="BM43">IF(ISNUMBER(Table9[[#This Row],[Gas Station (20%)]]), _xlfn.IFS(Table9[[#This Row],[Gas Station (20%)]]="", 0, Table9[[#This Row],[Gas Station (20%)]]&gt;100, 0,Table9[[#This Row],[Gas Station (20%)]]&lt;=50,4, TRUE, 2), 0)</f>
        <v>4</v>
      </c>
      <c r="BN43" s="529">
        <f>Table9[[#This Row],[Gas Station Score]]*'Detailed Rubric V3'!$F$53</f>
        <v>0.8</v>
      </c>
      <c r="BO43" s="529">
        <v>2</v>
      </c>
      <c r="BP43" s="529" cm="1">
        <f t="array" ref="BP43">IF(ISNUMBER(Table9[[#This Row],[Source of Surface Water (40%)]]), _xlfn.IFS(Table9[[#This Row],[Source of Surface Water (40%)]]="", 0, Table9[[#This Row],[Source of Surface Water (40%)]]&gt;50, 0,Table9[[#This Row],[Source of Surface Water (40%)]]&lt;=20,4, TRUE, 2), 0)</f>
        <v>4</v>
      </c>
      <c r="BQ43" s="529">
        <f>Table9[[#This Row],[Source of Surface Water Score]]*'Detailed Rubric V3'!$I$53</f>
        <v>1.6</v>
      </c>
      <c r="BR43" s="529">
        <f>SUM(Table9[[#This Row],[Power Station Weighted Score]],Table9[[#This Row],[Gas Station Weighted Score]],Table9[[#This Row],[Source of Surface Water Weighted Score]])*'Detailed Rubric V3'!$C$51</f>
        <v>0.48</v>
      </c>
      <c r="BS43" s="529" t="s">
        <v>417</v>
      </c>
      <c r="BT43" s="529" cm="1">
        <f t="array" ref="BT43">_xlfn.IFS(Table9[[#This Row],[Other BEZA EZ (20%)]]="", 0, Table9[[#This Row],[Other BEZA EZ (20%)]]="Yes", 4, TRUE, 0)</f>
        <v>4</v>
      </c>
      <c r="BU43" s="529">
        <f>Table9[[#This Row],[Other BEZA EZ Score]]*'Detailed Rubric V3'!$C$66</f>
        <v>0.8</v>
      </c>
      <c r="BV43" s="529" t="s">
        <v>417</v>
      </c>
      <c r="BW43" s="529" cm="1">
        <f t="array" ref="BW43">_xlfn.IFS(Table9[[#This Row],[BEPZA/ BHPTA/ BSCIC (20%)]]="", 0, Table9[[#This Row],[BEPZA/ BHPTA/ BSCIC (20%)]]="Yes", 4, TRUE, 0)</f>
        <v>4</v>
      </c>
      <c r="BX43" s="529">
        <f>Table9[[#This Row],[BEPZA/ BHPTA/ BSCIC Score]]*'Detailed Rubric V3'!$F$66</f>
        <v>0.8</v>
      </c>
      <c r="BY43" s="529">
        <v>568</v>
      </c>
      <c r="BZ43" s="529" cm="1">
        <f t="array" ref="BZ43">_xlfn.IFS(Table9[[#This Row],[Cluster Industries (from SMI) (20%)]]="", 0, Table9[[#This Row],[Cluster Industries (from SMI) (20%)]]&gt;100, 4, Table9[[#This Row],[Cluster Industries (from SMI) (20%)]]&lt;50, 0, TRUE, 2)</f>
        <v>4</v>
      </c>
      <c r="CA43" s="529">
        <f>Table9[[#This Row],[Cluster Industries (from SMI) Score]]*'Detailed Rubric V3'!$I$66</f>
        <v>0.8</v>
      </c>
      <c r="CB43" s="529" t="s">
        <v>417</v>
      </c>
      <c r="CC43" s="529" cm="1">
        <f t="array" ref="CC43">_xlfn.IFS(Table9[[#This Row],[Located on Industrial corridor (40%)]]="", 0, Table9[[#This Row],[Located on Industrial corridor (40%)]]="Yes", 4, TRUE, 0)</f>
        <v>4</v>
      </c>
      <c r="CD43" s="529">
        <f>Table9[[#This Row],[Located on Industrial corridor Score]]*'Detailed Rubric V3'!$L$66</f>
        <v>1.6</v>
      </c>
      <c r="CE43" s="529">
        <f>SUM(Table9[[#This Row],[Other BEZA EZ Weighted Score]],Table9[[#This Row],[BEPZA/ BHPTA/ BSCIC Weighted Score]],Table9[[#This Row],[Unorganized (from SMI) Weighted Score]],Table9[[#This Row],[Located on Industrial corridor Weighted Score]])*'Detailed Rubric V3'!$C$64</f>
        <v>0.4</v>
      </c>
      <c r="CF43" s="529" t="s">
        <v>418</v>
      </c>
      <c r="CG43" s="529" cm="1">
        <f t="array" ref="CG43">_xlfn.IFS(Table9[[#This Row],[Economic/ Social priority (laggered area) (100%)]]="", 0, Table9[[#This Row],[Economic/ Social priority (laggered area) (100%)]]="Yes", 4, TRUE, 0)</f>
        <v>0</v>
      </c>
      <c r="CH43" s="529">
        <f>Table9[[#This Row],[Economic/ Social priority (laggered area) Score]]*'Detailed Rubric V3'!$C$82</f>
        <v>0</v>
      </c>
      <c r="CI43" s="529" t="s">
        <v>418</v>
      </c>
      <c r="CJ43" s="529" cm="1">
        <f t="array" ref="CJ43">_xlfn.IFS(Table9[[#This Row],[Regional Tax incentive  (0%)]]="", 0, Table9[[#This Row],[Regional Tax incentive  (0%)]]="Yes", 4, TRUE, 0)</f>
        <v>0</v>
      </c>
      <c r="CK43" s="529">
        <f>Table9[[#This Row],[Regional Tax incentive Score]]*'Detailed Rubric V3'!$F$82</f>
        <v>0</v>
      </c>
      <c r="CL43" s="529">
        <f>SUM(Table9[[#This Row],[Economic/ Social priority (laagered area) Weighted Score]],Table9[[#This Row],[Regional Tax incentive  Weighted Score]])*'Detailed Rubric V3'!$C$80</f>
        <v>0</v>
      </c>
      <c r="CM43" s="529">
        <v>1968862</v>
      </c>
      <c r="CN43" s="529" cm="1">
        <f t="array" ref="CN43">_xlfn.IFS(Table9[[#This Row],[Employable population (40%) 2013]]="", 0, Table9[[#This Row],[Employable population (40%) 2013]]&gt;200000, 4, Table9[[#This Row],[Employable population (40%) 2013]]&lt;100000,0, TRUE, 2)</f>
        <v>4</v>
      </c>
      <c r="CO43" s="529">
        <f>Table9[[#This Row],[Employable population Score]]*'Detailed Rubric V3'!$C$92</f>
        <v>1.6</v>
      </c>
      <c r="CP43" s="529">
        <v>11</v>
      </c>
      <c r="CQ43" s="529" cm="1">
        <f t="array" ref="CQ43">_xlfn.IFS(Table9[[#This Row],[Housing (20%)]]="", 0, Table9[[#This Row],[Housing (20%)]]&gt;50, 0, Table9[[#This Row],[Housing (20%)]]&lt;25, 4, TRUE, 2)</f>
        <v>4</v>
      </c>
      <c r="CR43" s="529">
        <f>Table9[[#This Row],[Housing Score]]*'Detailed Rubric V3'!$F$92</f>
        <v>0.8</v>
      </c>
      <c r="CS43" s="529">
        <v>76</v>
      </c>
      <c r="CT43" s="529" cm="1">
        <f t="array" ref="CT43">_xlfn.IFS(Table9[[#This Row],[Hotels (10%)]]="", 0, Table9[[#This Row],[Hotels (10%)]]&gt;25, 4, Table9[[#This Row],[Hotels (10%)]]&lt;5, 0, TRUE, 2)</f>
        <v>4</v>
      </c>
      <c r="CU43" s="529">
        <f>Table9[[#This Row],[Hotels Score]]*'Detailed Rubric V3'!$I$92</f>
        <v>0.4</v>
      </c>
      <c r="CV43" s="529">
        <v>217</v>
      </c>
      <c r="CW43" s="529" cm="1">
        <f t="array" ref="CW43">_xlfn.IFS(Table9[[#This Row],[Health (Hospital) (15%)]]="", 0, Table9[[#This Row],[Health (Hospital) (15%)]]&gt;10, 4, Table9[[#This Row],[Health (Hospital) (15%)]]&lt;5, 0, TRUE, 2)</f>
        <v>4</v>
      </c>
      <c r="CX43" s="529">
        <f>Table9[[#This Row],[Health (Hospital) Score]]*'Detailed Rubric V3'!$L$92</f>
        <v>0.6</v>
      </c>
      <c r="CY43" s="529">
        <v>34</v>
      </c>
      <c r="CZ43" s="529" cm="1">
        <f t="array" ref="CZ43">_xlfn.IFS(Table9[[#This Row],[University/ Technical &amp; Vocational Institutions (15%)]]="", 0, Table9[[#This Row],[University/ Technical &amp; Vocational Institutions (15%)]]&gt;3, 4, Table9[[#This Row],[University/ Technical &amp; Vocational Institutions (15%)]]&lt;1, 0, TRUE, 2)</f>
        <v>4</v>
      </c>
      <c r="DA43" s="529">
        <f>Table9[[#This Row],[University/ Technical &amp; Vocational Institutions Score]]*'Detailed Rubric V3'!$O$92</f>
        <v>0.6</v>
      </c>
      <c r="DB43"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43" s="529" t="s">
        <v>418</v>
      </c>
      <c r="DD43" s="529" cm="1">
        <f t="array" ref="DD43">_xlfn.IFS(Table9[[#This Row],[Environment compliance (30%)]]="", 0, Table9[[#This Row],[Environment compliance (30%)]]="Yes", 4, TRUE, 0)</f>
        <v>0</v>
      </c>
      <c r="DE43" s="529">
        <f>Table9[[#This Row],[Environment compliance Score]]*'Detailed Rubric V3'!$C$104</f>
        <v>0</v>
      </c>
      <c r="DF43" s="529" t="s">
        <v>419</v>
      </c>
      <c r="DG43" s="529" cm="1">
        <f t="array" ref="DG43">_xlfn.IFS(Table9[[#This Row],[Flood Risk Index (30%)]]="", 0, Table9[[#This Row],[Flood Risk Index (30%)]]="Very Low", 4, Table9[[#This Row],[Flood Risk Index (30%)]]="Moderate &amp; Low", 2, TRUE, 0)</f>
        <v>2</v>
      </c>
      <c r="DH43" s="529">
        <f>Table9[[#This Row],[Flood Risk Index Score]]*'Detailed Rubric V3'!$F$104</f>
        <v>0.6</v>
      </c>
      <c r="DI43" s="529" t="s">
        <v>419</v>
      </c>
      <c r="DJ43" s="529" cm="1">
        <f t="array" ref="DJ43">_xlfn.IFS(Table9[[#This Row],[Earth Quake Risk Index (10%)]]="", 0, Table9[[#This Row],[Earth Quake Risk Index (10%)]]="Very Low", 4, Table9[[#This Row],[Earth Quake Risk Index (10%)]]="Moderate &amp; Low", 2, TRUE, 0)</f>
        <v>2</v>
      </c>
      <c r="DK43" s="529">
        <f>Table9[[#This Row],[Earth Quake Risk Index Score]]*'Detailed Rubric V3'!$I$104</f>
        <v>0.2</v>
      </c>
      <c r="DL43" s="529" t="s">
        <v>419</v>
      </c>
      <c r="DM43" s="529" cm="1">
        <f t="array" ref="DM43">_xlfn.IFS(Table9[[#This Row],[Sea Level Rise Risk Index (10%)]]="", 0, Table9[[#This Row],[Sea Level Rise Risk Index (10%)]]="Very Low", 4, Table9[[#This Row],[Sea Level Rise Risk Index (10%)]]="Moderate &amp; Low", 2, TRUE, 0)</f>
        <v>2</v>
      </c>
      <c r="DN43" s="529">
        <f>Table9[[#This Row],[Sea Level Rise  Risk Index Score]]*'Detailed Rubric V3'!$L$104</f>
        <v>0.2</v>
      </c>
      <c r="DO43" s="529" t="s">
        <v>420</v>
      </c>
      <c r="DP43" s="529" cm="1">
        <f t="array" ref="DP43">_xlfn.IFS(Table9[[#This Row],[Cyclone Risk Index (10%)]]="", 0, Table9[[#This Row],[Cyclone Risk Index (10%)]]="Very Low", 4, Table9[[#This Row],[Cyclone Risk Index (10%)]]="Moderate &amp; Low", 2, TRUE, 0)</f>
        <v>0</v>
      </c>
      <c r="DQ43" s="529">
        <f>Table9[[#This Row],[Cyclone Risk Index Score]]*'Detailed Rubric V3'!$O$104</f>
        <v>0</v>
      </c>
      <c r="DR43" s="529" t="s">
        <v>421</v>
      </c>
      <c r="DS43" s="529" cm="1">
        <f t="array" ref="DS43">_xlfn.IFS(Table9[[#This Row],[Storm Surge Risk Index (10%)]]="", 0, Table9[[#This Row],[Storm Surge Risk Index (10%)]]="Very Low", 4, Table9[[#This Row],[Storm Surge Risk Index (10%)]]="Moderate &amp; Low", 2, TRUE, 0)</f>
        <v>0</v>
      </c>
      <c r="DT43" s="529">
        <f>Table9[[#This Row],[Storm Surge Risk Index Score]]*'Detailed Rubric V3'!$R$104</f>
        <v>0</v>
      </c>
      <c r="DU43"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43" s="533">
        <f>SUM(Table9[[#This Row],[2.1. Connectivity/ Logistics (10% weightage)]],Table9[[#This Row],[2.2. Utility (12% weightage)]],Table9[[#This Row],[2.3. Agglomeration effects (10% weightage)]],Table9[[#This Row],[2.4. Regional Policy (4% weightage)]],Table9[[#This Row],[2.5. Social (8% weightage)]],Table9[[#This Row],[2.6. Environment (6% weightage)]])</f>
        <v>1.5800000000000003</v>
      </c>
      <c r="DW43" s="232">
        <f>_xlfn.RANK.EQ(Table9[[#This Row],[Level 2 Score]],$DV$3:$DV$103)</f>
        <v>20</v>
      </c>
      <c r="DX43" s="533">
        <f>Table9[[#This Row],[Level 1 Score]]+Table9[[#This Row],[Level 2 Score]]</f>
        <v>2.1400000000000006</v>
      </c>
      <c r="DY43" s="232">
        <f>_xlfn.RANK.EQ(Table9[[#This Row],[Total Score]],$DX$3:$DX$103)</f>
        <v>40</v>
      </c>
      <c r="DZ43" s="237" t="str">
        <f>IF(Table9[[#This Row],[Count of Blanks]]&lt;=2, "Yes", "No")</f>
        <v>Yes</v>
      </c>
      <c r="EA43" s="237">
        <f>COUNTBLANK(Table9[[#This Row],[Name]:[Total Score Rank]])</f>
        <v>2</v>
      </c>
      <c r="EB43" s="237"/>
    </row>
    <row r="44" spans="2:132" ht="27" x14ac:dyDescent="0.25">
      <c r="B44" s="220">
        <v>82</v>
      </c>
      <c r="C44" s="221" t="s">
        <v>48</v>
      </c>
      <c r="D44" s="220" t="s">
        <v>76</v>
      </c>
      <c r="E44" s="220" t="s">
        <v>76</v>
      </c>
      <c r="F44" s="220" t="s">
        <v>112</v>
      </c>
      <c r="G44" s="220" t="s">
        <v>92</v>
      </c>
      <c r="H44" s="525" t="s">
        <v>410</v>
      </c>
      <c r="I44" s="70" t="s">
        <v>447</v>
      </c>
      <c r="J44" s="227" t="s">
        <v>435</v>
      </c>
      <c r="K44" s="220">
        <f>IFERROR(VLOOKUP(Table9[[#This Row],[Land Availability (Grade)​
(50%)]],'Detailed Rubric V3'!$B$8:$C$11,2), 0)</f>
        <v>2</v>
      </c>
      <c r="L44" s="220">
        <f>IFERROR(Table9[[#This Row],[Land Availability (Grade)​ Score]]*'Detailed Rubric V3'!$C$6, "")</f>
        <v>1</v>
      </c>
      <c r="M44" s="222">
        <v>115.8685</v>
      </c>
      <c r="N44" s="222" cm="1">
        <f t="array" ref="N44">_xlfn.IFS(Table9[[#This Row],[Land Size (Acres)
(15%)]]&lt;100,0,Table9[[#This Row],[Land Size (Acres)
(15%)]]&gt;500,4,TRUE,2)</f>
        <v>2</v>
      </c>
      <c r="O44" s="222">
        <f>Table9[[#This Row],[Land Size (Acres) Score]]*'Detailed Rubric V3'!$G$6</f>
        <v>0.3</v>
      </c>
      <c r="P44" s="526"/>
      <c r="Q44" s="526">
        <f>IFERROR(Table9[[#This Row],[Site Filling Cost (Mn BDT)]]/Table9[[#This Row],[Land Size (Acres)
(15%)]],"")</f>
        <v>0</v>
      </c>
      <c r="R44" s="526" cm="1">
        <f t="array" ref="R44">IF(Table9[[#This Row],[Name]]="Sitakundo Economic Zone", 4, _xlfn.IFS(Table9[[#This Row],[Site Filling Cost (Mn BDT)]]="",0,Table9[[#This Row],[Land Suitability
(Cost of Land Filling in Million BDT per acre)
(25%)]]&gt;5,0,Table9[[#This Row],[Land Suitability
(Cost of Land Filling in Million BDT per acre)
(25%)]]&lt;2,4,TRUE,2))</f>
        <v>0</v>
      </c>
      <c r="S44" s="526">
        <f>Table9[[#This Row],[Land Suitability for Construction Score]]*'Detailed Rubric V3'!$J$6</f>
        <v>0</v>
      </c>
      <c r="T44" s="526"/>
      <c r="U44" s="526">
        <f>IFERROR(Table9[[#This Row],[Embankment/Dyke Cost (Mn BDT)]]/Table9[[#This Row],[Land Size (Acres)
(15%)]], 0)</f>
        <v>0</v>
      </c>
      <c r="V44" s="526" cm="1">
        <f t="array" ref="V44">IF(Table9[[#This Row],[Name]]="Sitakundo Economic Zone", 2, _xlfn.IFS(Table9[[#This Row],[Embankment/Dyke Cost (Mn BDT)]]="",0,Table9[[#This Row],[Cost of DRRI Infrastructure in million BDT per acre
(10%)]]&gt;5,0,Table9[[#This Row],[Cost of DRRI Infrastructure in million BDT per acre
(10%)]]&lt;2,4,TRUE,2))</f>
        <v>0</v>
      </c>
      <c r="W44" s="526">
        <f>Table9[[#This Row],[Requirement for Distaster Risk Reduction &amp; Resilience Infrastructure Score]]*'Detailed Rubric V3'!$M$6</f>
        <v>0</v>
      </c>
      <c r="X44"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0.26</v>
      </c>
      <c r="Y44" s="227" t="s">
        <v>440</v>
      </c>
      <c r="Z44" s="210">
        <f>IFERROR(VLOOKUP(Table9[[#This Row],[Zone Priority
(40%)]],'Detailed Rubric V3'!$B$18:$C$21, 2,FALSE), 0)</f>
        <v>4</v>
      </c>
      <c r="AA44" s="210">
        <f>IFERROR(Table9[[#This Row],[Zone Priority Score]]*'Detailed Rubric V3'!$C$16, 0)</f>
        <v>0</v>
      </c>
      <c r="AB44" s="237" t="s">
        <v>441</v>
      </c>
      <c r="AC44" s="237">
        <f>VLOOKUP(Table9[[#This Row],[Existing BEZA Report
(60%)]],'Detailed Rubric V3'!$E$18:$F$20,2,FALSE)</f>
        <v>0</v>
      </c>
      <c r="AD44" s="237">
        <f>Table9[[#This Row],[Existing BEZA Report Score]]*'Detailed Rubric V3'!F$16</f>
        <v>0</v>
      </c>
      <c r="AE44" s="237">
        <f>(Table9[[#This Row],[Zone Priority Weighted Score]]+Table9[[#This Row],[Existing BEZA Report Weighted Score]])*'Detailed Rubric V3'!$C$14</f>
        <v>0</v>
      </c>
      <c r="AF44" s="528">
        <v>15</v>
      </c>
      <c r="AG44" s="529" cm="1">
        <f t="array" ref="AG44">_xlfn.IFS(Table9[[#This Row],[Existing Sectors
(50%)]]&gt;10, 4,Table9[[#This Row],[Existing Sectors
(50%)]]&lt;5, 0, TRUE, 2)</f>
        <v>4</v>
      </c>
      <c r="AH44" s="529">
        <f>Table9[[#This Row],[Existing Sectors Score]]*'Detailed Rubric V3'!$C$25</f>
        <v>2</v>
      </c>
      <c r="AI44" s="529">
        <v>15</v>
      </c>
      <c r="AJ44" s="529">
        <v>0</v>
      </c>
      <c r="AK44" s="529" cm="1">
        <f t="array" ref="AK44">_xlfn.IFS(Table9[[#This Row],[Potential New Sectors
(50%)]]&gt;5, 4, Table9[[#This Row],[Potential New Sectors
(50%)]]&lt;2,0, TRUE, 2)</f>
        <v>0</v>
      </c>
      <c r="AL44" s="529">
        <f>Table9[[#This Row],[Potential New Sectors Score]]*'Detailed Rubric V3'!$F$25</f>
        <v>0</v>
      </c>
      <c r="AM44" s="232">
        <f>(Table9[[#This Row],[Existing Sectors Weighted Score]]+Table9[[#This Row],[Potential New Sectors Weighted Score]])*'Detailed Rubric V3'!$C$23</f>
        <v>0.3</v>
      </c>
      <c r="AN44" s="530">
        <f>SUM(Table9[[#This Row],[1.1. Land Details (20% weightage)]],Table9[[#This Row],[1.2. BEZA Existing plans (15% weightage)]],Table9[[#This Row],[1.3. Sector Demand (15% weightage):]])</f>
        <v>0.56000000000000005</v>
      </c>
      <c r="AO44" s="531">
        <f>_xlfn.RANK.EQ(Table9[[#This Row],[Level 1 Score]],$AN$3:$AN$103)</f>
        <v>54</v>
      </c>
      <c r="AP44" s="529">
        <v>2</v>
      </c>
      <c r="AQ44" s="529" cm="1">
        <f t="array" ref="AQ44">_xlfn.IFS(Table9[[#This Row],[National Highway Connectivity (km)
(15%)]]="", 0, Table9[[#This Row],[National Highway Connectivity (km)
(15%)]]&gt;50, 0, Table9[[#This Row],[National Highway Connectivity (km)
(15%)]]&lt;=25, 4, TRUE, 2)</f>
        <v>4</v>
      </c>
      <c r="AR44" s="529">
        <f>Table9[[#This Row],[National Highway Connectivity Score]]*'Detailed Rubric V3'!$C$35</f>
        <v>0.6</v>
      </c>
      <c r="AS44" s="529" t="s">
        <v>417</v>
      </c>
      <c r="AT44" s="529" cm="1">
        <f t="array" ref="AT44">_xlfn.IFS(Table9[[#This Row],[Connecting Road to Highway (km)
(15%)]]="", 0, Table9[[#This Row],[Connecting Road to Highway (km)
(15%)]]="Yes", 4, TRUE, 0)</f>
        <v>4</v>
      </c>
      <c r="AU44" s="529">
        <f>Table9[[#This Row],[Connecting Road to Highway Score]]*'Detailed Rubric V3'!$F$35</f>
        <v>0.6</v>
      </c>
      <c r="AV44" s="529">
        <v>209</v>
      </c>
      <c r="AW44" s="529" cm="1">
        <f t="array" ref="AW44">_xlfn.IFS(Table9[[#This Row],[Seaport Connectivity (km)
(30%)]]="",0, Table9[[#This Row],[Seaport Connectivity (km)
(30%)]]&gt;400, 0,Table9[[#This Row],[Seaport Connectivity (km)
(30%)]]&lt;=200,4, TRUE, 2)</f>
        <v>2</v>
      </c>
      <c r="AX44" s="529">
        <f>Table9[[#This Row],[Seaport Connectivity Score]]*'Detailed Rubric V3'!$I$35</f>
        <v>0.6</v>
      </c>
      <c r="AY44" s="529">
        <v>32</v>
      </c>
      <c r="AZ44" s="529" cm="1">
        <f t="array" ref="AZ44">_xlfn.IFS(Table9[[#This Row],[Airport Connectivity (km)
(10%)]]="", 0, Table9[[#This Row],[Airport Connectivity (km)
(10%)]]&gt;200, 0, Table9[[#This Row],[Airport Connectivity (km)
(10%)]]&lt;=100,4,TRUE, 2)</f>
        <v>4</v>
      </c>
      <c r="BA44" s="529">
        <f>Table9[[#This Row],[Airport Connectivity Score]]*'Detailed Rubric V3'!$C$41</f>
        <v>0.4</v>
      </c>
      <c r="BB44" s="529">
        <v>10</v>
      </c>
      <c r="BC44" s="529" cm="1">
        <f t="array" ref="BC44">_xlfn.IFS(Table9[[#This Row],[Railway Station (km)
(10%)]]="", 0, Table9[[#This Row],[Railway Station (km)
(10%)]]&gt;150, 0,Table9[[#This Row],[Railway Station (km)
(10%)]]&lt;=50,4, TRUE, 2)</f>
        <v>4</v>
      </c>
      <c r="BD44" s="529">
        <f>Table9[[#This Row],[Railway Station Score]]*'Detailed Rubric V3'!$F$41</f>
        <v>0.4</v>
      </c>
      <c r="BE44" s="529">
        <v>100</v>
      </c>
      <c r="BF44" s="529" cm="1">
        <f t="array" ref="BF44">_xlfn.IFS(Table9[[#This Row],[Inland waterway/ Land port (km)
(20%)]]="", 0, Table9[[#This Row],[Inland waterway/ Land port (km)
(20%)]]&gt;200, 0,Table9[[#This Row],[Inland waterway/ Land port (km)
(20%)]]&lt;=50,4, TRUE, 2)</f>
        <v>2</v>
      </c>
      <c r="BG44" s="529">
        <f>Table9[[#This Row],[Inland waterway/ Land port Score]]*'Detailed Rubric V3'!$I$41</f>
        <v>0.4</v>
      </c>
      <c r="BH44"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v>
      </c>
      <c r="BI44" s="529">
        <v>2</v>
      </c>
      <c r="BJ44" s="529" cm="1">
        <f t="array" ref="BJ44">_xlfn.IFS(Table9[[#This Row],[Power Station (40%)]]="",0, Table9[[#This Row],[Power Station (40%)]]&gt;100, 0,Table9[[#This Row],[Power Station (40%)]]&lt;=50,4, TRUE, 2)</f>
        <v>4</v>
      </c>
      <c r="BK44" s="529">
        <f>Table9[[#This Row],[Power Station Score]]*'Detailed Rubric V3'!$C$53</f>
        <v>1.6</v>
      </c>
      <c r="BL44" s="529">
        <v>5</v>
      </c>
      <c r="BM44" s="529" cm="1">
        <f t="array" ref="BM44">IF(ISNUMBER(Table9[[#This Row],[Gas Station (20%)]]), _xlfn.IFS(Table9[[#This Row],[Gas Station (20%)]]="", 0, Table9[[#This Row],[Gas Station (20%)]]&gt;100, 0,Table9[[#This Row],[Gas Station (20%)]]&lt;=50,4, TRUE, 2), 0)</f>
        <v>4</v>
      </c>
      <c r="BN44" s="529">
        <f>Table9[[#This Row],[Gas Station Score]]*'Detailed Rubric V3'!$F$53</f>
        <v>0.8</v>
      </c>
      <c r="BO44" s="529">
        <v>2</v>
      </c>
      <c r="BP44" s="529" cm="1">
        <f t="array" ref="BP44">IF(ISNUMBER(Table9[[#This Row],[Source of Surface Water (40%)]]), _xlfn.IFS(Table9[[#This Row],[Source of Surface Water (40%)]]="", 0, Table9[[#This Row],[Source of Surface Water (40%)]]&gt;50, 0,Table9[[#This Row],[Source of Surface Water (40%)]]&lt;=20,4, TRUE, 2), 0)</f>
        <v>4</v>
      </c>
      <c r="BQ44" s="529">
        <f>Table9[[#This Row],[Source of Surface Water Score]]*'Detailed Rubric V3'!$I$53</f>
        <v>1.6</v>
      </c>
      <c r="BR44" s="529">
        <f>SUM(Table9[[#This Row],[Power Station Weighted Score]],Table9[[#This Row],[Gas Station Weighted Score]],Table9[[#This Row],[Source of Surface Water Weighted Score]])*'Detailed Rubric V3'!$C$51</f>
        <v>0.48</v>
      </c>
      <c r="BS44" s="529" t="s">
        <v>417</v>
      </c>
      <c r="BT44" s="529" cm="1">
        <f t="array" ref="BT44">_xlfn.IFS(Table9[[#This Row],[Other BEZA EZ (20%)]]="", 0, Table9[[#This Row],[Other BEZA EZ (20%)]]="Yes", 4, TRUE, 0)</f>
        <v>4</v>
      </c>
      <c r="BU44" s="529">
        <f>Table9[[#This Row],[Other BEZA EZ Score]]*'Detailed Rubric V3'!$C$66</f>
        <v>0.8</v>
      </c>
      <c r="BV44" s="529" t="s">
        <v>417</v>
      </c>
      <c r="BW44" s="529" cm="1">
        <f t="array" ref="BW44">_xlfn.IFS(Table9[[#This Row],[BEPZA/ BHPTA/ BSCIC (20%)]]="", 0, Table9[[#This Row],[BEPZA/ BHPTA/ BSCIC (20%)]]="Yes", 4, TRUE, 0)</f>
        <v>4</v>
      </c>
      <c r="BX44" s="529">
        <f>Table9[[#This Row],[BEPZA/ BHPTA/ BSCIC Score]]*'Detailed Rubric V3'!$F$66</f>
        <v>0.8</v>
      </c>
      <c r="BY44" s="529">
        <v>1718</v>
      </c>
      <c r="BZ44" s="529" cm="1">
        <f t="array" ref="BZ44">_xlfn.IFS(Table9[[#This Row],[Cluster Industries (from SMI) (20%)]]="", 0, Table9[[#This Row],[Cluster Industries (from SMI) (20%)]]&gt;100, 4, Table9[[#This Row],[Cluster Industries (from SMI) (20%)]]&lt;50, 0, TRUE, 2)</f>
        <v>4</v>
      </c>
      <c r="CA44" s="529">
        <f>Table9[[#This Row],[Cluster Industries (from SMI) Score]]*'Detailed Rubric V3'!$I$66</f>
        <v>0.8</v>
      </c>
      <c r="CB44" s="529" t="s">
        <v>417</v>
      </c>
      <c r="CC44" s="529" cm="1">
        <f t="array" ref="CC44">_xlfn.IFS(Table9[[#This Row],[Located on Industrial corridor (40%)]]="", 0, Table9[[#This Row],[Located on Industrial corridor (40%)]]="Yes", 4, TRUE, 0)</f>
        <v>4</v>
      </c>
      <c r="CD44" s="529">
        <f>Table9[[#This Row],[Located on Industrial corridor Score]]*'Detailed Rubric V3'!$L$66</f>
        <v>1.6</v>
      </c>
      <c r="CE44" s="529">
        <f>SUM(Table9[[#This Row],[Other BEZA EZ Weighted Score]],Table9[[#This Row],[BEPZA/ BHPTA/ BSCIC Weighted Score]],Table9[[#This Row],[Unorganized (from SMI) Weighted Score]],Table9[[#This Row],[Located on Industrial corridor Weighted Score]])*'Detailed Rubric V3'!$C$64</f>
        <v>0.4</v>
      </c>
      <c r="CF44" s="529" t="s">
        <v>418</v>
      </c>
      <c r="CG44" s="529" cm="1">
        <f t="array" ref="CG44">_xlfn.IFS(Table9[[#This Row],[Economic/ Social priority (laggered area) (100%)]]="", 0, Table9[[#This Row],[Economic/ Social priority (laggered area) (100%)]]="Yes", 4, TRUE, 0)</f>
        <v>0</v>
      </c>
      <c r="CH44" s="529">
        <f>Table9[[#This Row],[Economic/ Social priority (laggered area) Score]]*'Detailed Rubric V3'!$C$82</f>
        <v>0</v>
      </c>
      <c r="CI44" s="529" t="s">
        <v>418</v>
      </c>
      <c r="CJ44" s="529" cm="1">
        <f t="array" ref="CJ44">_xlfn.IFS(Table9[[#This Row],[Regional Tax incentive  (0%)]]="", 0, Table9[[#This Row],[Regional Tax incentive  (0%)]]="Yes", 4, TRUE, 0)</f>
        <v>0</v>
      </c>
      <c r="CK44" s="529">
        <f>Table9[[#This Row],[Regional Tax incentive Score]]*'Detailed Rubric V3'!$F$82</f>
        <v>0</v>
      </c>
      <c r="CL44" s="529">
        <f>SUM(Table9[[#This Row],[Economic/ Social priority (laagered area) Weighted Score]],Table9[[#This Row],[Regional Tax incentive  Weighted Score]])*'Detailed Rubric V3'!$C$80</f>
        <v>0</v>
      </c>
      <c r="CM44" s="529">
        <v>3683456</v>
      </c>
      <c r="CN44" s="529" cm="1">
        <f t="array" ref="CN44">_xlfn.IFS(Table9[[#This Row],[Employable population (40%) 2013]]="", 0, Table9[[#This Row],[Employable population (40%) 2013]]&gt;200000, 4, Table9[[#This Row],[Employable population (40%) 2013]]&lt;100000,0, TRUE, 2)</f>
        <v>4</v>
      </c>
      <c r="CO44" s="529">
        <f>Table9[[#This Row],[Employable population Score]]*'Detailed Rubric V3'!$C$92</f>
        <v>1.6</v>
      </c>
      <c r="CP44" s="529">
        <v>25</v>
      </c>
      <c r="CQ44" s="529" cm="1">
        <f t="array" ref="CQ44">_xlfn.IFS(Table9[[#This Row],[Housing (20%)]]="", 0, Table9[[#This Row],[Housing (20%)]]&gt;50, 0, Table9[[#This Row],[Housing (20%)]]&lt;25, 4, TRUE, 2)</f>
        <v>2</v>
      </c>
      <c r="CR44" s="529">
        <f>Table9[[#This Row],[Housing Score]]*'Detailed Rubric V3'!$F$92</f>
        <v>0.4</v>
      </c>
      <c r="CS44" s="529">
        <v>329</v>
      </c>
      <c r="CT44" s="529" cm="1">
        <f t="array" ref="CT44">_xlfn.IFS(Table9[[#This Row],[Hotels (10%)]]="", 0, Table9[[#This Row],[Hotels (10%)]]&gt;25, 4, Table9[[#This Row],[Hotels (10%)]]&lt;5, 0, TRUE, 2)</f>
        <v>4</v>
      </c>
      <c r="CU44" s="529">
        <f>Table9[[#This Row],[Hotels Score]]*'Detailed Rubric V3'!$I$92</f>
        <v>0.4</v>
      </c>
      <c r="CV44" s="529">
        <v>900</v>
      </c>
      <c r="CW44" s="529" cm="1">
        <f t="array" ref="CW44">_xlfn.IFS(Table9[[#This Row],[Health (Hospital) (15%)]]="", 0, Table9[[#This Row],[Health (Hospital) (15%)]]&gt;10, 4, Table9[[#This Row],[Health (Hospital) (15%)]]&lt;5, 0, TRUE, 2)</f>
        <v>4</v>
      </c>
      <c r="CX44" s="529">
        <f>Table9[[#This Row],[Health (Hospital) Score]]*'Detailed Rubric V3'!$L$92</f>
        <v>0.6</v>
      </c>
      <c r="CY44" s="529">
        <v>193</v>
      </c>
      <c r="CZ44" s="529" cm="1">
        <f t="array" ref="CZ44">_xlfn.IFS(Table9[[#This Row],[University/ Technical &amp; Vocational Institutions (15%)]]="", 0, Table9[[#This Row],[University/ Technical &amp; Vocational Institutions (15%)]]&gt;3, 4, Table9[[#This Row],[University/ Technical &amp; Vocational Institutions (15%)]]&lt;1, 0, TRUE, 2)</f>
        <v>4</v>
      </c>
      <c r="DA44" s="529">
        <f>Table9[[#This Row],[University/ Technical &amp; Vocational Institutions Score]]*'Detailed Rubric V3'!$O$92</f>
        <v>0.6</v>
      </c>
      <c r="DB44" s="529">
        <f>SUM(Table9[[#This Row],[Employable population Weighted Score]],Table9[[#This Row],[Housing Weighted Score]],Table9[[#This Row],[Hotels Weighted Score]],Table9[[#This Row],[Health (Hospital) Weighted Score]],Table9[[#This Row],[University/ Technical &amp; Vocational Institutions Weighted Score]])*'Detailed Rubric V3'!$C$90</f>
        <v>0.28800000000000003</v>
      </c>
      <c r="DC44" s="529" t="s">
        <v>418</v>
      </c>
      <c r="DD44" s="529" cm="1">
        <f t="array" ref="DD44">_xlfn.IFS(Table9[[#This Row],[Environment compliance (30%)]]="", 0, Table9[[#This Row],[Environment compliance (30%)]]="Yes", 4, TRUE, 0)</f>
        <v>0</v>
      </c>
      <c r="DE44" s="529">
        <f>Table9[[#This Row],[Environment compliance Score]]*'Detailed Rubric V3'!$C$104</f>
        <v>0</v>
      </c>
      <c r="DF44" s="529" t="s">
        <v>419</v>
      </c>
      <c r="DG44" s="529" cm="1">
        <f t="array" ref="DG44">_xlfn.IFS(Table9[[#This Row],[Flood Risk Index (30%)]]="", 0, Table9[[#This Row],[Flood Risk Index (30%)]]="Very Low", 4, Table9[[#This Row],[Flood Risk Index (30%)]]="Moderate &amp; Low", 2, TRUE, 0)</f>
        <v>2</v>
      </c>
      <c r="DH44" s="529">
        <f>Table9[[#This Row],[Flood Risk Index Score]]*'Detailed Rubric V3'!$F$104</f>
        <v>0.6</v>
      </c>
      <c r="DI44" s="529" t="s">
        <v>419</v>
      </c>
      <c r="DJ44" s="529" cm="1">
        <f t="array" ref="DJ44">_xlfn.IFS(Table9[[#This Row],[Earth Quake Risk Index (10%)]]="", 0, Table9[[#This Row],[Earth Quake Risk Index (10%)]]="Very Low", 4, Table9[[#This Row],[Earth Quake Risk Index (10%)]]="Moderate &amp; Low", 2, TRUE, 0)</f>
        <v>2</v>
      </c>
      <c r="DK44" s="529">
        <f>Table9[[#This Row],[Earth Quake Risk Index Score]]*'Detailed Rubric V3'!$I$104</f>
        <v>0.2</v>
      </c>
      <c r="DL44" s="529" t="s">
        <v>428</v>
      </c>
      <c r="DM44" s="529" cm="1">
        <f t="array" ref="DM44">_xlfn.IFS(Table9[[#This Row],[Sea Level Rise Risk Index (10%)]]="", 0, Table9[[#This Row],[Sea Level Rise Risk Index (10%)]]="Very Low", 4, Table9[[#This Row],[Sea Level Rise Risk Index (10%)]]="Moderate &amp; Low", 2, TRUE, 0)</f>
        <v>4</v>
      </c>
      <c r="DN44" s="529">
        <f>Table9[[#This Row],[Sea Level Rise  Risk Index Score]]*'Detailed Rubric V3'!$L$104</f>
        <v>0.4</v>
      </c>
      <c r="DO44" s="529" t="s">
        <v>419</v>
      </c>
      <c r="DP44" s="529" cm="1">
        <f t="array" ref="DP44">_xlfn.IFS(Table9[[#This Row],[Cyclone Risk Index (10%)]]="", 0, Table9[[#This Row],[Cyclone Risk Index (10%)]]="Very Low", 4, Table9[[#This Row],[Cyclone Risk Index (10%)]]="Moderate &amp; Low", 2, TRUE, 0)</f>
        <v>2</v>
      </c>
      <c r="DQ44" s="529">
        <f>Table9[[#This Row],[Cyclone Risk Index Score]]*'Detailed Rubric V3'!$O$104</f>
        <v>0.2</v>
      </c>
      <c r="DR44" s="529" t="s">
        <v>428</v>
      </c>
      <c r="DS44" s="529" cm="1">
        <f t="array" ref="DS44">_xlfn.IFS(Table9[[#This Row],[Storm Surge Risk Index (10%)]]="", 0, Table9[[#This Row],[Storm Surge Risk Index (10%)]]="Very Low", 4, Table9[[#This Row],[Storm Surge Risk Index (10%)]]="Moderate &amp; Low", 2, TRUE, 0)</f>
        <v>4</v>
      </c>
      <c r="DT44" s="529">
        <f>Table9[[#This Row],[Storm Surge Risk Index Score]]*'Detailed Rubric V3'!$R$104</f>
        <v>0.4</v>
      </c>
      <c r="DU44"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44" s="533">
        <f>SUM(Table9[[#This Row],[2.1. Connectivity/ Logistics (10% weightage)]],Table9[[#This Row],[2.2. Utility (12% weightage)]],Table9[[#This Row],[2.3. Agglomeration effects (10% weightage)]],Table9[[#This Row],[2.4. Regional Policy (4% weightage)]],Table9[[#This Row],[2.5. Social (8% weightage)]],Table9[[#This Row],[2.6. Environment (6% weightage)]])</f>
        <v>1.5760000000000003</v>
      </c>
      <c r="DW44" s="232">
        <f>_xlfn.RANK.EQ(Table9[[#This Row],[Level 2 Score]],$DV$3:$DV$103)</f>
        <v>22</v>
      </c>
      <c r="DX44" s="533">
        <f>Table9[[#This Row],[Level 1 Score]]+Table9[[#This Row],[Level 2 Score]]</f>
        <v>2.1360000000000001</v>
      </c>
      <c r="DY44" s="232">
        <f>_xlfn.RANK.EQ(Table9[[#This Row],[Total Score]],$DX$3:$DX$103)</f>
        <v>42</v>
      </c>
      <c r="DZ44" s="237" t="str">
        <f>IF(Table9[[#This Row],[Count of Blanks]]&lt;=2, "Yes", "No")</f>
        <v>Yes</v>
      </c>
      <c r="EA44" s="237">
        <f>COUNTBLANK(Table9[[#This Row],[Name]:[Total Score Rank]])</f>
        <v>2</v>
      </c>
      <c r="EB44" s="237"/>
    </row>
    <row r="45" spans="2:132" ht="27" x14ac:dyDescent="0.25">
      <c r="B45" s="220">
        <v>95</v>
      </c>
      <c r="C45" s="221" t="s">
        <v>51</v>
      </c>
      <c r="D45" s="220" t="s">
        <v>76</v>
      </c>
      <c r="E45" s="220" t="s">
        <v>77</v>
      </c>
      <c r="F45" s="220" t="s">
        <v>93</v>
      </c>
      <c r="G45" s="220" t="s">
        <v>92</v>
      </c>
      <c r="H45" s="525" t="s">
        <v>410</v>
      </c>
      <c r="I45" s="70" t="s">
        <v>450</v>
      </c>
      <c r="J45" s="227" t="s">
        <v>435</v>
      </c>
      <c r="K45" s="220">
        <f>IFERROR(VLOOKUP(Table9[[#This Row],[Land Availability (Grade)​
(50%)]],'Detailed Rubric V3'!$B$8:$C$11,2), 0)</f>
        <v>2</v>
      </c>
      <c r="L45" s="220">
        <f>IFERROR(Table9[[#This Row],[Land Availability (Grade)​ Score]]*'Detailed Rubric V3'!$C$6, "")</f>
        <v>1</v>
      </c>
      <c r="M45" s="222">
        <v>300</v>
      </c>
      <c r="N45" s="222" cm="1">
        <f t="array" ref="N45">_xlfn.IFS(Table9[[#This Row],[Land Size (Acres)
(15%)]]&lt;100,0,Table9[[#This Row],[Land Size (Acres)
(15%)]]&gt;500,4,TRUE,2)</f>
        <v>2</v>
      </c>
      <c r="O45" s="222">
        <f>Table9[[#This Row],[Land Size (Acres) Score]]*'Detailed Rubric V3'!$G$6</f>
        <v>0.3</v>
      </c>
      <c r="P45" s="526"/>
      <c r="Q45" s="526">
        <f>IFERROR(Table9[[#This Row],[Site Filling Cost (Mn BDT)]]/Table9[[#This Row],[Land Size (Acres)
(15%)]],"")</f>
        <v>0</v>
      </c>
      <c r="R45" s="526" cm="1">
        <f t="array" ref="R45">IF(Table9[[#This Row],[Name]]="Sitakundo Economic Zone", 4, _xlfn.IFS(Table9[[#This Row],[Site Filling Cost (Mn BDT)]]="",0,Table9[[#This Row],[Land Suitability
(Cost of Land Filling in Million BDT per acre)
(25%)]]&gt;5,0,Table9[[#This Row],[Land Suitability
(Cost of Land Filling in Million BDT per acre)
(25%)]]&lt;2,4,TRUE,2))</f>
        <v>0</v>
      </c>
      <c r="S45" s="526">
        <f>Table9[[#This Row],[Land Suitability for Construction Score]]*'Detailed Rubric V3'!$J$6</f>
        <v>0</v>
      </c>
      <c r="T45" s="526"/>
      <c r="U45" s="526">
        <f>IFERROR(Table9[[#This Row],[Embankment/Dyke Cost (Mn BDT)]]/Table9[[#This Row],[Land Size (Acres)
(15%)]], 0)</f>
        <v>0</v>
      </c>
      <c r="V45" s="526" cm="1">
        <f t="array" ref="V45">IF(Table9[[#This Row],[Name]]="Sitakundo Economic Zone", 2, _xlfn.IFS(Table9[[#This Row],[Embankment/Dyke Cost (Mn BDT)]]="",0,Table9[[#This Row],[Cost of DRRI Infrastructure in million BDT per acre
(10%)]]&gt;5,0,Table9[[#This Row],[Cost of DRRI Infrastructure in million BDT per acre
(10%)]]&lt;2,4,TRUE,2))</f>
        <v>0</v>
      </c>
      <c r="W45" s="526">
        <f>Table9[[#This Row],[Requirement for Distaster Risk Reduction &amp; Resilience Infrastructure Score]]*'Detailed Rubric V3'!$M$6</f>
        <v>0</v>
      </c>
      <c r="X45"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0.26</v>
      </c>
      <c r="Y45" s="227" t="s">
        <v>440</v>
      </c>
      <c r="Z45" s="210">
        <f>IFERROR(VLOOKUP(Table9[[#This Row],[Zone Priority
(40%)]],'Detailed Rubric V3'!$B$18:$C$21, 2,FALSE), 0)</f>
        <v>4</v>
      </c>
      <c r="AA45" s="210">
        <f>IFERROR(Table9[[#This Row],[Zone Priority Score]]*'Detailed Rubric V3'!$C$16, 0)</f>
        <v>0</v>
      </c>
      <c r="AB45" s="237" t="s">
        <v>441</v>
      </c>
      <c r="AC45" s="237">
        <f>VLOOKUP(Table9[[#This Row],[Existing BEZA Report
(60%)]],'Detailed Rubric V3'!$E$18:$F$20,2,FALSE)</f>
        <v>0</v>
      </c>
      <c r="AD45" s="237">
        <f>Table9[[#This Row],[Existing BEZA Report Score]]*'Detailed Rubric V3'!F$16</f>
        <v>0</v>
      </c>
      <c r="AE45" s="237">
        <f>(Table9[[#This Row],[Zone Priority Weighted Score]]+Table9[[#This Row],[Existing BEZA Report Weighted Score]])*'Detailed Rubric V3'!$C$14</f>
        <v>0</v>
      </c>
      <c r="AF45" s="528">
        <v>18</v>
      </c>
      <c r="AG45" s="529" cm="1">
        <f t="array" ref="AG45">_xlfn.IFS(Table9[[#This Row],[Existing Sectors
(50%)]]&gt;10, 4,Table9[[#This Row],[Existing Sectors
(50%)]]&lt;5, 0, TRUE, 2)</f>
        <v>4</v>
      </c>
      <c r="AH45" s="529">
        <f>Table9[[#This Row],[Existing Sectors Score]]*'Detailed Rubric V3'!$C$25</f>
        <v>2</v>
      </c>
      <c r="AI45" s="529">
        <v>18</v>
      </c>
      <c r="AJ45" s="529">
        <v>0</v>
      </c>
      <c r="AK45" s="529" cm="1">
        <f t="array" ref="AK45">_xlfn.IFS(Table9[[#This Row],[Potential New Sectors
(50%)]]&gt;5, 4, Table9[[#This Row],[Potential New Sectors
(50%)]]&lt;2,0, TRUE, 2)</f>
        <v>0</v>
      </c>
      <c r="AL45" s="529">
        <f>Table9[[#This Row],[Potential New Sectors Score]]*'Detailed Rubric V3'!$F$25</f>
        <v>0</v>
      </c>
      <c r="AM45" s="232">
        <f>(Table9[[#This Row],[Existing Sectors Weighted Score]]+Table9[[#This Row],[Potential New Sectors Weighted Score]])*'Detailed Rubric V3'!$C$23</f>
        <v>0.3</v>
      </c>
      <c r="AN45" s="530">
        <f>SUM(Table9[[#This Row],[1.1. Land Details (20% weightage)]],Table9[[#This Row],[1.2. BEZA Existing plans (15% weightage)]],Table9[[#This Row],[1.3. Sector Demand (15% weightage):]])</f>
        <v>0.56000000000000005</v>
      </c>
      <c r="AO45" s="531">
        <f>_xlfn.RANK.EQ(Table9[[#This Row],[Level 1 Score]],$AN$3:$AN$103)</f>
        <v>54</v>
      </c>
      <c r="AP45" s="529">
        <v>0</v>
      </c>
      <c r="AQ45" s="529" cm="1">
        <f t="array" ref="AQ45">_xlfn.IFS(Table9[[#This Row],[National Highway Connectivity (km)
(15%)]]="", 0, Table9[[#This Row],[National Highway Connectivity (km)
(15%)]]&gt;50, 0, Table9[[#This Row],[National Highway Connectivity (km)
(15%)]]&lt;=25, 4, TRUE, 2)</f>
        <v>4</v>
      </c>
      <c r="AR45" s="529">
        <f>Table9[[#This Row],[National Highway Connectivity Score]]*'Detailed Rubric V3'!$C$35</f>
        <v>0.6</v>
      </c>
      <c r="AS45" s="529" t="s">
        <v>417</v>
      </c>
      <c r="AT45" s="529" cm="1">
        <f t="array" ref="AT45">_xlfn.IFS(Table9[[#This Row],[Connecting Road to Highway (km)
(15%)]]="", 0, Table9[[#This Row],[Connecting Road to Highway (km)
(15%)]]="Yes", 4, TRUE, 0)</f>
        <v>4</v>
      </c>
      <c r="AU45" s="529">
        <f>Table9[[#This Row],[Connecting Road to Highway Score]]*'Detailed Rubric V3'!$F$35</f>
        <v>0.6</v>
      </c>
      <c r="AV45" s="529">
        <v>219</v>
      </c>
      <c r="AW45" s="529" cm="1">
        <f t="array" ref="AW45">_xlfn.IFS(Table9[[#This Row],[Seaport Connectivity (km)
(30%)]]="",0, Table9[[#This Row],[Seaport Connectivity (km)
(30%)]]&gt;400, 0,Table9[[#This Row],[Seaport Connectivity (km)
(30%)]]&lt;=200,4, TRUE, 2)</f>
        <v>2</v>
      </c>
      <c r="AX45" s="529">
        <f>Table9[[#This Row],[Seaport Connectivity Score]]*'Detailed Rubric V3'!$I$35</f>
        <v>0.6</v>
      </c>
      <c r="AY45" s="529">
        <v>43</v>
      </c>
      <c r="AZ45" s="529" cm="1">
        <f t="array" ref="AZ45">_xlfn.IFS(Table9[[#This Row],[Airport Connectivity (km)
(10%)]]="", 0, Table9[[#This Row],[Airport Connectivity (km)
(10%)]]&gt;200, 0, Table9[[#This Row],[Airport Connectivity (km)
(10%)]]&lt;=100,4,TRUE, 2)</f>
        <v>4</v>
      </c>
      <c r="BA45" s="529">
        <f>Table9[[#This Row],[Airport Connectivity Score]]*'Detailed Rubric V3'!$C$41</f>
        <v>0.4</v>
      </c>
      <c r="BB45" s="529">
        <v>27</v>
      </c>
      <c r="BC45" s="529" cm="1">
        <f t="array" ref="BC45">_xlfn.IFS(Table9[[#This Row],[Railway Station (km)
(10%)]]="", 0, Table9[[#This Row],[Railway Station (km)
(10%)]]&gt;150, 0,Table9[[#This Row],[Railway Station (km)
(10%)]]&lt;=50,4, TRUE, 2)</f>
        <v>4</v>
      </c>
      <c r="BD45" s="529">
        <f>Table9[[#This Row],[Railway Station Score]]*'Detailed Rubric V3'!$F$41</f>
        <v>0.4</v>
      </c>
      <c r="BE45" s="529">
        <v>104</v>
      </c>
      <c r="BF45" s="529" cm="1">
        <f t="array" ref="BF45">_xlfn.IFS(Table9[[#This Row],[Inland waterway/ Land port (km)
(20%)]]="", 0, Table9[[#This Row],[Inland waterway/ Land port (km)
(20%)]]&gt;200, 0,Table9[[#This Row],[Inland waterway/ Land port (km)
(20%)]]&lt;=50,4, TRUE, 2)</f>
        <v>2</v>
      </c>
      <c r="BG45" s="529">
        <f>Table9[[#This Row],[Inland waterway/ Land port Score]]*'Detailed Rubric V3'!$I$41</f>
        <v>0.4</v>
      </c>
      <c r="BH45"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v>
      </c>
      <c r="BI45" s="529">
        <v>4.5</v>
      </c>
      <c r="BJ45" s="529" cm="1">
        <f t="array" ref="BJ45">_xlfn.IFS(Table9[[#This Row],[Power Station (40%)]]="",0, Table9[[#This Row],[Power Station (40%)]]&gt;100, 0,Table9[[#This Row],[Power Station (40%)]]&lt;=50,4, TRUE, 2)</f>
        <v>4</v>
      </c>
      <c r="BK45" s="529">
        <f>Table9[[#This Row],[Power Station Score]]*'Detailed Rubric V3'!$C$53</f>
        <v>1.6</v>
      </c>
      <c r="BL45" s="529">
        <v>11</v>
      </c>
      <c r="BM45" s="529" cm="1">
        <f t="array" ref="BM45">IF(ISNUMBER(Table9[[#This Row],[Gas Station (20%)]]), _xlfn.IFS(Table9[[#This Row],[Gas Station (20%)]]="", 0, Table9[[#This Row],[Gas Station (20%)]]&gt;100, 0,Table9[[#This Row],[Gas Station (20%)]]&lt;=50,4, TRUE, 2), 0)</f>
        <v>4</v>
      </c>
      <c r="BN45" s="529">
        <f>Table9[[#This Row],[Gas Station Score]]*'Detailed Rubric V3'!$F$53</f>
        <v>0.8</v>
      </c>
      <c r="BO45" s="529">
        <v>1</v>
      </c>
      <c r="BP45" s="529" cm="1">
        <f t="array" ref="BP45">IF(ISNUMBER(Table9[[#This Row],[Source of Surface Water (40%)]]), _xlfn.IFS(Table9[[#This Row],[Source of Surface Water (40%)]]="", 0, Table9[[#This Row],[Source of Surface Water (40%)]]&gt;50, 0,Table9[[#This Row],[Source of Surface Water (40%)]]&lt;=20,4, TRUE, 2), 0)</f>
        <v>4</v>
      </c>
      <c r="BQ45" s="529">
        <f>Table9[[#This Row],[Source of Surface Water Score]]*'Detailed Rubric V3'!$I$53</f>
        <v>1.6</v>
      </c>
      <c r="BR45" s="529">
        <f>SUM(Table9[[#This Row],[Power Station Weighted Score]],Table9[[#This Row],[Gas Station Weighted Score]],Table9[[#This Row],[Source of Surface Water Weighted Score]])*'Detailed Rubric V3'!$C$51</f>
        <v>0.48</v>
      </c>
      <c r="BS45" s="529" t="s">
        <v>417</v>
      </c>
      <c r="BT45" s="529" cm="1">
        <f t="array" ref="BT45">_xlfn.IFS(Table9[[#This Row],[Other BEZA EZ (20%)]]="", 0, Table9[[#This Row],[Other BEZA EZ (20%)]]="Yes", 4, TRUE, 0)</f>
        <v>4</v>
      </c>
      <c r="BU45" s="529">
        <f>Table9[[#This Row],[Other BEZA EZ Score]]*'Detailed Rubric V3'!$C$66</f>
        <v>0.8</v>
      </c>
      <c r="BV45" s="529" t="s">
        <v>417</v>
      </c>
      <c r="BW45" s="529" cm="1">
        <f t="array" ref="BW45">_xlfn.IFS(Table9[[#This Row],[BEPZA/ BHPTA/ BSCIC (20%)]]="", 0, Table9[[#This Row],[BEPZA/ BHPTA/ BSCIC (20%)]]="Yes", 4, TRUE, 0)</f>
        <v>4</v>
      </c>
      <c r="BX45" s="529">
        <f>Table9[[#This Row],[BEPZA/ BHPTA/ BSCIC Score]]*'Detailed Rubric V3'!$F$66</f>
        <v>0.8</v>
      </c>
      <c r="BY45" s="529">
        <v>606</v>
      </c>
      <c r="BZ45" s="529" cm="1">
        <f t="array" ref="BZ45">_xlfn.IFS(Table9[[#This Row],[Cluster Industries (from SMI) (20%)]]="", 0, Table9[[#This Row],[Cluster Industries (from SMI) (20%)]]&gt;100, 4, Table9[[#This Row],[Cluster Industries (from SMI) (20%)]]&lt;50, 0, TRUE, 2)</f>
        <v>4</v>
      </c>
      <c r="CA45" s="529">
        <f>Table9[[#This Row],[Cluster Industries (from SMI) Score]]*'Detailed Rubric V3'!$I$66</f>
        <v>0.8</v>
      </c>
      <c r="CB45" s="529" t="s">
        <v>417</v>
      </c>
      <c r="CC45" s="529" cm="1">
        <f t="array" ref="CC45">_xlfn.IFS(Table9[[#This Row],[Located on Industrial corridor (40%)]]="", 0, Table9[[#This Row],[Located on Industrial corridor (40%)]]="Yes", 4, TRUE, 0)</f>
        <v>4</v>
      </c>
      <c r="CD45" s="529">
        <f>Table9[[#This Row],[Located on Industrial corridor Score]]*'Detailed Rubric V3'!$L$66</f>
        <v>1.6</v>
      </c>
      <c r="CE45" s="529">
        <f>SUM(Table9[[#This Row],[Other BEZA EZ Weighted Score]],Table9[[#This Row],[BEPZA/ BHPTA/ BSCIC Weighted Score]],Table9[[#This Row],[Unorganized (from SMI) Weighted Score]],Table9[[#This Row],[Located on Industrial corridor Weighted Score]])*'Detailed Rubric V3'!$C$64</f>
        <v>0.4</v>
      </c>
      <c r="CF45" s="529" t="s">
        <v>418</v>
      </c>
      <c r="CG45" s="529" cm="1">
        <f t="array" ref="CG45">_xlfn.IFS(Table9[[#This Row],[Economic/ Social priority (laggered area) (100%)]]="", 0, Table9[[#This Row],[Economic/ Social priority (laggered area) (100%)]]="Yes", 4, TRUE, 0)</f>
        <v>0</v>
      </c>
      <c r="CH45" s="529">
        <f>Table9[[#This Row],[Economic/ Social priority (laggered area) Score]]*'Detailed Rubric V3'!$C$82</f>
        <v>0</v>
      </c>
      <c r="CI45" s="529" t="s">
        <v>418</v>
      </c>
      <c r="CJ45" s="529" cm="1">
        <f t="array" ref="CJ45">_xlfn.IFS(Table9[[#This Row],[Regional Tax incentive  (0%)]]="", 0, Table9[[#This Row],[Regional Tax incentive  (0%)]]="Yes", 4, TRUE, 0)</f>
        <v>0</v>
      </c>
      <c r="CK45" s="529">
        <f>Table9[[#This Row],[Regional Tax incentive Score]]*'Detailed Rubric V3'!$F$82</f>
        <v>0</v>
      </c>
      <c r="CL45" s="529">
        <f>SUM(Table9[[#This Row],[Economic/ Social priority (laagered area) Weighted Score]],Table9[[#This Row],[Regional Tax incentive  Weighted Score]])*'Detailed Rubric V3'!$C$80</f>
        <v>0</v>
      </c>
      <c r="CM45" s="529">
        <v>861792</v>
      </c>
      <c r="CN45" s="529" cm="1">
        <f t="array" ref="CN45">_xlfn.IFS(Table9[[#This Row],[Employable population (40%) 2013]]="", 0, Table9[[#This Row],[Employable population (40%) 2013]]&gt;200000, 4, Table9[[#This Row],[Employable population (40%) 2013]]&lt;100000,0, TRUE, 2)</f>
        <v>4</v>
      </c>
      <c r="CO45" s="529">
        <f>Table9[[#This Row],[Employable population Score]]*'Detailed Rubric V3'!$C$92</f>
        <v>1.6</v>
      </c>
      <c r="CP45" s="529">
        <v>4</v>
      </c>
      <c r="CQ45" s="529" cm="1">
        <f t="array" ref="CQ45">_xlfn.IFS(Table9[[#This Row],[Housing (20%)]]="", 0, Table9[[#This Row],[Housing (20%)]]&gt;50, 0, Table9[[#This Row],[Housing (20%)]]&lt;25, 4, TRUE, 2)</f>
        <v>4</v>
      </c>
      <c r="CR45" s="529">
        <f>Table9[[#This Row],[Housing Score]]*'Detailed Rubric V3'!$F$92</f>
        <v>0.8</v>
      </c>
      <c r="CS45" s="529">
        <v>218</v>
      </c>
      <c r="CT45" s="529" cm="1">
        <f t="array" ref="CT45">_xlfn.IFS(Table9[[#This Row],[Hotels (10%)]]="", 0, Table9[[#This Row],[Hotels (10%)]]&gt;25, 4, Table9[[#This Row],[Hotels (10%)]]&lt;5, 0, TRUE, 2)</f>
        <v>4</v>
      </c>
      <c r="CU45" s="529">
        <f>Table9[[#This Row],[Hotels Score]]*'Detailed Rubric V3'!$I$92</f>
        <v>0.4</v>
      </c>
      <c r="CV45" s="529">
        <v>144</v>
      </c>
      <c r="CW45" s="529" cm="1">
        <f t="array" ref="CW45">_xlfn.IFS(Table9[[#This Row],[Health (Hospital) (15%)]]="", 0, Table9[[#This Row],[Health (Hospital) (15%)]]&gt;10, 4, Table9[[#This Row],[Health (Hospital) (15%)]]&lt;5, 0, TRUE, 2)</f>
        <v>4</v>
      </c>
      <c r="CX45" s="529">
        <f>Table9[[#This Row],[Health (Hospital) Score]]*'Detailed Rubric V3'!$L$92</f>
        <v>0.6</v>
      </c>
      <c r="CY45" s="529">
        <v>78</v>
      </c>
      <c r="CZ45" s="529" cm="1">
        <f t="array" ref="CZ45">_xlfn.IFS(Table9[[#This Row],[University/ Technical &amp; Vocational Institutions (15%)]]="", 0, Table9[[#This Row],[University/ Technical &amp; Vocational Institutions (15%)]]&gt;3, 4, Table9[[#This Row],[University/ Technical &amp; Vocational Institutions (15%)]]&lt;1, 0, TRUE, 2)</f>
        <v>4</v>
      </c>
      <c r="DA45" s="529">
        <f>Table9[[#This Row],[University/ Technical &amp; Vocational Institutions Score]]*'Detailed Rubric V3'!$O$92</f>
        <v>0.6</v>
      </c>
      <c r="DB45" s="529">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45" s="529" t="s">
        <v>418</v>
      </c>
      <c r="DD45" s="529" cm="1">
        <f t="array" ref="DD45">_xlfn.IFS(Table9[[#This Row],[Environment compliance (30%)]]="", 0, Table9[[#This Row],[Environment compliance (30%)]]="Yes", 4, TRUE, 0)</f>
        <v>0</v>
      </c>
      <c r="DE45" s="529">
        <f>Table9[[#This Row],[Environment compliance Score]]*'Detailed Rubric V3'!$C$104</f>
        <v>0</v>
      </c>
      <c r="DF45" s="529" t="s">
        <v>421</v>
      </c>
      <c r="DG45" s="529" cm="1">
        <f t="array" ref="DG45">_xlfn.IFS(Table9[[#This Row],[Flood Risk Index (30%)]]="", 0, Table9[[#This Row],[Flood Risk Index (30%)]]="Very Low", 4, Table9[[#This Row],[Flood Risk Index (30%)]]="Moderate &amp; Low", 2, TRUE, 0)</f>
        <v>0</v>
      </c>
      <c r="DH45" s="529">
        <f>Table9[[#This Row],[Flood Risk Index Score]]*'Detailed Rubric V3'!$F$104</f>
        <v>0</v>
      </c>
      <c r="DI45" s="529" t="s">
        <v>421</v>
      </c>
      <c r="DJ45" s="529" cm="1">
        <f t="array" ref="DJ45">_xlfn.IFS(Table9[[#This Row],[Earth Quake Risk Index (10%)]]="", 0, Table9[[#This Row],[Earth Quake Risk Index (10%)]]="Very Low", 4, Table9[[#This Row],[Earth Quake Risk Index (10%)]]="Moderate &amp; Low", 2, TRUE, 0)</f>
        <v>0</v>
      </c>
      <c r="DK45" s="529">
        <f>Table9[[#This Row],[Earth Quake Risk Index Score]]*'Detailed Rubric V3'!$I$104</f>
        <v>0</v>
      </c>
      <c r="DL45" s="529" t="s">
        <v>428</v>
      </c>
      <c r="DM45" s="529" cm="1">
        <f t="array" ref="DM45">_xlfn.IFS(Table9[[#This Row],[Sea Level Rise Risk Index (10%)]]="", 0, Table9[[#This Row],[Sea Level Rise Risk Index (10%)]]="Very Low", 4, Table9[[#This Row],[Sea Level Rise Risk Index (10%)]]="Moderate &amp; Low", 2, TRUE, 0)</f>
        <v>4</v>
      </c>
      <c r="DN45" s="529">
        <f>Table9[[#This Row],[Sea Level Rise  Risk Index Score]]*'Detailed Rubric V3'!$L$104</f>
        <v>0.4</v>
      </c>
      <c r="DO45" s="529" t="s">
        <v>420</v>
      </c>
      <c r="DP45" s="529" cm="1">
        <f t="array" ref="DP45">_xlfn.IFS(Table9[[#This Row],[Cyclone Risk Index (10%)]]="", 0, Table9[[#This Row],[Cyclone Risk Index (10%)]]="Very Low", 4, Table9[[#This Row],[Cyclone Risk Index (10%)]]="Moderate &amp; Low", 2, TRUE, 0)</f>
        <v>0</v>
      </c>
      <c r="DQ45" s="529">
        <f>Table9[[#This Row],[Cyclone Risk Index Score]]*'Detailed Rubric V3'!$O$104</f>
        <v>0</v>
      </c>
      <c r="DR45" s="529" t="s">
        <v>428</v>
      </c>
      <c r="DS45" s="529" cm="1">
        <f t="array" ref="DS45">_xlfn.IFS(Table9[[#This Row],[Storm Surge Risk Index (10%)]]="", 0, Table9[[#This Row],[Storm Surge Risk Index (10%)]]="Very Low", 4, Table9[[#This Row],[Storm Surge Risk Index (10%)]]="Moderate &amp; Low", 2, TRUE, 0)</f>
        <v>4</v>
      </c>
      <c r="DT45" s="529">
        <f>Table9[[#This Row],[Storm Surge Risk Index Score]]*'Detailed Rubric V3'!$R$104</f>
        <v>0.4</v>
      </c>
      <c r="DU45"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4.8000000000000001E-2</v>
      </c>
      <c r="DV45" s="533">
        <f>SUM(Table9[[#This Row],[2.1. Connectivity/ Logistics (10% weightage)]],Table9[[#This Row],[2.2. Utility (12% weightage)]],Table9[[#This Row],[2.3. Agglomeration effects (10% weightage)]],Table9[[#This Row],[2.4. Regional Policy (4% weightage)]],Table9[[#This Row],[2.5. Social (8% weightage)]],Table9[[#This Row],[2.6. Environment (6% weightage)]])</f>
        <v>1.5480000000000003</v>
      </c>
      <c r="DW45" s="232">
        <f>_xlfn.RANK.EQ(Table9[[#This Row],[Level 2 Score]],$DV$3:$DV$103)</f>
        <v>27</v>
      </c>
      <c r="DX45" s="533">
        <f>Table9[[#This Row],[Level 1 Score]]+Table9[[#This Row],[Level 2 Score]]</f>
        <v>2.1080000000000005</v>
      </c>
      <c r="DY45" s="232">
        <f>_xlfn.RANK.EQ(Table9[[#This Row],[Total Score]],$DX$3:$DX$103)</f>
        <v>43</v>
      </c>
      <c r="DZ45" s="237" t="str">
        <f>IF(Table9[[#This Row],[Count of Blanks]]&lt;=2, "Yes", "No")</f>
        <v>Yes</v>
      </c>
      <c r="EA45" s="237">
        <f>COUNTBLANK(Table9[[#This Row],[Name]:[Total Score Rank]])</f>
        <v>2</v>
      </c>
      <c r="EB45" s="237"/>
    </row>
    <row r="46" spans="2:132" ht="27" x14ac:dyDescent="0.25">
      <c r="B46" s="220">
        <v>56</v>
      </c>
      <c r="C46" s="221" t="s">
        <v>61</v>
      </c>
      <c r="D46" s="220" t="s">
        <v>76</v>
      </c>
      <c r="E46" s="220" t="s">
        <v>132</v>
      </c>
      <c r="F46" s="220" t="s">
        <v>133</v>
      </c>
      <c r="G46" s="220" t="s">
        <v>70</v>
      </c>
      <c r="H46" s="525" t="s">
        <v>422</v>
      </c>
      <c r="I46" s="70" t="s">
        <v>458</v>
      </c>
      <c r="J46" s="227" t="s">
        <v>444</v>
      </c>
      <c r="K46" s="220">
        <f>IFERROR(VLOOKUP(Table9[[#This Row],[Land Availability (Grade)​
(50%)]],'Detailed Rubric V3'!$B$8:$C$11,2), 0)</f>
        <v>0</v>
      </c>
      <c r="L46" s="220">
        <f>IFERROR(Table9[[#This Row],[Land Availability (Grade)​ Score]]*'Detailed Rubric V3'!$C$6, "")</f>
        <v>0</v>
      </c>
      <c r="M46" s="222">
        <v>525.26499999999999</v>
      </c>
      <c r="N46" s="222" cm="1">
        <f t="array" ref="N46">_xlfn.IFS(Table9[[#This Row],[Land Size (Acres)
(15%)]]&lt;100,0,Table9[[#This Row],[Land Size (Acres)
(15%)]]&gt;500,4,TRUE,2)</f>
        <v>4</v>
      </c>
      <c r="O46" s="222">
        <f>Table9[[#This Row],[Land Size (Acres) Score]]*'Detailed Rubric V3'!$G$6</f>
        <v>0.6</v>
      </c>
      <c r="P46" s="526">
        <v>1215.7</v>
      </c>
      <c r="Q46" s="526">
        <f>IFERROR(Table9[[#This Row],[Site Filling Cost (Mn BDT)]]/Table9[[#This Row],[Land Size (Acres)
(15%)]],"")</f>
        <v>2.3144508010242451</v>
      </c>
      <c r="R46" s="526" cm="1">
        <f t="array" ref="R46">IF(Table9[[#This Row],[Name]]="Sitakundo Economic Zone", 4, _xlfn.IFS(Table9[[#This Row],[Site Filling Cost (Mn BDT)]]="",0,Table9[[#This Row],[Land Suitability
(Cost of Land Filling in Million BDT per acre)
(25%)]]&gt;5,0,Table9[[#This Row],[Land Suitability
(Cost of Land Filling in Million BDT per acre)
(25%)]]&lt;2,4,TRUE,2))</f>
        <v>2</v>
      </c>
      <c r="S46" s="526">
        <f>Table9[[#This Row],[Land Suitability for Construction Score]]*'Detailed Rubric V3'!$J$6</f>
        <v>0.5</v>
      </c>
      <c r="T46" s="526">
        <v>73.599999999999994</v>
      </c>
      <c r="U46" s="526">
        <f>IFERROR(Table9[[#This Row],[Embankment/Dyke Cost (Mn BDT)]]/Table9[[#This Row],[Land Size (Acres)
(15%)]], 0)</f>
        <v>0.14011974907903629</v>
      </c>
      <c r="V46" s="526" cm="1">
        <f t="array" ref="V46">IF(Table9[[#This Row],[Name]]="Sitakundo Economic Zone", 2, _xlfn.IFS(Table9[[#This Row],[Embankment/Dyke Cost (Mn BDT)]]="",0,Table9[[#This Row],[Cost of DRRI Infrastructure in million BDT per acre
(10%)]]&gt;5,0,Table9[[#This Row],[Cost of DRRI Infrastructure in million BDT per acre
(10%)]]&lt;2,4,TRUE,2))</f>
        <v>4</v>
      </c>
      <c r="W46" s="526">
        <f>Table9[[#This Row],[Requirement for Distaster Risk Reduction &amp; Resilience Infrastructure Score]]*'Detailed Rubric V3'!$M$6</f>
        <v>0.4</v>
      </c>
      <c r="X46"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0.30000000000000004</v>
      </c>
      <c r="Y46" s="227" t="s">
        <v>436</v>
      </c>
      <c r="Z46" s="210">
        <f>IFERROR(VLOOKUP(Table9[[#This Row],[Zone Priority
(40%)]],'Detailed Rubric V3'!$B$18:$C$21, 2,FALSE), 0)</f>
        <v>0</v>
      </c>
      <c r="AA46" s="210">
        <f>IFERROR(Table9[[#This Row],[Zone Priority Score]]*'Detailed Rubric V3'!$C$16, 0)</f>
        <v>0</v>
      </c>
      <c r="AB46" s="237" t="s">
        <v>416</v>
      </c>
      <c r="AC46" s="237">
        <f>VLOOKUP(Table9[[#This Row],[Existing BEZA Report
(60%)]],'Detailed Rubric V3'!$E$18:$F$20,2,FALSE)</f>
        <v>4</v>
      </c>
      <c r="AD46" s="237">
        <f>Table9[[#This Row],[Existing BEZA Report Score]]*'Detailed Rubric V3'!F$16</f>
        <v>4</v>
      </c>
      <c r="AE46" s="237">
        <f>(Table9[[#This Row],[Zone Priority Weighted Score]]+Table9[[#This Row],[Existing BEZA Report Weighted Score]])*'Detailed Rubric V3'!$C$14</f>
        <v>0.6</v>
      </c>
      <c r="AF46" s="528">
        <v>0</v>
      </c>
      <c r="AG46" s="529" cm="1">
        <f t="array" ref="AG46">_xlfn.IFS(Table9[[#This Row],[Existing Sectors
(50%)]]&gt;10, 4,Table9[[#This Row],[Existing Sectors
(50%)]]&lt;5, 0, TRUE, 2)</f>
        <v>0</v>
      </c>
      <c r="AH46" s="529">
        <f>Table9[[#This Row],[Existing Sectors Score]]*'Detailed Rubric V3'!$C$25</f>
        <v>0</v>
      </c>
      <c r="AI46" s="529">
        <v>0</v>
      </c>
      <c r="AJ46" s="529">
        <v>0</v>
      </c>
      <c r="AK46" s="529" cm="1">
        <f t="array" ref="AK46">_xlfn.IFS(Table9[[#This Row],[Potential New Sectors
(50%)]]&gt;5, 4, Table9[[#This Row],[Potential New Sectors
(50%)]]&lt;2,0, TRUE, 2)</f>
        <v>0</v>
      </c>
      <c r="AL46" s="529">
        <f>Table9[[#This Row],[Potential New Sectors Score]]*'Detailed Rubric V3'!$F$25</f>
        <v>0</v>
      </c>
      <c r="AM46" s="232">
        <f>(Table9[[#This Row],[Existing Sectors Weighted Score]]+Table9[[#This Row],[Potential New Sectors Weighted Score]])*'Detailed Rubric V3'!$C$23</f>
        <v>0</v>
      </c>
      <c r="AN46" s="530">
        <f>SUM(Table9[[#This Row],[1.1. Land Details (20% weightage)]],Table9[[#This Row],[1.2. BEZA Existing plans (15% weightage)]],Table9[[#This Row],[1.3. Sector Demand (15% weightage):]])</f>
        <v>0.9</v>
      </c>
      <c r="AO46" s="531">
        <f>_xlfn.RANK.EQ(Table9[[#This Row],[Level 1 Score]],$AN$3:$AN$103)</f>
        <v>27</v>
      </c>
      <c r="AP46" s="529">
        <v>13</v>
      </c>
      <c r="AQ46" s="529" cm="1">
        <f t="array" ref="AQ46">_xlfn.IFS(Table9[[#This Row],[National Highway Connectivity (km)
(15%)]]="", 0, Table9[[#This Row],[National Highway Connectivity (km)
(15%)]]&gt;50, 0, Table9[[#This Row],[National Highway Connectivity (km)
(15%)]]&lt;=25, 4, TRUE, 2)</f>
        <v>4</v>
      </c>
      <c r="AR46" s="529">
        <f>Table9[[#This Row],[National Highway Connectivity Score]]*'Detailed Rubric V3'!$C$35</f>
        <v>0.6</v>
      </c>
      <c r="AS46" s="529" t="s">
        <v>417</v>
      </c>
      <c r="AT46" s="529" cm="1">
        <f t="array" ref="AT46">_xlfn.IFS(Table9[[#This Row],[Connecting Road to Highway (km)
(15%)]]="", 0, Table9[[#This Row],[Connecting Road to Highway (km)
(15%)]]="Yes", 4, TRUE, 0)</f>
        <v>4</v>
      </c>
      <c r="AU46" s="529">
        <f>Table9[[#This Row],[Connecting Road to Highway Score]]*'Detailed Rubric V3'!$F$35</f>
        <v>0.6</v>
      </c>
      <c r="AV46" s="529">
        <v>175</v>
      </c>
      <c r="AW46" s="529" cm="1">
        <f t="array" ref="AW46">_xlfn.IFS(Table9[[#This Row],[Seaport Connectivity (km)
(30%)]]="",0, Table9[[#This Row],[Seaport Connectivity (km)
(30%)]]&gt;400, 0,Table9[[#This Row],[Seaport Connectivity (km)
(30%)]]&lt;=200,4, TRUE, 2)</f>
        <v>4</v>
      </c>
      <c r="AX46" s="529">
        <f>Table9[[#This Row],[Seaport Connectivity Score]]*'Detailed Rubric V3'!$I$35</f>
        <v>1.2</v>
      </c>
      <c r="AY46" s="529">
        <v>82</v>
      </c>
      <c r="AZ46" s="529" cm="1">
        <f t="array" ref="AZ46">_xlfn.IFS(Table9[[#This Row],[Airport Connectivity (km)
(10%)]]="", 0, Table9[[#This Row],[Airport Connectivity (km)
(10%)]]&gt;200, 0, Table9[[#This Row],[Airport Connectivity (km)
(10%)]]&lt;=100,4,TRUE, 2)</f>
        <v>4</v>
      </c>
      <c r="BA46" s="529">
        <f>Table9[[#This Row],[Airport Connectivity Score]]*'Detailed Rubric V3'!$C$41</f>
        <v>0.4</v>
      </c>
      <c r="BB46" s="529">
        <v>75</v>
      </c>
      <c r="BC46" s="529" cm="1">
        <f t="array" ref="BC46">_xlfn.IFS(Table9[[#This Row],[Railway Station (km)
(10%)]]="", 0, Table9[[#This Row],[Railway Station (km)
(10%)]]&gt;150, 0,Table9[[#This Row],[Railway Station (km)
(10%)]]&lt;=50,4, TRUE, 2)</f>
        <v>2</v>
      </c>
      <c r="BD46" s="529">
        <f>Table9[[#This Row],[Railway Station Score]]*'Detailed Rubric V3'!$F$41</f>
        <v>0.2</v>
      </c>
      <c r="BE46" s="529">
        <v>176</v>
      </c>
      <c r="BF46" s="529" cm="1">
        <f t="array" ref="BF46">_xlfn.IFS(Table9[[#This Row],[Inland waterway/ Land port (km)
(20%)]]="", 0, Table9[[#This Row],[Inland waterway/ Land port (km)
(20%)]]&gt;200, 0,Table9[[#This Row],[Inland waterway/ Land port (km)
(20%)]]&lt;=50,4, TRUE, 2)</f>
        <v>2</v>
      </c>
      <c r="BG46" s="529">
        <f>Table9[[#This Row],[Inland waterway/ Land port Score]]*'Detailed Rubric V3'!$I$41</f>
        <v>0.4</v>
      </c>
      <c r="BH46"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0.34</v>
      </c>
      <c r="BI46" s="529">
        <v>3</v>
      </c>
      <c r="BJ46" s="529" cm="1">
        <f t="array" ref="BJ46">_xlfn.IFS(Table9[[#This Row],[Power Station (40%)]]="",0, Table9[[#This Row],[Power Station (40%)]]&gt;100, 0,Table9[[#This Row],[Power Station (40%)]]&lt;=50,4, TRUE, 2)</f>
        <v>4</v>
      </c>
      <c r="BK46" s="529">
        <f>Table9[[#This Row],[Power Station Score]]*'Detailed Rubric V3'!$C$53</f>
        <v>1.6</v>
      </c>
      <c r="BL46" s="529" t="s">
        <v>433</v>
      </c>
      <c r="BM46" s="529" cm="1">
        <f t="array" ref="BM46">IF(ISNUMBER(Table9[[#This Row],[Gas Station (20%)]]), _xlfn.IFS(Table9[[#This Row],[Gas Station (20%)]]="", 0, Table9[[#This Row],[Gas Station (20%)]]&gt;100, 0,Table9[[#This Row],[Gas Station (20%)]]&lt;=50,4, TRUE, 2), 0)</f>
        <v>0</v>
      </c>
      <c r="BN46" s="529">
        <f>Table9[[#This Row],[Gas Station Score]]*'Detailed Rubric V3'!$F$53</f>
        <v>0</v>
      </c>
      <c r="BO46" s="529" t="s">
        <v>433</v>
      </c>
      <c r="BP46" s="529" cm="1">
        <f t="array" ref="BP46">IF(ISNUMBER(Table9[[#This Row],[Source of Surface Water (40%)]]), _xlfn.IFS(Table9[[#This Row],[Source of Surface Water (40%)]]="", 0, Table9[[#This Row],[Source of Surface Water (40%)]]&gt;50, 0,Table9[[#This Row],[Source of Surface Water (40%)]]&lt;=20,4, TRUE, 2), 0)</f>
        <v>0</v>
      </c>
      <c r="BQ46" s="529">
        <f>Table9[[#This Row],[Source of Surface Water Score]]*'Detailed Rubric V3'!$I$53</f>
        <v>0</v>
      </c>
      <c r="BR46" s="529">
        <f>SUM(Table9[[#This Row],[Power Station Weighted Score]],Table9[[#This Row],[Gas Station Weighted Score]],Table9[[#This Row],[Source of Surface Water Weighted Score]])*'Detailed Rubric V3'!$C$51</f>
        <v>0.192</v>
      </c>
      <c r="BS46" s="529" t="s">
        <v>417</v>
      </c>
      <c r="BT46" s="529" cm="1">
        <f t="array" ref="BT46">_xlfn.IFS(Table9[[#This Row],[Other BEZA EZ (20%)]]="", 0, Table9[[#This Row],[Other BEZA EZ (20%)]]="Yes", 4, TRUE, 0)</f>
        <v>4</v>
      </c>
      <c r="BU46" s="529">
        <f>Table9[[#This Row],[Other BEZA EZ Score]]*'Detailed Rubric V3'!$C$66</f>
        <v>0.8</v>
      </c>
      <c r="BV46" s="529" t="s">
        <v>417</v>
      </c>
      <c r="BW46" s="529" cm="1">
        <f t="array" ref="BW46">_xlfn.IFS(Table9[[#This Row],[BEPZA/ BHPTA/ BSCIC (20%)]]="", 0, Table9[[#This Row],[BEPZA/ BHPTA/ BSCIC (20%)]]="Yes", 4, TRUE, 0)</f>
        <v>4</v>
      </c>
      <c r="BX46" s="529">
        <f>Table9[[#This Row],[BEPZA/ BHPTA/ BSCIC Score]]*'Detailed Rubric V3'!$F$66</f>
        <v>0.8</v>
      </c>
      <c r="BY46" s="529">
        <v>13</v>
      </c>
      <c r="BZ46" s="529" cm="1">
        <f t="array" ref="BZ46">_xlfn.IFS(Table9[[#This Row],[Cluster Industries (from SMI) (20%)]]="", 0, Table9[[#This Row],[Cluster Industries (from SMI) (20%)]]&gt;100, 4, Table9[[#This Row],[Cluster Industries (from SMI) (20%)]]&lt;50, 0, TRUE, 2)</f>
        <v>0</v>
      </c>
      <c r="CA46" s="529">
        <f>Table9[[#This Row],[Cluster Industries (from SMI) Score]]*'Detailed Rubric V3'!$I$66</f>
        <v>0</v>
      </c>
      <c r="CB46" s="529" t="s">
        <v>418</v>
      </c>
      <c r="CC46" s="529" cm="1">
        <f t="array" ref="CC46">_xlfn.IFS(Table9[[#This Row],[Located on Industrial corridor (40%)]]="", 0, Table9[[#This Row],[Located on Industrial corridor (40%)]]="Yes", 4, TRUE, 0)</f>
        <v>0</v>
      </c>
      <c r="CD46" s="529">
        <f>Table9[[#This Row],[Located on Industrial corridor Score]]*'Detailed Rubric V3'!$L$66</f>
        <v>0</v>
      </c>
      <c r="CE46" s="529">
        <f>SUM(Table9[[#This Row],[Other BEZA EZ Weighted Score]],Table9[[#This Row],[BEPZA/ BHPTA/ BSCIC Weighted Score]],Table9[[#This Row],[Unorganized (from SMI) Weighted Score]],Table9[[#This Row],[Located on Industrial corridor Weighted Score]])*'Detailed Rubric V3'!$C$64</f>
        <v>0.16000000000000003</v>
      </c>
      <c r="CF46" s="529" t="s">
        <v>417</v>
      </c>
      <c r="CG46" s="529" cm="1">
        <f t="array" ref="CG46">_xlfn.IFS(Table9[[#This Row],[Economic/ Social priority (laggered area) (100%)]]="", 0, Table9[[#This Row],[Economic/ Social priority (laggered area) (100%)]]="Yes", 4, TRUE, 0)</f>
        <v>4</v>
      </c>
      <c r="CH46" s="529">
        <f>Table9[[#This Row],[Economic/ Social priority (laggered area) Score]]*'Detailed Rubric V3'!$C$82</f>
        <v>4</v>
      </c>
      <c r="CI46" s="529" t="s">
        <v>417</v>
      </c>
      <c r="CJ46" s="529" cm="1">
        <f t="array" ref="CJ46">_xlfn.IFS(Table9[[#This Row],[Regional Tax incentive  (0%)]]="", 0, Table9[[#This Row],[Regional Tax incentive  (0%)]]="Yes", 4, TRUE, 0)</f>
        <v>4</v>
      </c>
      <c r="CK46" s="529">
        <f>Table9[[#This Row],[Regional Tax incentive Score]]*'Detailed Rubric V3'!$F$82</f>
        <v>0</v>
      </c>
      <c r="CL46" s="529">
        <f>SUM(Table9[[#This Row],[Economic/ Social priority (laagered area) Weighted Score]],Table9[[#This Row],[Regional Tax incentive  Weighted Score]])*'Detailed Rubric V3'!$C$80</f>
        <v>0.16</v>
      </c>
      <c r="CM46" s="529">
        <v>142285</v>
      </c>
      <c r="CN46" s="529" cm="1">
        <f t="array" ref="CN46">_xlfn.IFS(Table9[[#This Row],[Employable population (40%) 2013]]="", 0, Table9[[#This Row],[Employable population (40%) 2013]]&gt;200000, 4, Table9[[#This Row],[Employable population (40%) 2013]]&lt;100000,0, TRUE, 2)</f>
        <v>2</v>
      </c>
      <c r="CO46" s="529">
        <f>Table9[[#This Row],[Employable population Score]]*'Detailed Rubric V3'!$C$92</f>
        <v>0.8</v>
      </c>
      <c r="CP46" s="529">
        <v>18</v>
      </c>
      <c r="CQ46" s="529" cm="1">
        <f t="array" ref="CQ46">_xlfn.IFS(Table9[[#This Row],[Housing (20%)]]="", 0, Table9[[#This Row],[Housing (20%)]]&gt;50, 0, Table9[[#This Row],[Housing (20%)]]&lt;25, 4, TRUE, 2)</f>
        <v>4</v>
      </c>
      <c r="CR46" s="529">
        <f>Table9[[#This Row],[Housing Score]]*'Detailed Rubric V3'!$F$92</f>
        <v>0.8</v>
      </c>
      <c r="CS46" s="529">
        <v>332</v>
      </c>
      <c r="CT46" s="529" cm="1">
        <f t="array" ref="CT46">_xlfn.IFS(Table9[[#This Row],[Hotels (10%)]]="", 0, Table9[[#This Row],[Hotels (10%)]]&gt;25, 4, Table9[[#This Row],[Hotels (10%)]]&lt;5, 0, TRUE, 2)</f>
        <v>4</v>
      </c>
      <c r="CU46" s="529">
        <f>Table9[[#This Row],[Hotels Score]]*'Detailed Rubric V3'!$I$92</f>
        <v>0.4</v>
      </c>
      <c r="CV46" s="529">
        <v>40</v>
      </c>
      <c r="CW46" s="529" cm="1">
        <f t="array" ref="CW46">_xlfn.IFS(Table9[[#This Row],[Health (Hospital) (15%)]]="", 0, Table9[[#This Row],[Health (Hospital) (15%)]]&gt;10, 4, Table9[[#This Row],[Health (Hospital) (15%)]]&lt;5, 0, TRUE, 2)</f>
        <v>4</v>
      </c>
      <c r="CX46" s="529">
        <f>Table9[[#This Row],[Health (Hospital) Score]]*'Detailed Rubric V3'!$L$92</f>
        <v>0.6</v>
      </c>
      <c r="CY46" s="529">
        <v>78</v>
      </c>
      <c r="CZ46" s="529" cm="1">
        <f t="array" ref="CZ46">_xlfn.IFS(Table9[[#This Row],[University/ Technical &amp; Vocational Institutions (15%)]]="", 0, Table9[[#This Row],[University/ Technical &amp; Vocational Institutions (15%)]]&gt;3, 4, Table9[[#This Row],[University/ Technical &amp; Vocational Institutions (15%)]]&lt;1, 0, TRUE, 2)</f>
        <v>4</v>
      </c>
      <c r="DA46" s="529">
        <f>Table9[[#This Row],[University/ Technical &amp; Vocational Institutions Score]]*'Detailed Rubric V3'!$O$92</f>
        <v>0.6</v>
      </c>
      <c r="DB46" s="529">
        <f>SUM(Table9[[#This Row],[Employable population Weighted Score]],Table9[[#This Row],[Housing Weighted Score]],Table9[[#This Row],[Hotels Weighted Score]],Table9[[#This Row],[Health (Hospital) Weighted Score]],Table9[[#This Row],[University/ Technical &amp; Vocational Institutions Weighted Score]])*'Detailed Rubric V3'!$C$90</f>
        <v>0.25600000000000001</v>
      </c>
      <c r="DC46" s="529" t="s">
        <v>418</v>
      </c>
      <c r="DD46" s="529" cm="1">
        <f t="array" ref="DD46">_xlfn.IFS(Table9[[#This Row],[Environment compliance (30%)]]="", 0, Table9[[#This Row],[Environment compliance (30%)]]="Yes", 4, TRUE, 0)</f>
        <v>0</v>
      </c>
      <c r="DE46" s="529">
        <f>Table9[[#This Row],[Environment compliance Score]]*'Detailed Rubric V3'!$C$104</f>
        <v>0</v>
      </c>
      <c r="DF46" s="529" t="s">
        <v>419</v>
      </c>
      <c r="DG46" s="529" cm="1">
        <f t="array" ref="DG46">_xlfn.IFS(Table9[[#This Row],[Flood Risk Index (30%)]]="", 0, Table9[[#This Row],[Flood Risk Index (30%)]]="Very Low", 4, Table9[[#This Row],[Flood Risk Index (30%)]]="Moderate &amp; Low", 2, TRUE, 0)</f>
        <v>2</v>
      </c>
      <c r="DH46" s="529">
        <f>Table9[[#This Row],[Flood Risk Index Score]]*'Detailed Rubric V3'!$F$104</f>
        <v>0.6</v>
      </c>
      <c r="DI46" s="529" t="s">
        <v>428</v>
      </c>
      <c r="DJ46" s="529" cm="1">
        <f t="array" ref="DJ46">_xlfn.IFS(Table9[[#This Row],[Earth Quake Risk Index (10%)]]="", 0, Table9[[#This Row],[Earth Quake Risk Index (10%)]]="Very Low", 4, Table9[[#This Row],[Earth Quake Risk Index (10%)]]="Moderate &amp; Low", 2, TRUE, 0)</f>
        <v>4</v>
      </c>
      <c r="DK46" s="529">
        <f>Table9[[#This Row],[Earth Quake Risk Index Score]]*'Detailed Rubric V3'!$I$104</f>
        <v>0.4</v>
      </c>
      <c r="DL46" s="529" t="s">
        <v>419</v>
      </c>
      <c r="DM46" s="529" cm="1">
        <f t="array" ref="DM46">_xlfn.IFS(Table9[[#This Row],[Sea Level Rise Risk Index (10%)]]="", 0, Table9[[#This Row],[Sea Level Rise Risk Index (10%)]]="Very Low", 4, Table9[[#This Row],[Sea Level Rise Risk Index (10%)]]="Moderate &amp; Low", 2, TRUE, 0)</f>
        <v>2</v>
      </c>
      <c r="DN46" s="529">
        <f>Table9[[#This Row],[Sea Level Rise  Risk Index Score]]*'Detailed Rubric V3'!$L$104</f>
        <v>0.2</v>
      </c>
      <c r="DO46" s="529" t="s">
        <v>419</v>
      </c>
      <c r="DP46" s="529" cm="1">
        <f t="array" ref="DP46">_xlfn.IFS(Table9[[#This Row],[Cyclone Risk Index (10%)]]="", 0, Table9[[#This Row],[Cyclone Risk Index (10%)]]="Very Low", 4, Table9[[#This Row],[Cyclone Risk Index (10%)]]="Moderate &amp; Low", 2, TRUE, 0)</f>
        <v>2</v>
      </c>
      <c r="DQ46" s="529">
        <f>Table9[[#This Row],[Cyclone Risk Index Score]]*'Detailed Rubric V3'!$O$104</f>
        <v>0.2</v>
      </c>
      <c r="DR46" s="529" t="s">
        <v>419</v>
      </c>
      <c r="DS46" s="529" cm="1">
        <f t="array" ref="DS46">_xlfn.IFS(Table9[[#This Row],[Storm Surge Risk Index (10%)]]="", 0, Table9[[#This Row],[Storm Surge Risk Index (10%)]]="Very Low", 4, Table9[[#This Row],[Storm Surge Risk Index (10%)]]="Moderate &amp; Low", 2, TRUE, 0)</f>
        <v>2</v>
      </c>
      <c r="DT46" s="529">
        <f>Table9[[#This Row],[Storm Surge Risk Index Score]]*'Detailed Rubric V3'!$R$104</f>
        <v>0.2</v>
      </c>
      <c r="DU46"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9.5999999999999988E-2</v>
      </c>
      <c r="DV46" s="533">
        <f>SUM(Table9[[#This Row],[2.1. Connectivity/ Logistics (10% weightage)]],Table9[[#This Row],[2.2. Utility (12% weightage)]],Table9[[#This Row],[2.3. Agglomeration effects (10% weightage)]],Table9[[#This Row],[2.4. Regional Policy (4% weightage)]],Table9[[#This Row],[2.5. Social (8% weightage)]],Table9[[#This Row],[2.6. Environment (6% weightage)]])</f>
        <v>1.2040000000000002</v>
      </c>
      <c r="DW46" s="232">
        <f>_xlfn.RANK.EQ(Table9[[#This Row],[Level 2 Score]],$DV$3:$DV$103)</f>
        <v>48</v>
      </c>
      <c r="DX46" s="533">
        <f>Table9[[#This Row],[Level 1 Score]]+Table9[[#This Row],[Level 2 Score]]</f>
        <v>2.1040000000000001</v>
      </c>
      <c r="DY46" s="232">
        <f>_xlfn.RANK.EQ(Table9[[#This Row],[Total Score]],$DX$3:$DX$103)</f>
        <v>44</v>
      </c>
      <c r="DZ46" s="237" t="str">
        <f>IF(Table9[[#This Row],[Count of Blanks]]&lt;=2, "Yes", "No")</f>
        <v>Yes</v>
      </c>
      <c r="EA46" s="237">
        <f>COUNTBLANK(Table9[[#This Row],[Name]:[Total Score Rank]])</f>
        <v>0</v>
      </c>
      <c r="EB46" s="237"/>
    </row>
    <row r="47" spans="2:132" ht="27" x14ac:dyDescent="0.25">
      <c r="B47" s="220">
        <v>44</v>
      </c>
      <c r="C47" s="221" t="s">
        <v>59</v>
      </c>
      <c r="D47" s="220" t="s">
        <v>121</v>
      </c>
      <c r="E47" s="220" t="s">
        <v>128</v>
      </c>
      <c r="F47" s="220" t="s">
        <v>129</v>
      </c>
      <c r="G47" s="220" t="s">
        <v>70</v>
      </c>
      <c r="H47" s="525" t="s">
        <v>422</v>
      </c>
      <c r="I47" s="70" t="s">
        <v>456</v>
      </c>
      <c r="J47" s="227" t="s">
        <v>435</v>
      </c>
      <c r="K47" s="220">
        <f>IFERROR(VLOOKUP(Table9[[#This Row],[Land Availability (Grade)​
(50%)]],'Detailed Rubric V3'!$B$8:$C$11,2), 0)</f>
        <v>2</v>
      </c>
      <c r="L47" s="220">
        <f>IFERROR(Table9[[#This Row],[Land Availability (Grade)​ Score]]*'Detailed Rubric V3'!$C$6, "")</f>
        <v>1</v>
      </c>
      <c r="M47" s="222">
        <v>107.73</v>
      </c>
      <c r="N47" s="222" cm="1">
        <f t="array" ref="N47">_xlfn.IFS(Table9[[#This Row],[Land Size (Acres)
(15%)]]&lt;100,0,Table9[[#This Row],[Land Size (Acres)
(15%)]]&gt;500,4,TRUE,2)</f>
        <v>2</v>
      </c>
      <c r="O47" s="222">
        <f>Table9[[#This Row],[Land Size (Acres) Score]]*'Detailed Rubric V3'!$G$6</f>
        <v>0.3</v>
      </c>
      <c r="P47" s="526">
        <v>674.1</v>
      </c>
      <c r="Q47" s="526">
        <f>IFERROR(Table9[[#This Row],[Site Filling Cost (Mn BDT)]]/Table9[[#This Row],[Land Size (Acres)
(15%)]],"")</f>
        <v>6.257309941520468</v>
      </c>
      <c r="R47" s="526" cm="1">
        <f t="array" ref="R47">IF(Table9[[#This Row],[Name]]="Sitakundo Economic Zone", 4, _xlfn.IFS(Table9[[#This Row],[Site Filling Cost (Mn BDT)]]="",0,Table9[[#This Row],[Land Suitability
(Cost of Land Filling in Million BDT per acre)
(25%)]]&gt;5,0,Table9[[#This Row],[Land Suitability
(Cost of Land Filling in Million BDT per acre)
(25%)]]&lt;2,4,TRUE,2))</f>
        <v>0</v>
      </c>
      <c r="S47" s="526">
        <f>Table9[[#This Row],[Land Suitability for Construction Score]]*'Detailed Rubric V3'!$J$6</f>
        <v>0</v>
      </c>
      <c r="T47" s="526">
        <v>1764.5</v>
      </c>
      <c r="U47" s="526">
        <f>IFERROR(Table9[[#This Row],[Embankment/Dyke Cost (Mn BDT)]]/Table9[[#This Row],[Land Size (Acres)
(15%)]], 0)</f>
        <v>16.37891023855936</v>
      </c>
      <c r="V47" s="526" cm="1">
        <f t="array" ref="V47">IF(Table9[[#This Row],[Name]]="Sitakundo Economic Zone", 2, _xlfn.IFS(Table9[[#This Row],[Embankment/Dyke Cost (Mn BDT)]]="",0,Table9[[#This Row],[Cost of DRRI Infrastructure in million BDT per acre
(10%)]]&gt;5,0,Table9[[#This Row],[Cost of DRRI Infrastructure in million BDT per acre
(10%)]]&lt;2,4,TRUE,2))</f>
        <v>0</v>
      </c>
      <c r="W47" s="526">
        <f>Table9[[#This Row],[Requirement for Distaster Risk Reduction &amp; Resilience Infrastructure Score]]*'Detailed Rubric V3'!$M$6</f>
        <v>0</v>
      </c>
      <c r="X47"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0.26</v>
      </c>
      <c r="Y47" s="452" t="s">
        <v>443</v>
      </c>
      <c r="Z47" s="210">
        <f>IFERROR(VLOOKUP(Table9[[#This Row],[Zone Priority
(40%)]],'Detailed Rubric V3'!$B$18:$C$21, 2,FALSE), 0)</f>
        <v>2</v>
      </c>
      <c r="AA47" s="210">
        <f>IFERROR(Table9[[#This Row],[Zone Priority Score]]*'Detailed Rubric V3'!$C$16, 0)</f>
        <v>0</v>
      </c>
      <c r="AB47" s="237" t="s">
        <v>416</v>
      </c>
      <c r="AC47" s="237">
        <f>VLOOKUP(Table9[[#This Row],[Existing BEZA Report
(60%)]],'Detailed Rubric V3'!$E$18:$F$20,2,FALSE)</f>
        <v>4</v>
      </c>
      <c r="AD47" s="237">
        <f>Table9[[#This Row],[Existing BEZA Report Score]]*'Detailed Rubric V3'!F$16</f>
        <v>4</v>
      </c>
      <c r="AE47" s="237">
        <f>(Table9[[#This Row],[Zone Priority Weighted Score]]+Table9[[#This Row],[Existing BEZA Report Weighted Score]])*'Detailed Rubric V3'!$C$14</f>
        <v>0.6</v>
      </c>
      <c r="AF47" s="528">
        <v>0</v>
      </c>
      <c r="AG47" s="529" cm="1">
        <f t="array" ref="AG47">_xlfn.IFS(Table9[[#This Row],[Existing Sectors
(50%)]]&gt;10, 4,Table9[[#This Row],[Existing Sectors
(50%)]]&lt;5, 0, TRUE, 2)</f>
        <v>0</v>
      </c>
      <c r="AH47" s="529">
        <f>Table9[[#This Row],[Existing Sectors Score]]*'Detailed Rubric V3'!$C$25</f>
        <v>0</v>
      </c>
      <c r="AI47" s="529">
        <v>0</v>
      </c>
      <c r="AJ47" s="529">
        <v>0</v>
      </c>
      <c r="AK47" s="529" cm="1">
        <f t="array" ref="AK47">_xlfn.IFS(Table9[[#This Row],[Potential New Sectors
(50%)]]&gt;5, 4, Table9[[#This Row],[Potential New Sectors
(50%)]]&lt;2,0, TRUE, 2)</f>
        <v>0</v>
      </c>
      <c r="AL47" s="529">
        <f>Table9[[#This Row],[Potential New Sectors Score]]*'Detailed Rubric V3'!$F$25</f>
        <v>0</v>
      </c>
      <c r="AM47" s="232">
        <f>(Table9[[#This Row],[Existing Sectors Weighted Score]]+Table9[[#This Row],[Potential New Sectors Weighted Score]])*'Detailed Rubric V3'!$C$23</f>
        <v>0</v>
      </c>
      <c r="AN47" s="530">
        <f>SUM(Table9[[#This Row],[1.1. Land Details (20% weightage)]],Table9[[#This Row],[1.2. BEZA Existing plans (15% weightage)]],Table9[[#This Row],[1.3. Sector Demand (15% weightage):]])</f>
        <v>0.86</v>
      </c>
      <c r="AO47" s="531">
        <f>_xlfn.RANK.EQ(Table9[[#This Row],[Level 1 Score]],$AN$3:$AN$103)</f>
        <v>29</v>
      </c>
      <c r="AP47" s="529">
        <v>2</v>
      </c>
      <c r="AQ47" s="529" cm="1">
        <f t="array" ref="AQ47">_xlfn.IFS(Table9[[#This Row],[National Highway Connectivity (km)
(15%)]]="", 0, Table9[[#This Row],[National Highway Connectivity (km)
(15%)]]&gt;50, 0, Table9[[#This Row],[National Highway Connectivity (km)
(15%)]]&lt;=25, 4, TRUE, 2)</f>
        <v>4</v>
      </c>
      <c r="AR47" s="529">
        <f>Table9[[#This Row],[National Highway Connectivity Score]]*'Detailed Rubric V3'!$C$35</f>
        <v>0.6</v>
      </c>
      <c r="AS47" s="529" t="s">
        <v>417</v>
      </c>
      <c r="AT47" s="529" cm="1">
        <f t="array" ref="AT47">_xlfn.IFS(Table9[[#This Row],[Connecting Road to Highway (km)
(15%)]]="", 0, Table9[[#This Row],[Connecting Road to Highway (km)
(15%)]]="Yes", 4, TRUE, 0)</f>
        <v>4</v>
      </c>
      <c r="AU47" s="529">
        <f>Table9[[#This Row],[Connecting Road to Highway Score]]*'Detailed Rubric V3'!$F$35</f>
        <v>0.6</v>
      </c>
      <c r="AV47" s="529">
        <v>484</v>
      </c>
      <c r="AW47" s="529" cm="1">
        <f t="array" ref="AW47">_xlfn.IFS(Table9[[#This Row],[Seaport Connectivity (km)
(30%)]]="",0, Table9[[#This Row],[Seaport Connectivity (km)
(30%)]]&gt;400, 0,Table9[[#This Row],[Seaport Connectivity (km)
(30%)]]&lt;=200,4, TRUE, 2)</f>
        <v>0</v>
      </c>
      <c r="AX47" s="529">
        <f>Table9[[#This Row],[Seaport Connectivity Score]]*'Detailed Rubric V3'!$I$35</f>
        <v>0</v>
      </c>
      <c r="AY47" s="529">
        <v>10</v>
      </c>
      <c r="AZ47" s="529" cm="1">
        <f t="array" ref="AZ47">_xlfn.IFS(Table9[[#This Row],[Airport Connectivity (km)
(10%)]]="", 0, Table9[[#This Row],[Airport Connectivity (km)
(10%)]]&gt;200, 0, Table9[[#This Row],[Airport Connectivity (km)
(10%)]]&lt;=100,4,TRUE, 2)</f>
        <v>4</v>
      </c>
      <c r="BA47" s="529">
        <f>Table9[[#This Row],[Airport Connectivity Score]]*'Detailed Rubric V3'!$C$41</f>
        <v>0.4</v>
      </c>
      <c r="BB47" s="529">
        <v>4</v>
      </c>
      <c r="BC47" s="529" cm="1">
        <f t="array" ref="BC47">_xlfn.IFS(Table9[[#This Row],[Railway Station (km)
(10%)]]="", 0, Table9[[#This Row],[Railway Station (km)
(10%)]]&gt;150, 0,Table9[[#This Row],[Railway Station (km)
(10%)]]&lt;=50,4, TRUE, 2)</f>
        <v>4</v>
      </c>
      <c r="BD47" s="529">
        <f>Table9[[#This Row],[Railway Station Score]]*'Detailed Rubric V3'!$F$41</f>
        <v>0.4</v>
      </c>
      <c r="BE47" s="529">
        <v>72</v>
      </c>
      <c r="BF47" s="529" cm="1">
        <f t="array" ref="BF47">_xlfn.IFS(Table9[[#This Row],[Inland waterway/ Land port (km)
(20%)]]="", 0, Table9[[#This Row],[Inland waterway/ Land port (km)
(20%)]]&gt;200, 0,Table9[[#This Row],[Inland waterway/ Land port (km)
(20%)]]&lt;=50,4, TRUE, 2)</f>
        <v>2</v>
      </c>
      <c r="BG47" s="529">
        <f>Table9[[#This Row],[Inland waterway/ Land port Score]]*'Detailed Rubric V3'!$I$41</f>
        <v>0.4</v>
      </c>
      <c r="BH47"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0.24</v>
      </c>
      <c r="BI47" s="529">
        <v>1</v>
      </c>
      <c r="BJ47" s="529" cm="1">
        <f t="array" ref="BJ47">_xlfn.IFS(Table9[[#This Row],[Power Station (40%)]]="",0, Table9[[#This Row],[Power Station (40%)]]&gt;100, 0,Table9[[#This Row],[Power Station (40%)]]&lt;=50,4, TRUE, 2)</f>
        <v>4</v>
      </c>
      <c r="BK47" s="529">
        <f>Table9[[#This Row],[Power Station Score]]*'Detailed Rubric V3'!$C$53</f>
        <v>1.6</v>
      </c>
      <c r="BL47" s="529" t="s">
        <v>433</v>
      </c>
      <c r="BM47" s="529" cm="1">
        <f t="array" ref="BM47">IF(ISNUMBER(Table9[[#This Row],[Gas Station (20%)]]), _xlfn.IFS(Table9[[#This Row],[Gas Station (20%)]]="", 0, Table9[[#This Row],[Gas Station (20%)]]&gt;100, 0,Table9[[#This Row],[Gas Station (20%)]]&lt;=50,4, TRUE, 2), 0)</f>
        <v>0</v>
      </c>
      <c r="BN47" s="529">
        <f>Table9[[#This Row],[Gas Station Score]]*'Detailed Rubric V3'!$F$53</f>
        <v>0</v>
      </c>
      <c r="BO47" s="529">
        <v>30</v>
      </c>
      <c r="BP47" s="529" cm="1">
        <f t="array" ref="BP47">IF(ISNUMBER(Table9[[#This Row],[Source of Surface Water (40%)]]), _xlfn.IFS(Table9[[#This Row],[Source of Surface Water (40%)]]="", 0, Table9[[#This Row],[Source of Surface Water (40%)]]&gt;50, 0,Table9[[#This Row],[Source of Surface Water (40%)]]&lt;=20,4, TRUE, 2), 0)</f>
        <v>2</v>
      </c>
      <c r="BQ47" s="529">
        <f>Table9[[#This Row],[Source of Surface Water Score]]*'Detailed Rubric V3'!$I$53</f>
        <v>0.8</v>
      </c>
      <c r="BR47" s="529">
        <f>SUM(Table9[[#This Row],[Power Station Weighted Score]],Table9[[#This Row],[Gas Station Weighted Score]],Table9[[#This Row],[Source of Surface Water Weighted Score]])*'Detailed Rubric V3'!$C$51</f>
        <v>0.28800000000000003</v>
      </c>
      <c r="BS47" s="529" t="s">
        <v>418</v>
      </c>
      <c r="BT47" s="529" cm="1">
        <f t="array" ref="BT47">_xlfn.IFS(Table9[[#This Row],[Other BEZA EZ (20%)]]="", 0, Table9[[#This Row],[Other BEZA EZ (20%)]]="Yes", 4, TRUE, 0)</f>
        <v>0</v>
      </c>
      <c r="BU47" s="529">
        <f>Table9[[#This Row],[Other BEZA EZ Score]]*'Detailed Rubric V3'!$C$66</f>
        <v>0</v>
      </c>
      <c r="BV47" s="529" t="s">
        <v>417</v>
      </c>
      <c r="BW47" s="529" cm="1">
        <f t="array" ref="BW47">_xlfn.IFS(Table9[[#This Row],[BEPZA/ BHPTA/ BSCIC (20%)]]="", 0, Table9[[#This Row],[BEPZA/ BHPTA/ BSCIC (20%)]]="Yes", 4, TRUE, 0)</f>
        <v>4</v>
      </c>
      <c r="BX47" s="529">
        <f>Table9[[#This Row],[BEPZA/ BHPTA/ BSCIC Score]]*'Detailed Rubric V3'!$F$66</f>
        <v>0.8</v>
      </c>
      <c r="BY47" s="529">
        <v>70</v>
      </c>
      <c r="BZ47" s="529" cm="1">
        <f t="array" ref="BZ47">_xlfn.IFS(Table9[[#This Row],[Cluster Industries (from SMI) (20%)]]="", 0, Table9[[#This Row],[Cluster Industries (from SMI) (20%)]]&gt;100, 4, Table9[[#This Row],[Cluster Industries (from SMI) (20%)]]&lt;50, 0, TRUE, 2)</f>
        <v>2</v>
      </c>
      <c r="CA47" s="529">
        <f>Table9[[#This Row],[Cluster Industries (from SMI) Score]]*'Detailed Rubric V3'!$I$66</f>
        <v>0.4</v>
      </c>
      <c r="CB47" s="529" t="s">
        <v>418</v>
      </c>
      <c r="CC47" s="529" cm="1">
        <f t="array" ref="CC47">_xlfn.IFS(Table9[[#This Row],[Located on Industrial corridor (40%)]]="", 0, Table9[[#This Row],[Located on Industrial corridor (40%)]]="Yes", 4, TRUE, 0)</f>
        <v>0</v>
      </c>
      <c r="CD47" s="529">
        <f>Table9[[#This Row],[Located on Industrial corridor Score]]*'Detailed Rubric V3'!$L$66</f>
        <v>0</v>
      </c>
      <c r="CE47" s="529">
        <f>SUM(Table9[[#This Row],[Other BEZA EZ Weighted Score]],Table9[[#This Row],[BEPZA/ BHPTA/ BSCIC Weighted Score]],Table9[[#This Row],[Unorganized (from SMI) Weighted Score]],Table9[[#This Row],[Located on Industrial corridor Weighted Score]])*'Detailed Rubric V3'!$C$64</f>
        <v>0.12000000000000002</v>
      </c>
      <c r="CF47" s="529" t="s">
        <v>417</v>
      </c>
      <c r="CG47" s="529" cm="1">
        <f t="array" ref="CG47">_xlfn.IFS(Table9[[#This Row],[Economic/ Social priority (laggered area) (100%)]]="", 0, Table9[[#This Row],[Economic/ Social priority (laggered area) (100%)]]="Yes", 4, TRUE, 0)</f>
        <v>4</v>
      </c>
      <c r="CH47" s="529">
        <f>Table9[[#This Row],[Economic/ Social priority (laggered area) Score]]*'Detailed Rubric V3'!$C$82</f>
        <v>4</v>
      </c>
      <c r="CI47" s="529" t="s">
        <v>417</v>
      </c>
      <c r="CJ47" s="529" cm="1">
        <f t="array" ref="CJ47">_xlfn.IFS(Table9[[#This Row],[Regional Tax incentive  (0%)]]="", 0, Table9[[#This Row],[Regional Tax incentive  (0%)]]="Yes", 4, TRUE, 0)</f>
        <v>4</v>
      </c>
      <c r="CK47" s="529">
        <f>Table9[[#This Row],[Regional Tax incentive Score]]*'Detailed Rubric V3'!$F$82</f>
        <v>0</v>
      </c>
      <c r="CL47" s="529">
        <f>SUM(Table9[[#This Row],[Economic/ Social priority (laagered area) Weighted Score]],Table9[[#This Row],[Regional Tax incentive  Weighted Score]])*'Detailed Rubric V3'!$C$80</f>
        <v>0.16</v>
      </c>
      <c r="CM47" s="529">
        <v>391484</v>
      </c>
      <c r="CN47" s="529" cm="1">
        <f t="array" ref="CN47">_xlfn.IFS(Table9[[#This Row],[Employable population (40%) 2013]]="", 0, Table9[[#This Row],[Employable population (40%) 2013]]&gt;200000, 4, Table9[[#This Row],[Employable population (40%) 2013]]&lt;100000,0, TRUE, 2)</f>
        <v>4</v>
      </c>
      <c r="CO47" s="529">
        <f>Table9[[#This Row],[Employable population Score]]*'Detailed Rubric V3'!$C$92</f>
        <v>1.6</v>
      </c>
      <c r="CP47" s="529">
        <v>2.5</v>
      </c>
      <c r="CQ47" s="529" cm="1">
        <f t="array" ref="CQ47">_xlfn.IFS(Table9[[#This Row],[Housing (20%)]]="", 0, Table9[[#This Row],[Housing (20%)]]&gt;50, 0, Table9[[#This Row],[Housing (20%)]]&lt;25, 4, TRUE, 2)</f>
        <v>4</v>
      </c>
      <c r="CR47" s="529">
        <f>Table9[[#This Row],[Housing Score]]*'Detailed Rubric V3'!$F$92</f>
        <v>0.8</v>
      </c>
      <c r="CS47" s="529">
        <v>6</v>
      </c>
      <c r="CT47" s="529" cm="1">
        <f t="array" ref="CT47">_xlfn.IFS(Table9[[#This Row],[Hotels (10%)]]="", 0, Table9[[#This Row],[Hotels (10%)]]&gt;25, 4, Table9[[#This Row],[Hotels (10%)]]&lt;5, 0, TRUE, 2)</f>
        <v>2</v>
      </c>
      <c r="CU47" s="529">
        <f>Table9[[#This Row],[Hotels Score]]*'Detailed Rubric V3'!$I$92</f>
        <v>0.2</v>
      </c>
      <c r="CV47" s="529">
        <v>37</v>
      </c>
      <c r="CW47" s="529" cm="1">
        <f t="array" ref="CW47">_xlfn.IFS(Table9[[#This Row],[Health (Hospital) (15%)]]="", 0, Table9[[#This Row],[Health (Hospital) (15%)]]&gt;10, 4, Table9[[#This Row],[Health (Hospital) (15%)]]&lt;5, 0, TRUE, 2)</f>
        <v>4</v>
      </c>
      <c r="CX47" s="529">
        <f>Table9[[#This Row],[Health (Hospital) Score]]*'Detailed Rubric V3'!$L$92</f>
        <v>0.6</v>
      </c>
      <c r="CY47" s="529">
        <v>5</v>
      </c>
      <c r="CZ47" s="529" cm="1">
        <f t="array" ref="CZ47">_xlfn.IFS(Table9[[#This Row],[University/ Technical &amp; Vocational Institutions (15%)]]="", 0, Table9[[#This Row],[University/ Technical &amp; Vocational Institutions (15%)]]&gt;3, 4, Table9[[#This Row],[University/ Technical &amp; Vocational Institutions (15%)]]&lt;1, 0, TRUE, 2)</f>
        <v>4</v>
      </c>
      <c r="DA47" s="529">
        <f>Table9[[#This Row],[University/ Technical &amp; Vocational Institutions Score]]*'Detailed Rubric V3'!$O$92</f>
        <v>0.6</v>
      </c>
      <c r="DB47" s="529">
        <f>SUM(Table9[[#This Row],[Employable population Weighted Score]],Table9[[#This Row],[Housing Weighted Score]],Table9[[#This Row],[Hotels Weighted Score]],Table9[[#This Row],[Health (Hospital) Weighted Score]],Table9[[#This Row],[University/ Technical &amp; Vocational Institutions Weighted Score]])*'Detailed Rubric V3'!$C$90</f>
        <v>0.30400000000000005</v>
      </c>
      <c r="DC47" s="529" t="s">
        <v>418</v>
      </c>
      <c r="DD47" s="529" cm="1">
        <f t="array" ref="DD47">_xlfn.IFS(Table9[[#This Row],[Environment compliance (30%)]]="", 0, Table9[[#This Row],[Environment compliance (30%)]]="Yes", 4, TRUE, 0)</f>
        <v>0</v>
      </c>
      <c r="DE47" s="529">
        <f>Table9[[#This Row],[Environment compliance Score]]*'Detailed Rubric V3'!$C$104</f>
        <v>0</v>
      </c>
      <c r="DF47" s="529" t="s">
        <v>419</v>
      </c>
      <c r="DG47" s="529" cm="1">
        <f t="array" ref="DG47">_xlfn.IFS(Table9[[#This Row],[Flood Risk Index (30%)]]="", 0, Table9[[#This Row],[Flood Risk Index (30%)]]="Very Low", 4, Table9[[#This Row],[Flood Risk Index (30%)]]="Moderate &amp; Low", 2, TRUE, 0)</f>
        <v>2</v>
      </c>
      <c r="DH47" s="529">
        <f>Table9[[#This Row],[Flood Risk Index Score]]*'Detailed Rubric V3'!$F$104</f>
        <v>0.6</v>
      </c>
      <c r="DI47" s="529" t="s">
        <v>419</v>
      </c>
      <c r="DJ47" s="529" cm="1">
        <f t="array" ref="DJ47">_xlfn.IFS(Table9[[#This Row],[Earth Quake Risk Index (10%)]]="", 0, Table9[[#This Row],[Earth Quake Risk Index (10%)]]="Very Low", 4, Table9[[#This Row],[Earth Quake Risk Index (10%)]]="Moderate &amp; Low", 2, TRUE, 0)</f>
        <v>2</v>
      </c>
      <c r="DK47" s="529">
        <f>Table9[[#This Row],[Earth Quake Risk Index Score]]*'Detailed Rubric V3'!$I$104</f>
        <v>0.2</v>
      </c>
      <c r="DL47" s="529" t="s">
        <v>428</v>
      </c>
      <c r="DM47" s="529" cm="1">
        <f t="array" ref="DM47">_xlfn.IFS(Table9[[#This Row],[Sea Level Rise Risk Index (10%)]]="", 0, Table9[[#This Row],[Sea Level Rise Risk Index (10%)]]="Very Low", 4, Table9[[#This Row],[Sea Level Rise Risk Index (10%)]]="Moderate &amp; Low", 2, TRUE, 0)</f>
        <v>4</v>
      </c>
      <c r="DN47" s="529">
        <f>Table9[[#This Row],[Sea Level Rise  Risk Index Score]]*'Detailed Rubric V3'!$L$104</f>
        <v>0.4</v>
      </c>
      <c r="DO47" s="529" t="s">
        <v>428</v>
      </c>
      <c r="DP47" s="529" cm="1">
        <f t="array" ref="DP47">_xlfn.IFS(Table9[[#This Row],[Cyclone Risk Index (10%)]]="", 0, Table9[[#This Row],[Cyclone Risk Index (10%)]]="Very Low", 4, Table9[[#This Row],[Cyclone Risk Index (10%)]]="Moderate &amp; Low", 2, TRUE, 0)</f>
        <v>4</v>
      </c>
      <c r="DQ47" s="529">
        <f>Table9[[#This Row],[Cyclone Risk Index Score]]*'Detailed Rubric V3'!$O$104</f>
        <v>0.4</v>
      </c>
      <c r="DR47" s="529" t="s">
        <v>428</v>
      </c>
      <c r="DS47" s="529" cm="1">
        <f t="array" ref="DS47">_xlfn.IFS(Table9[[#This Row],[Storm Surge Risk Index (10%)]]="", 0, Table9[[#This Row],[Storm Surge Risk Index (10%)]]="Very Low", 4, Table9[[#This Row],[Storm Surge Risk Index (10%)]]="Moderate &amp; Low", 2, TRUE, 0)</f>
        <v>4</v>
      </c>
      <c r="DT47" s="529">
        <f>Table9[[#This Row],[Storm Surge Risk Index Score]]*'Detailed Rubric V3'!$R$104</f>
        <v>0.4</v>
      </c>
      <c r="DU47"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0.12</v>
      </c>
      <c r="DV47" s="533">
        <f>SUM(Table9[[#This Row],[2.1. Connectivity/ Logistics (10% weightage)]],Table9[[#This Row],[2.2. Utility (12% weightage)]],Table9[[#This Row],[2.3. Agglomeration effects (10% weightage)]],Table9[[#This Row],[2.4. Regional Policy (4% weightage)]],Table9[[#This Row],[2.5. Social (8% weightage)]],Table9[[#This Row],[2.6. Environment (6% weightage)]])</f>
        <v>1.2320000000000002</v>
      </c>
      <c r="DW47" s="232">
        <f>_xlfn.RANK.EQ(Table9[[#This Row],[Level 2 Score]],$DV$3:$DV$103)</f>
        <v>46</v>
      </c>
      <c r="DX47" s="533">
        <f>Table9[[#This Row],[Level 1 Score]]+Table9[[#This Row],[Level 2 Score]]</f>
        <v>2.0920000000000001</v>
      </c>
      <c r="DY47" s="232">
        <f>_xlfn.RANK.EQ(Table9[[#This Row],[Total Score]],$DX$3:$DX$103)</f>
        <v>45</v>
      </c>
      <c r="DZ47" s="237" t="str">
        <f>IF(Table9[[#This Row],[Count of Blanks]]&lt;=2, "Yes", "No")</f>
        <v>Yes</v>
      </c>
      <c r="EA47" s="237">
        <f>COUNTBLANK(Table9[[#This Row],[Name]:[Total Score Rank]])</f>
        <v>0</v>
      </c>
      <c r="EB47" s="237"/>
    </row>
    <row r="48" spans="2:132" ht="27" x14ac:dyDescent="0.25">
      <c r="B48" s="220">
        <v>71</v>
      </c>
      <c r="C48" s="221" t="s">
        <v>52</v>
      </c>
      <c r="D48" s="220" t="s">
        <v>76</v>
      </c>
      <c r="E48" s="220" t="s">
        <v>117</v>
      </c>
      <c r="F48" s="220" t="s">
        <v>118</v>
      </c>
      <c r="G48" s="220" t="s">
        <v>92</v>
      </c>
      <c r="H48" s="525" t="s">
        <v>410</v>
      </c>
      <c r="I48" s="70" t="s">
        <v>411</v>
      </c>
      <c r="J48" s="227" t="s">
        <v>412</v>
      </c>
      <c r="K48" s="220">
        <f>IFERROR(VLOOKUP(Table9[[#This Row],[Land Availability (Grade)​
(50%)]],'Detailed Rubric V3'!$B$8:$C$11,2), 0)</f>
        <v>4</v>
      </c>
      <c r="L48" s="220">
        <f>IFERROR(Table9[[#This Row],[Land Availability (Grade)​ Score]]*'Detailed Rubric V3'!$C$6, "")</f>
        <v>2</v>
      </c>
      <c r="M48" s="222">
        <v>197.01</v>
      </c>
      <c r="N48" s="222" cm="1">
        <f t="array" ref="N48">_xlfn.IFS(Table9[[#This Row],[Land Size (Acres)
(15%)]]&lt;100,0,Table9[[#This Row],[Land Size (Acres)
(15%)]]&gt;500,4,TRUE,2)</f>
        <v>2</v>
      </c>
      <c r="O48" s="222">
        <f>Table9[[#This Row],[Land Size (Acres) Score]]*'Detailed Rubric V3'!$G$6</f>
        <v>0.3</v>
      </c>
      <c r="P48" s="526"/>
      <c r="Q48" s="526">
        <f>IFERROR(Table9[[#This Row],[Site Filling Cost (Mn BDT)]]/Table9[[#This Row],[Land Size (Acres)
(15%)]],"")</f>
        <v>0</v>
      </c>
      <c r="R48" s="526" cm="1">
        <f t="array" ref="R48">IF(Table9[[#This Row],[Name]]="Sitakundo Economic Zone", 4, _xlfn.IFS(Table9[[#This Row],[Site Filling Cost (Mn BDT)]]="",0,Table9[[#This Row],[Land Suitability
(Cost of Land Filling in Million BDT per acre)
(25%)]]&gt;5,0,Table9[[#This Row],[Land Suitability
(Cost of Land Filling in Million BDT per acre)
(25%)]]&lt;2,4,TRUE,2))</f>
        <v>0</v>
      </c>
      <c r="S48" s="526">
        <f>Table9[[#This Row],[Land Suitability for Construction Score]]*'Detailed Rubric V3'!$J$6</f>
        <v>0</v>
      </c>
      <c r="T48" s="526"/>
      <c r="U48" s="526">
        <f>IFERROR(Table9[[#This Row],[Embankment/Dyke Cost (Mn BDT)]]/Table9[[#This Row],[Land Size (Acres)
(15%)]], 0)</f>
        <v>0</v>
      </c>
      <c r="V48" s="526" cm="1">
        <f t="array" ref="V48">IF(Table9[[#This Row],[Name]]="Sitakundo Economic Zone", 2, _xlfn.IFS(Table9[[#This Row],[Embankment/Dyke Cost (Mn BDT)]]="",0,Table9[[#This Row],[Cost of DRRI Infrastructure in million BDT per acre
(10%)]]&gt;5,0,Table9[[#This Row],[Cost of DRRI Infrastructure in million BDT per acre
(10%)]]&lt;2,4,TRUE,2))</f>
        <v>0</v>
      </c>
      <c r="W48" s="526">
        <f>Table9[[#This Row],[Requirement for Distaster Risk Reduction &amp; Resilience Infrastructure Score]]*'Detailed Rubric V3'!$M$6</f>
        <v>0</v>
      </c>
      <c r="X48"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0.45999999999999996</v>
      </c>
      <c r="Y48" s="227" t="s">
        <v>440</v>
      </c>
      <c r="Z48" s="210">
        <f>IFERROR(VLOOKUP(Table9[[#This Row],[Zone Priority
(40%)]],'Detailed Rubric V3'!$B$18:$C$21, 2,FALSE), 0)</f>
        <v>4</v>
      </c>
      <c r="AA48" s="210">
        <f>IFERROR(Table9[[#This Row],[Zone Priority Score]]*'Detailed Rubric V3'!$C$16, 0)</f>
        <v>0</v>
      </c>
      <c r="AB48" s="237" t="s">
        <v>441</v>
      </c>
      <c r="AC48" s="237">
        <f>VLOOKUP(Table9[[#This Row],[Existing BEZA Report
(60%)]],'Detailed Rubric V3'!$E$18:$F$20,2,FALSE)</f>
        <v>0</v>
      </c>
      <c r="AD48" s="237">
        <f>Table9[[#This Row],[Existing BEZA Report Score]]*'Detailed Rubric V3'!F$16</f>
        <v>0</v>
      </c>
      <c r="AE48" s="237">
        <f>(Table9[[#This Row],[Zone Priority Weighted Score]]+Table9[[#This Row],[Existing BEZA Report Weighted Score]])*'Detailed Rubric V3'!$C$14</f>
        <v>0</v>
      </c>
      <c r="AF48" s="528">
        <v>5</v>
      </c>
      <c r="AG48" s="529" cm="1">
        <f t="array" ref="AG48">_xlfn.IFS(Table9[[#This Row],[Existing Sectors
(50%)]]&gt;10, 4,Table9[[#This Row],[Existing Sectors
(50%)]]&lt;5, 0, TRUE, 2)</f>
        <v>2</v>
      </c>
      <c r="AH48" s="529">
        <f>Table9[[#This Row],[Existing Sectors Score]]*'Detailed Rubric V3'!$C$25</f>
        <v>1</v>
      </c>
      <c r="AI48" s="529">
        <v>6</v>
      </c>
      <c r="AJ48" s="529">
        <v>1</v>
      </c>
      <c r="AK48" s="529" cm="1">
        <f t="array" ref="AK48">_xlfn.IFS(Table9[[#This Row],[Potential New Sectors
(50%)]]&gt;5, 4, Table9[[#This Row],[Potential New Sectors
(50%)]]&lt;2,0, TRUE, 2)</f>
        <v>0</v>
      </c>
      <c r="AL48" s="529">
        <f>Table9[[#This Row],[Potential New Sectors Score]]*'Detailed Rubric V3'!$F$25</f>
        <v>0</v>
      </c>
      <c r="AM48" s="232">
        <f>(Table9[[#This Row],[Existing Sectors Weighted Score]]+Table9[[#This Row],[Potential New Sectors Weighted Score]])*'Detailed Rubric V3'!$C$23</f>
        <v>0.15</v>
      </c>
      <c r="AN48" s="530">
        <f>SUM(Table9[[#This Row],[1.1. Land Details (20% weightage)]],Table9[[#This Row],[1.2. BEZA Existing plans (15% weightage)]],Table9[[#This Row],[1.3. Sector Demand (15% weightage):]])</f>
        <v>0.61</v>
      </c>
      <c r="AO48" s="531">
        <f>_xlfn.RANK.EQ(Table9[[#This Row],[Level 1 Score]],$AN$3:$AN$103)</f>
        <v>52</v>
      </c>
      <c r="AP48" s="529">
        <v>1</v>
      </c>
      <c r="AQ48" s="529" cm="1">
        <f t="array" ref="AQ48">_xlfn.IFS(Table9[[#This Row],[National Highway Connectivity (km)
(15%)]]="", 0, Table9[[#This Row],[National Highway Connectivity (km)
(15%)]]&gt;50, 0, Table9[[#This Row],[National Highway Connectivity (km)
(15%)]]&lt;=25, 4, TRUE, 2)</f>
        <v>4</v>
      </c>
      <c r="AR48" s="529">
        <f>Table9[[#This Row],[National Highway Connectivity Score]]*'Detailed Rubric V3'!$C$35</f>
        <v>0.6</v>
      </c>
      <c r="AS48" s="529" t="s">
        <v>417</v>
      </c>
      <c r="AT48" s="529" cm="1">
        <f t="array" ref="AT48">_xlfn.IFS(Table9[[#This Row],[Connecting Road to Highway (km)
(15%)]]="", 0, Table9[[#This Row],[Connecting Road to Highway (km)
(15%)]]="Yes", 4, TRUE, 0)</f>
        <v>4</v>
      </c>
      <c r="AU48" s="529">
        <f>Table9[[#This Row],[Connecting Road to Highway Score]]*'Detailed Rubric V3'!$F$35</f>
        <v>0.6</v>
      </c>
      <c r="AV48" s="529">
        <v>204</v>
      </c>
      <c r="AW48" s="529" cm="1">
        <f t="array" ref="AW48">_xlfn.IFS(Table9[[#This Row],[Seaport Connectivity (km)
(30%)]]="",0, Table9[[#This Row],[Seaport Connectivity (km)
(30%)]]&gt;400, 0,Table9[[#This Row],[Seaport Connectivity (km)
(30%)]]&lt;=200,4, TRUE, 2)</f>
        <v>2</v>
      </c>
      <c r="AX48" s="529">
        <f>Table9[[#This Row],[Seaport Connectivity Score]]*'Detailed Rubric V3'!$I$35</f>
        <v>0.6</v>
      </c>
      <c r="AY48" s="529">
        <v>57</v>
      </c>
      <c r="AZ48" s="529" cm="1">
        <f t="array" ref="AZ48">_xlfn.IFS(Table9[[#This Row],[Airport Connectivity (km)
(10%)]]="", 0, Table9[[#This Row],[Airport Connectivity (km)
(10%)]]&gt;200, 0, Table9[[#This Row],[Airport Connectivity (km)
(10%)]]&lt;=100,4,TRUE, 2)</f>
        <v>4</v>
      </c>
      <c r="BA48" s="529">
        <f>Table9[[#This Row],[Airport Connectivity Score]]*'Detailed Rubric V3'!$C$41</f>
        <v>0.4</v>
      </c>
      <c r="BB48" s="529">
        <v>41</v>
      </c>
      <c r="BC48" s="529" cm="1">
        <f t="array" ref="BC48">_xlfn.IFS(Table9[[#This Row],[Railway Station (km)
(10%)]]="", 0, Table9[[#This Row],[Railway Station (km)
(10%)]]&gt;150, 0,Table9[[#This Row],[Railway Station (km)
(10%)]]&lt;=50,4, TRUE, 2)</f>
        <v>4</v>
      </c>
      <c r="BD48" s="529">
        <f>Table9[[#This Row],[Railway Station Score]]*'Detailed Rubric V3'!$F$41</f>
        <v>0.4</v>
      </c>
      <c r="BE48" s="529">
        <v>88</v>
      </c>
      <c r="BF48" s="529" cm="1">
        <f t="array" ref="BF48">_xlfn.IFS(Table9[[#This Row],[Inland waterway/ Land port (km)
(20%)]]="", 0, Table9[[#This Row],[Inland waterway/ Land port (km)
(20%)]]&gt;200, 0,Table9[[#This Row],[Inland waterway/ Land port (km)
(20%)]]&lt;=50,4, TRUE, 2)</f>
        <v>2</v>
      </c>
      <c r="BG48" s="529">
        <f>Table9[[#This Row],[Inland waterway/ Land port Score]]*'Detailed Rubric V3'!$I$41</f>
        <v>0.4</v>
      </c>
      <c r="BH48"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v>
      </c>
      <c r="BI48" s="529">
        <v>15.5</v>
      </c>
      <c r="BJ48" s="529" cm="1">
        <f t="array" ref="BJ48">_xlfn.IFS(Table9[[#This Row],[Power Station (40%)]]="",0, Table9[[#This Row],[Power Station (40%)]]&gt;100, 0,Table9[[#This Row],[Power Station (40%)]]&lt;=50,4, TRUE, 2)</f>
        <v>4</v>
      </c>
      <c r="BK48" s="529">
        <f>Table9[[#This Row],[Power Station Score]]*'Detailed Rubric V3'!$C$53</f>
        <v>1.6</v>
      </c>
      <c r="BL48" s="529">
        <v>33</v>
      </c>
      <c r="BM48" s="529" cm="1">
        <f t="array" ref="BM48">IF(ISNUMBER(Table9[[#This Row],[Gas Station (20%)]]), _xlfn.IFS(Table9[[#This Row],[Gas Station (20%)]]="", 0, Table9[[#This Row],[Gas Station (20%)]]&gt;100, 0,Table9[[#This Row],[Gas Station (20%)]]&lt;=50,4, TRUE, 2), 0)</f>
        <v>4</v>
      </c>
      <c r="BN48" s="529">
        <f>Table9[[#This Row],[Gas Station Score]]*'Detailed Rubric V3'!$F$53</f>
        <v>0.8</v>
      </c>
      <c r="BO48" s="529">
        <v>1</v>
      </c>
      <c r="BP48" s="529" cm="1">
        <f t="array" ref="BP48">IF(ISNUMBER(Table9[[#This Row],[Source of Surface Water (40%)]]), _xlfn.IFS(Table9[[#This Row],[Source of Surface Water (40%)]]="", 0, Table9[[#This Row],[Source of Surface Water (40%)]]&gt;50, 0,Table9[[#This Row],[Source of Surface Water (40%)]]&lt;=20,4, TRUE, 2), 0)</f>
        <v>4</v>
      </c>
      <c r="BQ48" s="529">
        <f>Table9[[#This Row],[Source of Surface Water Score]]*'Detailed Rubric V3'!$I$53</f>
        <v>1.6</v>
      </c>
      <c r="BR48" s="529">
        <f>SUM(Table9[[#This Row],[Power Station Weighted Score]],Table9[[#This Row],[Gas Station Weighted Score]],Table9[[#This Row],[Source of Surface Water Weighted Score]])*'Detailed Rubric V3'!$C$51</f>
        <v>0.48</v>
      </c>
      <c r="BS48" s="529" t="s">
        <v>417</v>
      </c>
      <c r="BT48" s="529" cm="1">
        <f t="array" ref="BT48">_xlfn.IFS(Table9[[#This Row],[Other BEZA EZ (20%)]]="", 0, Table9[[#This Row],[Other BEZA EZ (20%)]]="Yes", 4, TRUE, 0)</f>
        <v>4</v>
      </c>
      <c r="BU48" s="529">
        <f>Table9[[#This Row],[Other BEZA EZ Score]]*'Detailed Rubric V3'!$C$66</f>
        <v>0.8</v>
      </c>
      <c r="BV48" s="529" t="s">
        <v>417</v>
      </c>
      <c r="BW48" s="529" cm="1">
        <f t="array" ref="BW48">_xlfn.IFS(Table9[[#This Row],[BEPZA/ BHPTA/ BSCIC (20%)]]="", 0, Table9[[#This Row],[BEPZA/ BHPTA/ BSCIC (20%)]]="Yes", 4, TRUE, 0)</f>
        <v>4</v>
      </c>
      <c r="BX48" s="529">
        <f>Table9[[#This Row],[BEPZA/ BHPTA/ BSCIC Score]]*'Detailed Rubric V3'!$F$66</f>
        <v>0.8</v>
      </c>
      <c r="BY48" s="529">
        <v>72</v>
      </c>
      <c r="BZ48" s="529" cm="1">
        <f t="array" ref="BZ48">_xlfn.IFS(Table9[[#This Row],[Cluster Industries (from SMI) (20%)]]="", 0, Table9[[#This Row],[Cluster Industries (from SMI) (20%)]]&gt;100, 4, Table9[[#This Row],[Cluster Industries (from SMI) (20%)]]&lt;50, 0, TRUE, 2)</f>
        <v>2</v>
      </c>
      <c r="CA48" s="529">
        <f>Table9[[#This Row],[Cluster Industries (from SMI) Score]]*'Detailed Rubric V3'!$I$66</f>
        <v>0.4</v>
      </c>
      <c r="CB48" s="529" t="s">
        <v>418</v>
      </c>
      <c r="CC48" s="529" cm="1">
        <f t="array" ref="CC48">_xlfn.IFS(Table9[[#This Row],[Located on Industrial corridor (40%)]]="", 0, Table9[[#This Row],[Located on Industrial corridor (40%)]]="Yes", 4, TRUE, 0)</f>
        <v>0</v>
      </c>
      <c r="CD48" s="529">
        <f>Table9[[#This Row],[Located on Industrial corridor Score]]*'Detailed Rubric V3'!$L$66</f>
        <v>0</v>
      </c>
      <c r="CE48" s="529">
        <f>SUM(Table9[[#This Row],[Other BEZA EZ Weighted Score]],Table9[[#This Row],[BEPZA/ BHPTA/ BSCIC Weighted Score]],Table9[[#This Row],[Unorganized (from SMI) Weighted Score]],Table9[[#This Row],[Located on Industrial corridor Weighted Score]])*'Detailed Rubric V3'!$C$64</f>
        <v>0.2</v>
      </c>
      <c r="CF48" s="529" t="s">
        <v>417</v>
      </c>
      <c r="CG48" s="529" cm="1">
        <f t="array" ref="CG48">_xlfn.IFS(Table9[[#This Row],[Economic/ Social priority (laggered area) (100%)]]="", 0, Table9[[#This Row],[Economic/ Social priority (laggered area) (100%)]]="Yes", 4, TRUE, 0)</f>
        <v>4</v>
      </c>
      <c r="CH48" s="529">
        <f>Table9[[#This Row],[Economic/ Social priority (laggered area) Score]]*'Detailed Rubric V3'!$C$82</f>
        <v>4</v>
      </c>
      <c r="CI48" s="529" t="s">
        <v>417</v>
      </c>
      <c r="CJ48" s="529" cm="1">
        <f t="array" ref="CJ48">_xlfn.IFS(Table9[[#This Row],[Regional Tax incentive  (0%)]]="", 0, Table9[[#This Row],[Regional Tax incentive  (0%)]]="Yes", 4, TRUE, 0)</f>
        <v>4</v>
      </c>
      <c r="CK48" s="529">
        <f>Table9[[#This Row],[Regional Tax incentive Score]]*'Detailed Rubric V3'!$F$82</f>
        <v>0</v>
      </c>
      <c r="CL48" s="529">
        <f>SUM(Table9[[#This Row],[Economic/ Social priority (laagered area) Weighted Score]],Table9[[#This Row],[Regional Tax incentive  Weighted Score]])*'Detailed Rubric V3'!$C$80</f>
        <v>0.16</v>
      </c>
      <c r="CM48" s="529">
        <v>171975</v>
      </c>
      <c r="CN48" s="529" cm="1">
        <f t="array" ref="CN48">_xlfn.IFS(Table9[[#This Row],[Employable population (40%) 2013]]="", 0, Table9[[#This Row],[Employable population (40%) 2013]]&gt;200000, 4, Table9[[#This Row],[Employable population (40%) 2013]]&lt;100000,0, TRUE, 2)</f>
        <v>2</v>
      </c>
      <c r="CO48" s="529">
        <f>Table9[[#This Row],[Employable population Score]]*'Detailed Rubric V3'!$C$92</f>
        <v>0.8</v>
      </c>
      <c r="CP48" s="529">
        <v>10</v>
      </c>
      <c r="CQ48" s="529" cm="1">
        <f t="array" ref="CQ48">_xlfn.IFS(Table9[[#This Row],[Housing (20%)]]="", 0, Table9[[#This Row],[Housing (20%)]]&gt;50, 0, Table9[[#This Row],[Housing (20%)]]&lt;25, 4, TRUE, 2)</f>
        <v>4</v>
      </c>
      <c r="CR48" s="529">
        <f>Table9[[#This Row],[Housing Score]]*'Detailed Rubric V3'!$F$92</f>
        <v>0.8</v>
      </c>
      <c r="CS48" s="529">
        <v>60</v>
      </c>
      <c r="CT48" s="529" cm="1">
        <f t="array" ref="CT48">_xlfn.IFS(Table9[[#This Row],[Hotels (10%)]]="", 0, Table9[[#This Row],[Hotels (10%)]]&gt;25, 4, Table9[[#This Row],[Hotels (10%)]]&lt;5, 0, TRUE, 2)</f>
        <v>4</v>
      </c>
      <c r="CU48" s="529">
        <f>Table9[[#This Row],[Hotels Score]]*'Detailed Rubric V3'!$I$92</f>
        <v>0.4</v>
      </c>
      <c r="CV48" s="529">
        <v>68</v>
      </c>
      <c r="CW48" s="529" cm="1">
        <f t="array" ref="CW48">_xlfn.IFS(Table9[[#This Row],[Health (Hospital) (15%)]]="", 0, Table9[[#This Row],[Health (Hospital) (15%)]]&gt;10, 4, Table9[[#This Row],[Health (Hospital) (15%)]]&lt;5, 0, TRUE, 2)</f>
        <v>4</v>
      </c>
      <c r="CX48" s="529">
        <f>Table9[[#This Row],[Health (Hospital) Score]]*'Detailed Rubric V3'!$L$92</f>
        <v>0.6</v>
      </c>
      <c r="CY48" s="529">
        <v>78</v>
      </c>
      <c r="CZ48" s="529" cm="1">
        <f t="array" ref="CZ48">_xlfn.IFS(Table9[[#This Row],[University/ Technical &amp; Vocational Institutions (15%)]]="", 0, Table9[[#This Row],[University/ Technical &amp; Vocational Institutions (15%)]]&gt;3, 4, Table9[[#This Row],[University/ Technical &amp; Vocational Institutions (15%)]]&lt;1, 0, TRUE, 2)</f>
        <v>4</v>
      </c>
      <c r="DA48" s="529">
        <f>Table9[[#This Row],[University/ Technical &amp; Vocational Institutions Score]]*'Detailed Rubric V3'!$O$92</f>
        <v>0.6</v>
      </c>
      <c r="DB48" s="529">
        <f>SUM(Table9[[#This Row],[Employable population Weighted Score]],Table9[[#This Row],[Housing Weighted Score]],Table9[[#This Row],[Hotels Weighted Score]],Table9[[#This Row],[Health (Hospital) Weighted Score]],Table9[[#This Row],[University/ Technical &amp; Vocational Institutions Weighted Score]])*'Detailed Rubric V3'!$C$90</f>
        <v>0.25600000000000001</v>
      </c>
      <c r="DC48" s="529" t="s">
        <v>418</v>
      </c>
      <c r="DD48" s="529" cm="1">
        <f t="array" ref="DD48">_xlfn.IFS(Table9[[#This Row],[Environment compliance (30%)]]="", 0, Table9[[#This Row],[Environment compliance (30%)]]="Yes", 4, TRUE, 0)</f>
        <v>0</v>
      </c>
      <c r="DE48" s="529">
        <f>Table9[[#This Row],[Environment compliance Score]]*'Detailed Rubric V3'!$C$104</f>
        <v>0</v>
      </c>
      <c r="DF48" s="529" t="s">
        <v>421</v>
      </c>
      <c r="DG48" s="529" cm="1">
        <f t="array" ref="DG48">_xlfn.IFS(Table9[[#This Row],[Flood Risk Index (30%)]]="", 0, Table9[[#This Row],[Flood Risk Index (30%)]]="Very Low", 4, Table9[[#This Row],[Flood Risk Index (30%)]]="Moderate &amp; Low", 2, TRUE, 0)</f>
        <v>0</v>
      </c>
      <c r="DH48" s="529">
        <f>Table9[[#This Row],[Flood Risk Index Score]]*'Detailed Rubric V3'!$F$104</f>
        <v>0</v>
      </c>
      <c r="DI48" s="529" t="s">
        <v>421</v>
      </c>
      <c r="DJ48" s="529" cm="1">
        <f t="array" ref="DJ48">_xlfn.IFS(Table9[[#This Row],[Earth Quake Risk Index (10%)]]="", 0, Table9[[#This Row],[Earth Quake Risk Index (10%)]]="Very Low", 4, Table9[[#This Row],[Earth Quake Risk Index (10%)]]="Moderate &amp; Low", 2, TRUE, 0)</f>
        <v>0</v>
      </c>
      <c r="DK48" s="529">
        <f>Table9[[#This Row],[Earth Quake Risk Index Score]]*'Detailed Rubric V3'!$I$104</f>
        <v>0</v>
      </c>
      <c r="DL48" s="529" t="s">
        <v>428</v>
      </c>
      <c r="DM48" s="529" cm="1">
        <f t="array" ref="DM48">_xlfn.IFS(Table9[[#This Row],[Sea Level Rise Risk Index (10%)]]="", 0, Table9[[#This Row],[Sea Level Rise Risk Index (10%)]]="Very Low", 4, Table9[[#This Row],[Sea Level Rise Risk Index (10%)]]="Moderate &amp; Low", 2, TRUE, 0)</f>
        <v>4</v>
      </c>
      <c r="DN48" s="529">
        <f>Table9[[#This Row],[Sea Level Rise  Risk Index Score]]*'Detailed Rubric V3'!$L$104</f>
        <v>0.4</v>
      </c>
      <c r="DO48" s="529" t="s">
        <v>419</v>
      </c>
      <c r="DP48" s="529" cm="1">
        <f t="array" ref="DP48">_xlfn.IFS(Table9[[#This Row],[Cyclone Risk Index (10%)]]="", 0, Table9[[#This Row],[Cyclone Risk Index (10%)]]="Very Low", 4, Table9[[#This Row],[Cyclone Risk Index (10%)]]="Moderate &amp; Low", 2, TRUE, 0)</f>
        <v>2</v>
      </c>
      <c r="DQ48" s="529">
        <f>Table9[[#This Row],[Cyclone Risk Index Score]]*'Detailed Rubric V3'!$O$104</f>
        <v>0.2</v>
      </c>
      <c r="DR48" s="529" t="s">
        <v>428</v>
      </c>
      <c r="DS48" s="529" cm="1">
        <f t="array" ref="DS48">_xlfn.IFS(Table9[[#This Row],[Storm Surge Risk Index (10%)]]="", 0, Table9[[#This Row],[Storm Surge Risk Index (10%)]]="Very Low", 4, Table9[[#This Row],[Storm Surge Risk Index (10%)]]="Moderate &amp; Low", 2, TRUE, 0)</f>
        <v>4</v>
      </c>
      <c r="DT48" s="529">
        <f>Table9[[#This Row],[Storm Surge Risk Index Score]]*'Detailed Rubric V3'!$R$104</f>
        <v>0.4</v>
      </c>
      <c r="DU48"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48" s="533">
        <f>SUM(Table9[[#This Row],[2.1. Connectivity/ Logistics (10% weightage)]],Table9[[#This Row],[2.2. Utility (12% weightage)]],Table9[[#This Row],[2.3. Agglomeration effects (10% weightage)]],Table9[[#This Row],[2.4. Regional Policy (4% weightage)]],Table9[[#This Row],[2.5. Social (8% weightage)]],Table9[[#This Row],[2.6. Environment (6% weightage)]])</f>
        <v>1.456</v>
      </c>
      <c r="DW48" s="232">
        <f>_xlfn.RANK.EQ(Table9[[#This Row],[Level 2 Score]],$DV$3:$DV$103)</f>
        <v>35</v>
      </c>
      <c r="DX48" s="533">
        <f>Table9[[#This Row],[Level 1 Score]]+Table9[[#This Row],[Level 2 Score]]</f>
        <v>2.0659999999999998</v>
      </c>
      <c r="DY48" s="232">
        <f>_xlfn.RANK.EQ(Table9[[#This Row],[Total Score]],$DX$3:$DX$103)</f>
        <v>46</v>
      </c>
      <c r="DZ48" s="237" t="str">
        <f>IF(Table9[[#This Row],[Count of Blanks]]&lt;=2, "Yes", "No")</f>
        <v>Yes</v>
      </c>
      <c r="EA48" s="237">
        <f>COUNTBLANK(Table9[[#This Row],[Name]:[Total Score Rank]])</f>
        <v>2</v>
      </c>
      <c r="EB48" s="237"/>
    </row>
    <row r="49" spans="2:132" ht="27" x14ac:dyDescent="0.25">
      <c r="B49" s="220">
        <v>6</v>
      </c>
      <c r="C49" s="221" t="s">
        <v>62</v>
      </c>
      <c r="D49" s="220" t="s">
        <v>119</v>
      </c>
      <c r="E49" s="220" t="s">
        <v>134</v>
      </c>
      <c r="F49" s="220" t="s">
        <v>135</v>
      </c>
      <c r="G49" s="220" t="s">
        <v>70</v>
      </c>
      <c r="H49" s="525" t="s">
        <v>422</v>
      </c>
      <c r="I49" s="70" t="s">
        <v>459</v>
      </c>
      <c r="J49" s="227" t="s">
        <v>444</v>
      </c>
      <c r="K49" s="220">
        <f>IFERROR(VLOOKUP(Table9[[#This Row],[Land Availability (Grade)​
(50%)]],'Detailed Rubric V3'!$B$8:$C$11,2), 0)</f>
        <v>0</v>
      </c>
      <c r="L49" s="220">
        <f>IFERROR(Table9[[#This Row],[Land Availability (Grade)​ Score]]*'Detailed Rubric V3'!$C$6, "")</f>
        <v>0</v>
      </c>
      <c r="M49" s="222">
        <v>304.07</v>
      </c>
      <c r="N49" s="222" cm="1">
        <f t="array" ref="N49">_xlfn.IFS(Table9[[#This Row],[Land Size (Acres)
(15%)]]&lt;100,0,Table9[[#This Row],[Land Size (Acres)
(15%)]]&gt;500,4,TRUE,2)</f>
        <v>2</v>
      </c>
      <c r="O49" s="222">
        <f>Table9[[#This Row],[Land Size (Acres) Score]]*'Detailed Rubric V3'!$G$6</f>
        <v>0.3</v>
      </c>
      <c r="P49" s="526">
        <v>994</v>
      </c>
      <c r="Q49" s="526">
        <f>IFERROR(Table9[[#This Row],[Site Filling Cost (Mn BDT)]]/Table9[[#This Row],[Land Size (Acres)
(15%)]],"")</f>
        <v>3.2689841154997206</v>
      </c>
      <c r="R49" s="526" cm="1">
        <f t="array" ref="R49">IF(Table9[[#This Row],[Name]]="Sitakundo Economic Zone", 4, _xlfn.IFS(Table9[[#This Row],[Site Filling Cost (Mn BDT)]]="",0,Table9[[#This Row],[Land Suitability
(Cost of Land Filling in Million BDT per acre)
(25%)]]&gt;5,0,Table9[[#This Row],[Land Suitability
(Cost of Land Filling in Million BDT per acre)
(25%)]]&lt;2,4,TRUE,2))</f>
        <v>2</v>
      </c>
      <c r="S49" s="526">
        <f>Table9[[#This Row],[Land Suitability for Construction Score]]*'Detailed Rubric V3'!$J$6</f>
        <v>0.5</v>
      </c>
      <c r="T49" s="526">
        <v>1052.5</v>
      </c>
      <c r="U49" s="526">
        <f>IFERROR(Table9[[#This Row],[Embankment/Dyke Cost (Mn BDT)]]/Table9[[#This Row],[Land Size (Acres)
(15%)]], 0)</f>
        <v>3.4613740257177623</v>
      </c>
      <c r="V49" s="526" cm="1">
        <f t="array" ref="V49">IF(Table9[[#This Row],[Name]]="Sitakundo Economic Zone", 2, _xlfn.IFS(Table9[[#This Row],[Embankment/Dyke Cost (Mn BDT)]]="",0,Table9[[#This Row],[Cost of DRRI Infrastructure in million BDT per acre
(10%)]]&gt;5,0,Table9[[#This Row],[Cost of DRRI Infrastructure in million BDT per acre
(10%)]]&lt;2,4,TRUE,2))</f>
        <v>2</v>
      </c>
      <c r="W49" s="526">
        <f>Table9[[#This Row],[Requirement for Distaster Risk Reduction &amp; Resilience Infrastructure Score]]*'Detailed Rubric V3'!$M$6</f>
        <v>0.2</v>
      </c>
      <c r="X49"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v>
      </c>
      <c r="Y49" s="452" t="s">
        <v>436</v>
      </c>
      <c r="Z49" s="210">
        <f>IFERROR(VLOOKUP(Table9[[#This Row],[Zone Priority
(40%)]],'Detailed Rubric V3'!$B$18:$C$21, 2,FALSE), 0)</f>
        <v>0</v>
      </c>
      <c r="AA49" s="210">
        <f>IFERROR(Table9[[#This Row],[Zone Priority Score]]*'Detailed Rubric V3'!$C$16, 0)</f>
        <v>0</v>
      </c>
      <c r="AB49" s="237" t="s">
        <v>416</v>
      </c>
      <c r="AC49" s="237">
        <f>VLOOKUP(Table9[[#This Row],[Existing BEZA Report
(60%)]],'Detailed Rubric V3'!$E$18:$F$20,2,FALSE)</f>
        <v>4</v>
      </c>
      <c r="AD49" s="237">
        <f>Table9[[#This Row],[Existing BEZA Report Score]]*'Detailed Rubric V3'!F$16</f>
        <v>4</v>
      </c>
      <c r="AE49" s="237">
        <f>(Table9[[#This Row],[Zone Priority Weighted Score]]+Table9[[#This Row],[Existing BEZA Report Weighted Score]])*'Detailed Rubric V3'!$C$14</f>
        <v>0.6</v>
      </c>
      <c r="AF49" s="528">
        <v>1</v>
      </c>
      <c r="AG49" s="529" cm="1">
        <f t="array" ref="AG49">_xlfn.IFS(Table9[[#This Row],[Existing Sectors
(50%)]]&gt;10, 4,Table9[[#This Row],[Existing Sectors
(50%)]]&lt;5, 0, TRUE, 2)</f>
        <v>0</v>
      </c>
      <c r="AH49" s="529">
        <f>Table9[[#This Row],[Existing Sectors Score]]*'Detailed Rubric V3'!$C$25</f>
        <v>0</v>
      </c>
      <c r="AI49" s="529">
        <v>1</v>
      </c>
      <c r="AJ49" s="529">
        <v>0</v>
      </c>
      <c r="AK49" s="529" cm="1">
        <f t="array" ref="AK49">_xlfn.IFS(Table9[[#This Row],[Potential New Sectors
(50%)]]&gt;5, 4, Table9[[#This Row],[Potential New Sectors
(50%)]]&lt;2,0, TRUE, 2)</f>
        <v>0</v>
      </c>
      <c r="AL49" s="529">
        <f>Table9[[#This Row],[Potential New Sectors Score]]*'Detailed Rubric V3'!$F$25</f>
        <v>0</v>
      </c>
      <c r="AM49" s="232">
        <f>(Table9[[#This Row],[Existing Sectors Weighted Score]]+Table9[[#This Row],[Potential New Sectors Weighted Score]])*'Detailed Rubric V3'!$C$23</f>
        <v>0</v>
      </c>
      <c r="AN49" s="530">
        <f>SUM(Table9[[#This Row],[1.1. Land Details (20% weightage)]],Table9[[#This Row],[1.2. BEZA Existing plans (15% weightage)]],Table9[[#This Row],[1.3. Sector Demand (15% weightage):]])</f>
        <v>0.8</v>
      </c>
      <c r="AO49" s="531">
        <f>_xlfn.RANK.EQ(Table9[[#This Row],[Level 1 Score]],$AN$3:$AN$103)</f>
        <v>33</v>
      </c>
      <c r="AP49" s="529">
        <v>30</v>
      </c>
      <c r="AQ49" s="529" cm="1">
        <f t="array" ref="AQ49">_xlfn.IFS(Table9[[#This Row],[National Highway Connectivity (km)
(15%)]]="", 0, Table9[[#This Row],[National Highway Connectivity (km)
(15%)]]&gt;50, 0, Table9[[#This Row],[National Highway Connectivity (km)
(15%)]]&lt;=25, 4, TRUE, 2)</f>
        <v>2</v>
      </c>
      <c r="AR49" s="529">
        <f>Table9[[#This Row],[National Highway Connectivity Score]]*'Detailed Rubric V3'!$C$35</f>
        <v>0.3</v>
      </c>
      <c r="AS49" s="529" t="s">
        <v>418</v>
      </c>
      <c r="AT49" s="529" cm="1">
        <f t="array" ref="AT49">_xlfn.IFS(Table9[[#This Row],[Connecting Road to Highway (km)
(15%)]]="", 0, Table9[[#This Row],[Connecting Road to Highway (km)
(15%)]]="Yes", 4, TRUE, 0)</f>
        <v>0</v>
      </c>
      <c r="AU49" s="529">
        <f>Table9[[#This Row],[Connecting Road to Highway Score]]*'Detailed Rubric V3'!$F$35</f>
        <v>0</v>
      </c>
      <c r="AV49" s="529">
        <v>206</v>
      </c>
      <c r="AW49" s="529" cm="1">
        <f t="array" ref="AW49">_xlfn.IFS(Table9[[#This Row],[Seaport Connectivity (km)
(30%)]]="",0, Table9[[#This Row],[Seaport Connectivity (km)
(30%)]]&gt;400, 0,Table9[[#This Row],[Seaport Connectivity (km)
(30%)]]&lt;=200,4, TRUE, 2)</f>
        <v>2</v>
      </c>
      <c r="AX49" s="529">
        <f>Table9[[#This Row],[Seaport Connectivity Score]]*'Detailed Rubric V3'!$I$35</f>
        <v>0.6</v>
      </c>
      <c r="AY49" s="529">
        <v>53</v>
      </c>
      <c r="AZ49" s="529" cm="1">
        <f t="array" ref="AZ49">_xlfn.IFS(Table9[[#This Row],[Airport Connectivity (km)
(10%)]]="", 0, Table9[[#This Row],[Airport Connectivity (km)
(10%)]]&gt;200, 0, Table9[[#This Row],[Airport Connectivity (km)
(10%)]]&lt;=100,4,TRUE, 2)</f>
        <v>4</v>
      </c>
      <c r="BA49" s="529">
        <f>Table9[[#This Row],[Airport Connectivity Score]]*'Detailed Rubric V3'!$C$41</f>
        <v>0.4</v>
      </c>
      <c r="BB49" s="529" t="s">
        <v>460</v>
      </c>
      <c r="BC49" s="529" cm="1">
        <f t="array" ref="BC49">_xlfn.IFS(Table9[[#This Row],[Railway Station (km)
(10%)]]="", 0, Table9[[#This Row],[Railway Station (km)
(10%)]]&gt;150, 0,Table9[[#This Row],[Railway Station (km)
(10%)]]&lt;=50,4, TRUE, 2)</f>
        <v>0</v>
      </c>
      <c r="BD49" s="529">
        <f>Table9[[#This Row],[Railway Station Score]]*'Detailed Rubric V3'!$F$41</f>
        <v>0</v>
      </c>
      <c r="BE49" s="529">
        <v>171</v>
      </c>
      <c r="BF49" s="529" cm="1">
        <f t="array" ref="BF49">_xlfn.IFS(Table9[[#This Row],[Inland waterway/ Land port (km)
(20%)]]="", 0, Table9[[#This Row],[Inland waterway/ Land port (km)
(20%)]]&gt;200, 0,Table9[[#This Row],[Inland waterway/ Land port (km)
(20%)]]&lt;=50,4, TRUE, 2)</f>
        <v>2</v>
      </c>
      <c r="BG49" s="529">
        <f>Table9[[#This Row],[Inland waterway/ Land port Score]]*'Detailed Rubric V3'!$I$41</f>
        <v>0.4</v>
      </c>
      <c r="BH49"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0.16999999999999998</v>
      </c>
      <c r="BI49" s="529">
        <v>18</v>
      </c>
      <c r="BJ49" s="529" cm="1">
        <f t="array" ref="BJ49">_xlfn.IFS(Table9[[#This Row],[Power Station (40%)]]="",0, Table9[[#This Row],[Power Station (40%)]]&gt;100, 0,Table9[[#This Row],[Power Station (40%)]]&lt;=50,4, TRUE, 2)</f>
        <v>4</v>
      </c>
      <c r="BK49" s="529">
        <f>Table9[[#This Row],[Power Station Score]]*'Detailed Rubric V3'!$C$53</f>
        <v>1.6</v>
      </c>
      <c r="BL49" s="529">
        <v>10</v>
      </c>
      <c r="BM49" s="529" cm="1">
        <f t="array" ref="BM49">IF(ISNUMBER(Table9[[#This Row],[Gas Station (20%)]]), _xlfn.IFS(Table9[[#This Row],[Gas Station (20%)]]="", 0, Table9[[#This Row],[Gas Station (20%)]]&gt;100, 0,Table9[[#This Row],[Gas Station (20%)]]&lt;=50,4, TRUE, 2), 0)</f>
        <v>4</v>
      </c>
      <c r="BN49" s="529">
        <f>Table9[[#This Row],[Gas Station Score]]*'Detailed Rubric V3'!$F$53</f>
        <v>0.8</v>
      </c>
      <c r="BO49" s="529">
        <v>2</v>
      </c>
      <c r="BP49" s="529" cm="1">
        <f t="array" ref="BP49">IF(ISNUMBER(Table9[[#This Row],[Source of Surface Water (40%)]]), _xlfn.IFS(Table9[[#This Row],[Source of Surface Water (40%)]]="", 0, Table9[[#This Row],[Source of Surface Water (40%)]]&gt;50, 0,Table9[[#This Row],[Source of Surface Water (40%)]]&lt;=20,4, TRUE, 2), 0)</f>
        <v>4</v>
      </c>
      <c r="BQ49" s="529">
        <f>Table9[[#This Row],[Source of Surface Water Score]]*'Detailed Rubric V3'!$I$53</f>
        <v>1.6</v>
      </c>
      <c r="BR49" s="529">
        <f>SUM(Table9[[#This Row],[Power Station Weighted Score]],Table9[[#This Row],[Gas Station Weighted Score]],Table9[[#This Row],[Source of Surface Water Weighted Score]])*'Detailed Rubric V3'!$C$51</f>
        <v>0.48</v>
      </c>
      <c r="BS49" s="529" t="s">
        <v>418</v>
      </c>
      <c r="BT49" s="529" cm="1">
        <f t="array" ref="BT49">_xlfn.IFS(Table9[[#This Row],[Other BEZA EZ (20%)]]="", 0, Table9[[#This Row],[Other BEZA EZ (20%)]]="Yes", 4, TRUE, 0)</f>
        <v>0</v>
      </c>
      <c r="BU49" s="529">
        <f>Table9[[#This Row],[Other BEZA EZ Score]]*'Detailed Rubric V3'!$C$66</f>
        <v>0</v>
      </c>
      <c r="BV49" s="529" t="s">
        <v>417</v>
      </c>
      <c r="BW49" s="529" cm="1">
        <f t="array" ref="BW49">_xlfn.IFS(Table9[[#This Row],[BEPZA/ BHPTA/ BSCIC (20%)]]="", 0, Table9[[#This Row],[BEPZA/ BHPTA/ BSCIC (20%)]]="Yes", 4, TRUE, 0)</f>
        <v>4</v>
      </c>
      <c r="BX49" s="529">
        <f>Table9[[#This Row],[BEPZA/ BHPTA/ BSCIC Score]]*'Detailed Rubric V3'!$F$66</f>
        <v>0.8</v>
      </c>
      <c r="BY49" s="529">
        <v>33</v>
      </c>
      <c r="BZ49" s="529" cm="1">
        <f t="array" ref="BZ49">_xlfn.IFS(Table9[[#This Row],[Cluster Industries (from SMI) (20%)]]="", 0, Table9[[#This Row],[Cluster Industries (from SMI) (20%)]]&gt;100, 4, Table9[[#This Row],[Cluster Industries (from SMI) (20%)]]&lt;50, 0, TRUE, 2)</f>
        <v>0</v>
      </c>
      <c r="CA49" s="529">
        <f>Table9[[#This Row],[Cluster Industries (from SMI) Score]]*'Detailed Rubric V3'!$I$66</f>
        <v>0</v>
      </c>
      <c r="CB49" s="529" t="s">
        <v>418</v>
      </c>
      <c r="CC49" s="529" cm="1">
        <f t="array" ref="CC49">_xlfn.IFS(Table9[[#This Row],[Located on Industrial corridor (40%)]]="", 0, Table9[[#This Row],[Located on Industrial corridor (40%)]]="Yes", 4, TRUE, 0)</f>
        <v>0</v>
      </c>
      <c r="CD49" s="529">
        <f>Table9[[#This Row],[Located on Industrial corridor Score]]*'Detailed Rubric V3'!$L$66</f>
        <v>0</v>
      </c>
      <c r="CE49" s="529">
        <f>SUM(Table9[[#This Row],[Other BEZA EZ Weighted Score]],Table9[[#This Row],[BEPZA/ BHPTA/ BSCIC Weighted Score]],Table9[[#This Row],[Unorganized (from SMI) Weighted Score]],Table9[[#This Row],[Located on Industrial corridor Weighted Score]])*'Detailed Rubric V3'!$C$64</f>
        <v>8.0000000000000016E-2</v>
      </c>
      <c r="CF49" s="529" t="s">
        <v>417</v>
      </c>
      <c r="CG49" s="529" cm="1">
        <f t="array" ref="CG49">_xlfn.IFS(Table9[[#This Row],[Economic/ Social priority (laggered area) (100%)]]="", 0, Table9[[#This Row],[Economic/ Social priority (laggered area) (100%)]]="Yes", 4, TRUE, 0)</f>
        <v>4</v>
      </c>
      <c r="CH49" s="529">
        <f>Table9[[#This Row],[Economic/ Social priority (laggered area) Score]]*'Detailed Rubric V3'!$C$82</f>
        <v>4</v>
      </c>
      <c r="CI49" s="529" t="s">
        <v>417</v>
      </c>
      <c r="CJ49" s="529" cm="1">
        <f t="array" ref="CJ49">_xlfn.IFS(Table9[[#This Row],[Regional Tax incentive  (0%)]]="", 0, Table9[[#This Row],[Regional Tax incentive  (0%)]]="Yes", 4, TRUE, 0)</f>
        <v>4</v>
      </c>
      <c r="CK49" s="529">
        <f>Table9[[#This Row],[Regional Tax incentive Score]]*'Detailed Rubric V3'!$F$82</f>
        <v>0</v>
      </c>
      <c r="CL49" s="529">
        <f>SUM(Table9[[#This Row],[Economic/ Social priority (laagered area) Weighted Score]],Table9[[#This Row],[Regional Tax incentive  Weighted Score]])*'Detailed Rubric V3'!$C$80</f>
        <v>0.16</v>
      </c>
      <c r="CM49" s="529">
        <v>218825</v>
      </c>
      <c r="CN49" s="529" cm="1">
        <f t="array" ref="CN49">_xlfn.IFS(Table9[[#This Row],[Employable population (40%) 2013]]="", 0, Table9[[#This Row],[Employable population (40%) 2013]]&gt;200000, 4, Table9[[#This Row],[Employable population (40%) 2013]]&lt;100000,0, TRUE, 2)</f>
        <v>4</v>
      </c>
      <c r="CO49" s="529">
        <f>Table9[[#This Row],[Employable population Score]]*'Detailed Rubric V3'!$C$92</f>
        <v>1.6</v>
      </c>
      <c r="CP49" s="529">
        <v>10</v>
      </c>
      <c r="CQ49" s="529" cm="1">
        <f t="array" ref="CQ49">_xlfn.IFS(Table9[[#This Row],[Housing (20%)]]="", 0, Table9[[#This Row],[Housing (20%)]]&gt;50, 0, Table9[[#This Row],[Housing (20%)]]&lt;25, 4, TRUE, 2)</f>
        <v>4</v>
      </c>
      <c r="CR49" s="529">
        <f>Table9[[#This Row],[Housing Score]]*'Detailed Rubric V3'!$F$92</f>
        <v>0.8</v>
      </c>
      <c r="CS49" s="529">
        <v>15</v>
      </c>
      <c r="CT49" s="529" cm="1">
        <f t="array" ref="CT49">_xlfn.IFS(Table9[[#This Row],[Hotels (10%)]]="", 0, Table9[[#This Row],[Hotels (10%)]]&gt;25, 4, Table9[[#This Row],[Hotels (10%)]]&lt;5, 0, TRUE, 2)</f>
        <v>2</v>
      </c>
      <c r="CU49" s="529">
        <f>Table9[[#This Row],[Hotels Score]]*'Detailed Rubric V3'!$I$92</f>
        <v>0.2</v>
      </c>
      <c r="CV49" s="529">
        <v>56</v>
      </c>
      <c r="CW49" s="529" cm="1">
        <f t="array" ref="CW49">_xlfn.IFS(Table9[[#This Row],[Health (Hospital) (15%)]]="", 0, Table9[[#This Row],[Health (Hospital) (15%)]]&gt;10, 4, Table9[[#This Row],[Health (Hospital) (15%)]]&lt;5, 0, TRUE, 2)</f>
        <v>4</v>
      </c>
      <c r="CX49" s="529">
        <f>Table9[[#This Row],[Health (Hospital) Score]]*'Detailed Rubric V3'!$L$92</f>
        <v>0.6</v>
      </c>
      <c r="CY49" s="529">
        <v>16</v>
      </c>
      <c r="CZ49" s="529" cm="1">
        <f t="array" ref="CZ49">_xlfn.IFS(Table9[[#This Row],[University/ Technical &amp; Vocational Institutions (15%)]]="", 0, Table9[[#This Row],[University/ Technical &amp; Vocational Institutions (15%)]]&gt;3, 4, Table9[[#This Row],[University/ Technical &amp; Vocational Institutions (15%)]]&lt;1, 0, TRUE, 2)</f>
        <v>4</v>
      </c>
      <c r="DA49" s="529">
        <f>Table9[[#This Row],[University/ Technical &amp; Vocational Institutions Score]]*'Detailed Rubric V3'!$O$92</f>
        <v>0.6</v>
      </c>
      <c r="DB49" s="529">
        <f>SUM(Table9[[#This Row],[Employable population Weighted Score]],Table9[[#This Row],[Housing Weighted Score]],Table9[[#This Row],[Hotels Weighted Score]],Table9[[#This Row],[Health (Hospital) Weighted Score]],Table9[[#This Row],[University/ Technical &amp; Vocational Institutions Weighted Score]])*'Detailed Rubric V3'!$C$90</f>
        <v>0.30400000000000005</v>
      </c>
      <c r="DC49" s="529" t="s">
        <v>418</v>
      </c>
      <c r="DD49" s="529" cm="1">
        <f t="array" ref="DD49">_xlfn.IFS(Table9[[#This Row],[Environment compliance (30%)]]="", 0, Table9[[#This Row],[Environment compliance (30%)]]="Yes", 4, TRUE, 0)</f>
        <v>0</v>
      </c>
      <c r="DE49" s="529">
        <f>Table9[[#This Row],[Environment compliance Score]]*'Detailed Rubric V3'!$C$104</f>
        <v>0</v>
      </c>
      <c r="DF49" s="529" t="s">
        <v>421</v>
      </c>
      <c r="DG49" s="529" cm="1">
        <f t="array" ref="DG49">_xlfn.IFS(Table9[[#This Row],[Flood Risk Index (30%)]]="", 0, Table9[[#This Row],[Flood Risk Index (30%)]]="Very Low", 4, Table9[[#This Row],[Flood Risk Index (30%)]]="Moderate &amp; Low", 2, TRUE, 0)</f>
        <v>0</v>
      </c>
      <c r="DH49" s="529">
        <f>Table9[[#This Row],[Flood Risk Index Score]]*'Detailed Rubric V3'!$F$104</f>
        <v>0</v>
      </c>
      <c r="DI49" s="529" t="s">
        <v>428</v>
      </c>
      <c r="DJ49" s="529" cm="1">
        <f t="array" ref="DJ49">_xlfn.IFS(Table9[[#This Row],[Earth Quake Risk Index (10%)]]="", 0, Table9[[#This Row],[Earth Quake Risk Index (10%)]]="Very Low", 4, Table9[[#This Row],[Earth Quake Risk Index (10%)]]="Moderate &amp; Low", 2, TRUE, 0)</f>
        <v>4</v>
      </c>
      <c r="DK49" s="529">
        <f>Table9[[#This Row],[Earth Quake Risk Index Score]]*'Detailed Rubric V3'!$I$104</f>
        <v>0.4</v>
      </c>
      <c r="DL49" s="529" t="s">
        <v>420</v>
      </c>
      <c r="DM49" s="529" cm="1">
        <f t="array" ref="DM49">_xlfn.IFS(Table9[[#This Row],[Sea Level Rise Risk Index (10%)]]="", 0, Table9[[#This Row],[Sea Level Rise Risk Index (10%)]]="Very Low", 4, Table9[[#This Row],[Sea Level Rise Risk Index (10%)]]="Moderate &amp; Low", 2, TRUE, 0)</f>
        <v>0</v>
      </c>
      <c r="DN49" s="529">
        <f>Table9[[#This Row],[Sea Level Rise  Risk Index Score]]*'Detailed Rubric V3'!$L$104</f>
        <v>0</v>
      </c>
      <c r="DO49" s="529" t="s">
        <v>420</v>
      </c>
      <c r="DP49" s="529" cm="1">
        <f t="array" ref="DP49">_xlfn.IFS(Table9[[#This Row],[Cyclone Risk Index (10%)]]="", 0, Table9[[#This Row],[Cyclone Risk Index (10%)]]="Very Low", 4, Table9[[#This Row],[Cyclone Risk Index (10%)]]="Moderate &amp; Low", 2, TRUE, 0)</f>
        <v>0</v>
      </c>
      <c r="DQ49" s="529">
        <f>Table9[[#This Row],[Cyclone Risk Index Score]]*'Detailed Rubric V3'!$O$104</f>
        <v>0</v>
      </c>
      <c r="DR49" s="529" t="s">
        <v>421</v>
      </c>
      <c r="DS49" s="529" cm="1">
        <f t="array" ref="DS49">_xlfn.IFS(Table9[[#This Row],[Storm Surge Risk Index (10%)]]="", 0, Table9[[#This Row],[Storm Surge Risk Index (10%)]]="Very Low", 4, Table9[[#This Row],[Storm Surge Risk Index (10%)]]="Moderate &amp; Low", 2, TRUE, 0)</f>
        <v>0</v>
      </c>
      <c r="DT49" s="529">
        <f>Table9[[#This Row],[Storm Surge Risk Index Score]]*'Detailed Rubric V3'!$R$104</f>
        <v>0</v>
      </c>
      <c r="DU49"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2.4E-2</v>
      </c>
      <c r="DV49" s="533">
        <f>SUM(Table9[[#This Row],[2.1. Connectivity/ Logistics (10% weightage)]],Table9[[#This Row],[2.2. Utility (12% weightage)]],Table9[[#This Row],[2.3. Agglomeration effects (10% weightage)]],Table9[[#This Row],[2.4. Regional Policy (4% weightage)]],Table9[[#This Row],[2.5. Social (8% weightage)]],Table9[[#This Row],[2.6. Environment (6% weightage)]])</f>
        <v>1.218</v>
      </c>
      <c r="DW49" s="232">
        <f>_xlfn.RANK.EQ(Table9[[#This Row],[Level 2 Score]],$DV$3:$DV$103)</f>
        <v>47</v>
      </c>
      <c r="DX49" s="533">
        <f>Table9[[#This Row],[Level 1 Score]]+Table9[[#This Row],[Level 2 Score]]</f>
        <v>2.0179999999999998</v>
      </c>
      <c r="DY49" s="232">
        <f>_xlfn.RANK.EQ(Table9[[#This Row],[Total Score]],$DX$3:$DX$103)</f>
        <v>47</v>
      </c>
      <c r="DZ49" s="237" t="str">
        <f>IF(Table9[[#This Row],[Count of Blanks]]&lt;=2, "Yes", "No")</f>
        <v>Yes</v>
      </c>
      <c r="EA49" s="237">
        <f>COUNTBLANK(Table9[[#This Row],[Name]:[Total Score Rank]])</f>
        <v>0</v>
      </c>
      <c r="EB49" s="237"/>
    </row>
    <row r="50" spans="2:132" ht="27" x14ac:dyDescent="0.25">
      <c r="B50" s="220">
        <v>88</v>
      </c>
      <c r="C50" s="221" t="s">
        <v>54</v>
      </c>
      <c r="D50" s="220" t="s">
        <v>76</v>
      </c>
      <c r="E50" s="220" t="s">
        <v>117</v>
      </c>
      <c r="F50" s="220" t="s">
        <v>118</v>
      </c>
      <c r="G50" s="220" t="s">
        <v>92</v>
      </c>
      <c r="H50" s="525" t="s">
        <v>410</v>
      </c>
      <c r="I50" s="70" t="s">
        <v>411</v>
      </c>
      <c r="J50" s="227" t="s">
        <v>412</v>
      </c>
      <c r="K50" s="220">
        <f>IFERROR(VLOOKUP(Table9[[#This Row],[Land Availability (Grade)​
(50%)]],'Detailed Rubric V3'!$B$8:$C$11,2), 0)</f>
        <v>4</v>
      </c>
      <c r="L50" s="220">
        <f>IFERROR(Table9[[#This Row],[Land Availability (Grade)​ Score]]*'Detailed Rubric V3'!$C$6, "")</f>
        <v>2</v>
      </c>
      <c r="M50" s="222">
        <v>75.47</v>
      </c>
      <c r="N50" s="222" cm="1">
        <f t="array" ref="N50">_xlfn.IFS(Table9[[#This Row],[Land Size (Acres)
(15%)]]&lt;100,0,Table9[[#This Row],[Land Size (Acres)
(15%)]]&gt;500,4,TRUE,2)</f>
        <v>0</v>
      </c>
      <c r="O50" s="222">
        <f>Table9[[#This Row],[Land Size (Acres) Score]]*'Detailed Rubric V3'!$G$6</f>
        <v>0</v>
      </c>
      <c r="P50" s="526"/>
      <c r="Q50" s="526">
        <f>IFERROR(Table9[[#This Row],[Site Filling Cost (Mn BDT)]]/Table9[[#This Row],[Land Size (Acres)
(15%)]],"")</f>
        <v>0</v>
      </c>
      <c r="R50" s="526" cm="1">
        <f t="array" ref="R50">IF(Table9[[#This Row],[Name]]="Sitakundo Economic Zone", 4, _xlfn.IFS(Table9[[#This Row],[Site Filling Cost (Mn BDT)]]="",0,Table9[[#This Row],[Land Suitability
(Cost of Land Filling in Million BDT per acre)
(25%)]]&gt;5,0,Table9[[#This Row],[Land Suitability
(Cost of Land Filling in Million BDT per acre)
(25%)]]&lt;2,4,TRUE,2))</f>
        <v>0</v>
      </c>
      <c r="S50" s="526">
        <f>Table9[[#This Row],[Land Suitability for Construction Score]]*'Detailed Rubric V3'!$J$6</f>
        <v>0</v>
      </c>
      <c r="T50" s="526"/>
      <c r="U50" s="526">
        <f>IFERROR(Table9[[#This Row],[Embankment/Dyke Cost (Mn BDT)]]/Table9[[#This Row],[Land Size (Acres)
(15%)]], 0)</f>
        <v>0</v>
      </c>
      <c r="V50" s="526" cm="1">
        <f t="array" ref="V50">IF(Table9[[#This Row],[Name]]="Sitakundo Economic Zone", 2, _xlfn.IFS(Table9[[#This Row],[Embankment/Dyke Cost (Mn BDT)]]="",0,Table9[[#This Row],[Cost of DRRI Infrastructure in million BDT per acre
(10%)]]&gt;5,0,Table9[[#This Row],[Cost of DRRI Infrastructure in million BDT per acre
(10%)]]&lt;2,4,TRUE,2))</f>
        <v>0</v>
      </c>
      <c r="W50" s="526">
        <f>Table9[[#This Row],[Requirement for Distaster Risk Reduction &amp; Resilience Infrastructure Score]]*'Detailed Rubric V3'!$M$6</f>
        <v>0</v>
      </c>
      <c r="X50"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v>
      </c>
      <c r="Y50" s="227" t="s">
        <v>440</v>
      </c>
      <c r="Z50" s="210">
        <f>IFERROR(VLOOKUP(Table9[[#This Row],[Zone Priority
(40%)]],'Detailed Rubric V3'!$B$18:$C$21, 2,FALSE), 0)</f>
        <v>4</v>
      </c>
      <c r="AA50" s="210">
        <f>IFERROR(Table9[[#This Row],[Zone Priority Score]]*'Detailed Rubric V3'!$C$16, 0)</f>
        <v>0</v>
      </c>
      <c r="AB50" s="237" t="s">
        <v>441</v>
      </c>
      <c r="AC50" s="237">
        <f>VLOOKUP(Table9[[#This Row],[Existing BEZA Report
(60%)]],'Detailed Rubric V3'!$E$18:$F$20,2,FALSE)</f>
        <v>0</v>
      </c>
      <c r="AD50" s="237">
        <f>Table9[[#This Row],[Existing BEZA Report Score]]*'Detailed Rubric V3'!F$16</f>
        <v>0</v>
      </c>
      <c r="AE50" s="237">
        <f>(Table9[[#This Row],[Zone Priority Weighted Score]]+Table9[[#This Row],[Existing BEZA Report Weighted Score]])*'Detailed Rubric V3'!$C$14</f>
        <v>0</v>
      </c>
      <c r="AF50" s="528">
        <v>5</v>
      </c>
      <c r="AG50" s="529" cm="1">
        <f t="array" ref="AG50">_xlfn.IFS(Table9[[#This Row],[Existing Sectors
(50%)]]&gt;10, 4,Table9[[#This Row],[Existing Sectors
(50%)]]&lt;5, 0, TRUE, 2)</f>
        <v>2</v>
      </c>
      <c r="AH50" s="529">
        <f>Table9[[#This Row],[Existing Sectors Score]]*'Detailed Rubric V3'!$C$25</f>
        <v>1</v>
      </c>
      <c r="AI50" s="529">
        <v>6</v>
      </c>
      <c r="AJ50" s="529">
        <v>1</v>
      </c>
      <c r="AK50" s="529" cm="1">
        <f t="array" ref="AK50">_xlfn.IFS(Table9[[#This Row],[Potential New Sectors
(50%)]]&gt;5, 4, Table9[[#This Row],[Potential New Sectors
(50%)]]&lt;2,0, TRUE, 2)</f>
        <v>0</v>
      </c>
      <c r="AL50" s="529">
        <f>Table9[[#This Row],[Potential New Sectors Score]]*'Detailed Rubric V3'!$F$25</f>
        <v>0</v>
      </c>
      <c r="AM50" s="232">
        <f>(Table9[[#This Row],[Existing Sectors Weighted Score]]+Table9[[#This Row],[Potential New Sectors Weighted Score]])*'Detailed Rubric V3'!$C$23</f>
        <v>0.15</v>
      </c>
      <c r="AN50" s="530">
        <f>SUM(Table9[[#This Row],[1.1. Land Details (20% weightage)]],Table9[[#This Row],[1.2. BEZA Existing plans (15% weightage)]],Table9[[#This Row],[1.3. Sector Demand (15% weightage):]])</f>
        <v>0.55000000000000004</v>
      </c>
      <c r="AO50" s="531">
        <f>_xlfn.RANK.EQ(Table9[[#This Row],[Level 1 Score]],$AN$3:$AN$103)</f>
        <v>58</v>
      </c>
      <c r="AP50" s="529">
        <v>3</v>
      </c>
      <c r="AQ50" s="529" cm="1">
        <f t="array" ref="AQ50">_xlfn.IFS(Table9[[#This Row],[National Highway Connectivity (km)
(15%)]]="", 0, Table9[[#This Row],[National Highway Connectivity (km)
(15%)]]&gt;50, 0, Table9[[#This Row],[National Highway Connectivity (km)
(15%)]]&lt;=25, 4, TRUE, 2)</f>
        <v>4</v>
      </c>
      <c r="AR50" s="529">
        <f>Table9[[#This Row],[National Highway Connectivity Score]]*'Detailed Rubric V3'!$C$35</f>
        <v>0.6</v>
      </c>
      <c r="AS50" s="529" t="s">
        <v>417</v>
      </c>
      <c r="AT50" s="529" cm="1">
        <f t="array" ref="AT50">_xlfn.IFS(Table9[[#This Row],[Connecting Road to Highway (km)
(15%)]]="", 0, Table9[[#This Row],[Connecting Road to Highway (km)
(15%)]]="Yes", 4, TRUE, 0)</f>
        <v>4</v>
      </c>
      <c r="AU50" s="529">
        <f>Table9[[#This Row],[Connecting Road to Highway Score]]*'Detailed Rubric V3'!$F$35</f>
        <v>0.6</v>
      </c>
      <c r="AV50" s="529">
        <v>218</v>
      </c>
      <c r="AW50" s="529" cm="1">
        <f t="array" ref="AW50">_xlfn.IFS(Table9[[#This Row],[Seaport Connectivity (km)
(30%)]]="",0, Table9[[#This Row],[Seaport Connectivity (km)
(30%)]]&gt;400, 0,Table9[[#This Row],[Seaport Connectivity (km)
(30%)]]&lt;=200,4, TRUE, 2)</f>
        <v>2</v>
      </c>
      <c r="AX50" s="529">
        <f>Table9[[#This Row],[Seaport Connectivity Score]]*'Detailed Rubric V3'!$I$35</f>
        <v>0.6</v>
      </c>
      <c r="AY50" s="529">
        <v>48.1</v>
      </c>
      <c r="AZ50" s="529" cm="1">
        <f t="array" ref="AZ50">_xlfn.IFS(Table9[[#This Row],[Airport Connectivity (km)
(10%)]]="", 0, Table9[[#This Row],[Airport Connectivity (km)
(10%)]]&gt;200, 0, Table9[[#This Row],[Airport Connectivity (km)
(10%)]]&lt;=100,4,TRUE, 2)</f>
        <v>4</v>
      </c>
      <c r="BA50" s="529">
        <f>Table9[[#This Row],[Airport Connectivity Score]]*'Detailed Rubric V3'!$C$41</f>
        <v>0.4</v>
      </c>
      <c r="BB50" s="529">
        <v>32</v>
      </c>
      <c r="BC50" s="529" cm="1">
        <f t="array" ref="BC50">_xlfn.IFS(Table9[[#This Row],[Railway Station (km)
(10%)]]="", 0, Table9[[#This Row],[Railway Station (km)
(10%)]]&gt;150, 0,Table9[[#This Row],[Railway Station (km)
(10%)]]&lt;=50,4, TRUE, 2)</f>
        <v>4</v>
      </c>
      <c r="BD50" s="529">
        <f>Table9[[#This Row],[Railway Station Score]]*'Detailed Rubric V3'!$F$41</f>
        <v>0.4</v>
      </c>
      <c r="BE50" s="529">
        <v>102</v>
      </c>
      <c r="BF50" s="529" cm="1">
        <f t="array" ref="BF50">_xlfn.IFS(Table9[[#This Row],[Inland waterway/ Land port (km)
(20%)]]="", 0, Table9[[#This Row],[Inland waterway/ Land port (km)
(20%)]]&gt;200, 0,Table9[[#This Row],[Inland waterway/ Land port (km)
(20%)]]&lt;=50,4, TRUE, 2)</f>
        <v>2</v>
      </c>
      <c r="BG50" s="529">
        <f>Table9[[#This Row],[Inland waterway/ Land port Score]]*'Detailed Rubric V3'!$I$41</f>
        <v>0.4</v>
      </c>
      <c r="BH50"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0.3</v>
      </c>
      <c r="BI50" s="529">
        <v>0.5</v>
      </c>
      <c r="BJ50" s="529" cm="1">
        <f t="array" ref="BJ50">_xlfn.IFS(Table9[[#This Row],[Power Station (40%)]]="",0, Table9[[#This Row],[Power Station (40%)]]&gt;100, 0,Table9[[#This Row],[Power Station (40%)]]&lt;=50,4, TRUE, 2)</f>
        <v>4</v>
      </c>
      <c r="BK50" s="529">
        <f>Table9[[#This Row],[Power Station Score]]*'Detailed Rubric V3'!$C$53</f>
        <v>1.6</v>
      </c>
      <c r="BL50" s="529">
        <v>25</v>
      </c>
      <c r="BM50" s="529" cm="1">
        <f t="array" ref="BM50">IF(ISNUMBER(Table9[[#This Row],[Gas Station (20%)]]), _xlfn.IFS(Table9[[#This Row],[Gas Station (20%)]]="", 0, Table9[[#This Row],[Gas Station (20%)]]&gt;100, 0,Table9[[#This Row],[Gas Station (20%)]]&lt;=50,4, TRUE, 2), 0)</f>
        <v>4</v>
      </c>
      <c r="BN50" s="529">
        <f>Table9[[#This Row],[Gas Station Score]]*'Detailed Rubric V3'!$F$53</f>
        <v>0.8</v>
      </c>
      <c r="BO50" s="529">
        <v>1</v>
      </c>
      <c r="BP50" s="529" cm="1">
        <f t="array" ref="BP50">IF(ISNUMBER(Table9[[#This Row],[Source of Surface Water (40%)]]), _xlfn.IFS(Table9[[#This Row],[Source of Surface Water (40%)]]="", 0, Table9[[#This Row],[Source of Surface Water (40%)]]&gt;50, 0,Table9[[#This Row],[Source of Surface Water (40%)]]&lt;=20,4, TRUE, 2), 0)</f>
        <v>4</v>
      </c>
      <c r="BQ50" s="529">
        <f>Table9[[#This Row],[Source of Surface Water Score]]*'Detailed Rubric V3'!$I$53</f>
        <v>1.6</v>
      </c>
      <c r="BR50" s="529">
        <f>SUM(Table9[[#This Row],[Power Station Weighted Score]],Table9[[#This Row],[Gas Station Weighted Score]],Table9[[#This Row],[Source of Surface Water Weighted Score]])*'Detailed Rubric V3'!$C$51</f>
        <v>0.48</v>
      </c>
      <c r="BS50" s="529" t="s">
        <v>417</v>
      </c>
      <c r="BT50" s="529" cm="1">
        <f t="array" ref="BT50">_xlfn.IFS(Table9[[#This Row],[Other BEZA EZ (20%)]]="", 0, Table9[[#This Row],[Other BEZA EZ (20%)]]="Yes", 4, TRUE, 0)</f>
        <v>4</v>
      </c>
      <c r="BU50" s="529">
        <f>Table9[[#This Row],[Other BEZA EZ Score]]*'Detailed Rubric V3'!$C$66</f>
        <v>0.8</v>
      </c>
      <c r="BV50" s="529" t="s">
        <v>417</v>
      </c>
      <c r="BW50" s="529" cm="1">
        <f t="array" ref="BW50">_xlfn.IFS(Table9[[#This Row],[BEPZA/ BHPTA/ BSCIC (20%)]]="", 0, Table9[[#This Row],[BEPZA/ BHPTA/ BSCIC (20%)]]="Yes", 4, TRUE, 0)</f>
        <v>4</v>
      </c>
      <c r="BX50" s="529">
        <f>Table9[[#This Row],[BEPZA/ BHPTA/ BSCIC Score]]*'Detailed Rubric V3'!$F$66</f>
        <v>0.8</v>
      </c>
      <c r="BY50" s="529">
        <v>72</v>
      </c>
      <c r="BZ50" s="529" cm="1">
        <f t="array" ref="BZ50">_xlfn.IFS(Table9[[#This Row],[Cluster Industries (from SMI) (20%)]]="", 0, Table9[[#This Row],[Cluster Industries (from SMI) (20%)]]&gt;100, 4, Table9[[#This Row],[Cluster Industries (from SMI) (20%)]]&lt;50, 0, TRUE, 2)</f>
        <v>2</v>
      </c>
      <c r="CA50" s="529">
        <f>Table9[[#This Row],[Cluster Industries (from SMI) Score]]*'Detailed Rubric V3'!$I$66</f>
        <v>0.4</v>
      </c>
      <c r="CB50" s="529" t="s">
        <v>418</v>
      </c>
      <c r="CC50" s="529" cm="1">
        <f t="array" ref="CC50">_xlfn.IFS(Table9[[#This Row],[Located on Industrial corridor (40%)]]="", 0, Table9[[#This Row],[Located on Industrial corridor (40%)]]="Yes", 4, TRUE, 0)</f>
        <v>0</v>
      </c>
      <c r="CD50" s="529">
        <f>Table9[[#This Row],[Located on Industrial corridor Score]]*'Detailed Rubric V3'!$L$66</f>
        <v>0</v>
      </c>
      <c r="CE50" s="529">
        <f>SUM(Table9[[#This Row],[Other BEZA EZ Weighted Score]],Table9[[#This Row],[BEPZA/ BHPTA/ BSCIC Weighted Score]],Table9[[#This Row],[Unorganized (from SMI) Weighted Score]],Table9[[#This Row],[Located on Industrial corridor Weighted Score]])*'Detailed Rubric V3'!$C$64</f>
        <v>0.2</v>
      </c>
      <c r="CF50" s="529" t="s">
        <v>417</v>
      </c>
      <c r="CG50" s="529" cm="1">
        <f t="array" ref="CG50">_xlfn.IFS(Table9[[#This Row],[Economic/ Social priority (laggered area) (100%)]]="", 0, Table9[[#This Row],[Economic/ Social priority (laggered area) (100%)]]="Yes", 4, TRUE, 0)</f>
        <v>4</v>
      </c>
      <c r="CH50" s="529">
        <f>Table9[[#This Row],[Economic/ Social priority (laggered area) Score]]*'Detailed Rubric V3'!$C$82</f>
        <v>4</v>
      </c>
      <c r="CI50" s="529" t="s">
        <v>417</v>
      </c>
      <c r="CJ50" s="529" cm="1">
        <f t="array" ref="CJ50">_xlfn.IFS(Table9[[#This Row],[Regional Tax incentive  (0%)]]="", 0, Table9[[#This Row],[Regional Tax incentive  (0%)]]="Yes", 4, TRUE, 0)</f>
        <v>4</v>
      </c>
      <c r="CK50" s="529">
        <f>Table9[[#This Row],[Regional Tax incentive Score]]*'Detailed Rubric V3'!$F$82</f>
        <v>0</v>
      </c>
      <c r="CL50" s="529">
        <f>SUM(Table9[[#This Row],[Economic/ Social priority (laagered area) Weighted Score]],Table9[[#This Row],[Regional Tax incentive  Weighted Score]])*'Detailed Rubric V3'!$C$80</f>
        <v>0.16</v>
      </c>
      <c r="CM50" s="529">
        <v>171975</v>
      </c>
      <c r="CN50" s="529" cm="1">
        <f t="array" ref="CN50">_xlfn.IFS(Table9[[#This Row],[Employable population (40%) 2013]]="", 0, Table9[[#This Row],[Employable population (40%) 2013]]&gt;200000, 4, Table9[[#This Row],[Employable population (40%) 2013]]&lt;100000,0, TRUE, 2)</f>
        <v>2</v>
      </c>
      <c r="CO50" s="529">
        <f>Table9[[#This Row],[Employable population Score]]*'Detailed Rubric V3'!$C$92</f>
        <v>0.8</v>
      </c>
      <c r="CP50" s="529">
        <v>9</v>
      </c>
      <c r="CQ50" s="529" cm="1">
        <f t="array" ref="CQ50">_xlfn.IFS(Table9[[#This Row],[Housing (20%)]]="", 0, Table9[[#This Row],[Housing (20%)]]&gt;50, 0, Table9[[#This Row],[Housing (20%)]]&lt;25, 4, TRUE, 2)</f>
        <v>4</v>
      </c>
      <c r="CR50" s="529">
        <f>Table9[[#This Row],[Housing Score]]*'Detailed Rubric V3'!$F$92</f>
        <v>0.8</v>
      </c>
      <c r="CS50" s="529">
        <v>60</v>
      </c>
      <c r="CT50" s="529" cm="1">
        <f t="array" ref="CT50">_xlfn.IFS(Table9[[#This Row],[Hotels (10%)]]="", 0, Table9[[#This Row],[Hotels (10%)]]&gt;25, 4, Table9[[#This Row],[Hotels (10%)]]&lt;5, 0, TRUE, 2)</f>
        <v>4</v>
      </c>
      <c r="CU50" s="529">
        <f>Table9[[#This Row],[Hotels Score]]*'Detailed Rubric V3'!$I$92</f>
        <v>0.4</v>
      </c>
      <c r="CV50" s="529">
        <v>68</v>
      </c>
      <c r="CW50" s="529" cm="1">
        <f t="array" ref="CW50">_xlfn.IFS(Table9[[#This Row],[Health (Hospital) (15%)]]="", 0, Table9[[#This Row],[Health (Hospital) (15%)]]&gt;10, 4, Table9[[#This Row],[Health (Hospital) (15%)]]&lt;5, 0, TRUE, 2)</f>
        <v>4</v>
      </c>
      <c r="CX50" s="529">
        <f>Table9[[#This Row],[Health (Hospital) Score]]*'Detailed Rubric V3'!$L$92</f>
        <v>0.6</v>
      </c>
      <c r="CY50" s="529">
        <v>78</v>
      </c>
      <c r="CZ50" s="529" cm="1">
        <f t="array" ref="CZ50">_xlfn.IFS(Table9[[#This Row],[University/ Technical &amp; Vocational Institutions (15%)]]="", 0, Table9[[#This Row],[University/ Technical &amp; Vocational Institutions (15%)]]&gt;3, 4, Table9[[#This Row],[University/ Technical &amp; Vocational Institutions (15%)]]&lt;1, 0, TRUE, 2)</f>
        <v>4</v>
      </c>
      <c r="DA50" s="529">
        <f>Table9[[#This Row],[University/ Technical &amp; Vocational Institutions Score]]*'Detailed Rubric V3'!$O$92</f>
        <v>0.6</v>
      </c>
      <c r="DB50" s="529">
        <f>SUM(Table9[[#This Row],[Employable population Weighted Score]],Table9[[#This Row],[Housing Weighted Score]],Table9[[#This Row],[Hotels Weighted Score]],Table9[[#This Row],[Health (Hospital) Weighted Score]],Table9[[#This Row],[University/ Technical &amp; Vocational Institutions Weighted Score]])*'Detailed Rubric V3'!$C$90</f>
        <v>0.25600000000000001</v>
      </c>
      <c r="DC50" s="529" t="s">
        <v>418</v>
      </c>
      <c r="DD50" s="529" cm="1">
        <f t="array" ref="DD50">_xlfn.IFS(Table9[[#This Row],[Environment compliance (30%)]]="", 0, Table9[[#This Row],[Environment compliance (30%)]]="Yes", 4, TRUE, 0)</f>
        <v>0</v>
      </c>
      <c r="DE50" s="529">
        <f>Table9[[#This Row],[Environment compliance Score]]*'Detailed Rubric V3'!$C$104</f>
        <v>0</v>
      </c>
      <c r="DF50" s="529" t="s">
        <v>421</v>
      </c>
      <c r="DG50" s="529" cm="1">
        <f t="array" ref="DG50">_xlfn.IFS(Table9[[#This Row],[Flood Risk Index (30%)]]="", 0, Table9[[#This Row],[Flood Risk Index (30%)]]="Very Low", 4, Table9[[#This Row],[Flood Risk Index (30%)]]="Moderate &amp; Low", 2, TRUE, 0)</f>
        <v>0</v>
      </c>
      <c r="DH50" s="529">
        <f>Table9[[#This Row],[Flood Risk Index Score]]*'Detailed Rubric V3'!$F$104</f>
        <v>0</v>
      </c>
      <c r="DI50" s="529" t="s">
        <v>421</v>
      </c>
      <c r="DJ50" s="529" cm="1">
        <f t="array" ref="DJ50">_xlfn.IFS(Table9[[#This Row],[Earth Quake Risk Index (10%)]]="", 0, Table9[[#This Row],[Earth Quake Risk Index (10%)]]="Very Low", 4, Table9[[#This Row],[Earth Quake Risk Index (10%)]]="Moderate &amp; Low", 2, TRUE, 0)</f>
        <v>0</v>
      </c>
      <c r="DK50" s="529">
        <f>Table9[[#This Row],[Earth Quake Risk Index Score]]*'Detailed Rubric V3'!$I$104</f>
        <v>0</v>
      </c>
      <c r="DL50" s="529" t="s">
        <v>428</v>
      </c>
      <c r="DM50" s="529" cm="1">
        <f t="array" ref="DM50">_xlfn.IFS(Table9[[#This Row],[Sea Level Rise Risk Index (10%)]]="", 0, Table9[[#This Row],[Sea Level Rise Risk Index (10%)]]="Very Low", 4, Table9[[#This Row],[Sea Level Rise Risk Index (10%)]]="Moderate &amp; Low", 2, TRUE, 0)</f>
        <v>4</v>
      </c>
      <c r="DN50" s="529">
        <f>Table9[[#This Row],[Sea Level Rise  Risk Index Score]]*'Detailed Rubric V3'!$L$104</f>
        <v>0.4</v>
      </c>
      <c r="DO50" s="529" t="s">
        <v>419</v>
      </c>
      <c r="DP50" s="529" cm="1">
        <f t="array" ref="DP50">_xlfn.IFS(Table9[[#This Row],[Cyclone Risk Index (10%)]]="", 0, Table9[[#This Row],[Cyclone Risk Index (10%)]]="Very Low", 4, Table9[[#This Row],[Cyclone Risk Index (10%)]]="Moderate &amp; Low", 2, TRUE, 0)</f>
        <v>2</v>
      </c>
      <c r="DQ50" s="529">
        <f>Table9[[#This Row],[Cyclone Risk Index Score]]*'Detailed Rubric V3'!$O$104</f>
        <v>0.2</v>
      </c>
      <c r="DR50" s="529" t="s">
        <v>428</v>
      </c>
      <c r="DS50" s="529" cm="1">
        <f t="array" ref="DS50">_xlfn.IFS(Table9[[#This Row],[Storm Surge Risk Index (10%)]]="", 0, Table9[[#This Row],[Storm Surge Risk Index (10%)]]="Very Low", 4, Table9[[#This Row],[Storm Surge Risk Index (10%)]]="Moderate &amp; Low", 2, TRUE, 0)</f>
        <v>4</v>
      </c>
      <c r="DT50" s="529">
        <f>Table9[[#This Row],[Storm Surge Risk Index Score]]*'Detailed Rubric V3'!$R$104</f>
        <v>0.4</v>
      </c>
      <c r="DU50"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50" s="533">
        <f>SUM(Table9[[#This Row],[2.1. Connectivity/ Logistics (10% weightage)]],Table9[[#This Row],[2.2. Utility (12% weightage)]],Table9[[#This Row],[2.3. Agglomeration effects (10% weightage)]],Table9[[#This Row],[2.4. Regional Policy (4% weightage)]],Table9[[#This Row],[2.5. Social (8% weightage)]],Table9[[#This Row],[2.6. Environment (6% weightage)]])</f>
        <v>1.456</v>
      </c>
      <c r="DW50" s="232">
        <f>_xlfn.RANK.EQ(Table9[[#This Row],[Level 2 Score]],$DV$3:$DV$103)</f>
        <v>35</v>
      </c>
      <c r="DX50" s="533">
        <f>Table9[[#This Row],[Level 1 Score]]+Table9[[#This Row],[Level 2 Score]]</f>
        <v>2.0060000000000002</v>
      </c>
      <c r="DY50" s="232">
        <f>_xlfn.RANK.EQ(Table9[[#This Row],[Total Score]],$DX$3:$DX$103)</f>
        <v>48</v>
      </c>
      <c r="DZ50" s="237" t="str">
        <f>IF(Table9[[#This Row],[Count of Blanks]]&lt;=2, "Yes", "No")</f>
        <v>Yes</v>
      </c>
      <c r="EA50" s="237">
        <f>COUNTBLANK(Table9[[#This Row],[Name]:[Total Score Rank]])</f>
        <v>2</v>
      </c>
      <c r="EB50" s="237"/>
    </row>
    <row r="51" spans="2:132" ht="27" x14ac:dyDescent="0.25">
      <c r="B51" s="220">
        <v>57</v>
      </c>
      <c r="C51" s="221" t="s">
        <v>63</v>
      </c>
      <c r="D51" s="220" t="s">
        <v>104</v>
      </c>
      <c r="E51" s="220" t="s">
        <v>136</v>
      </c>
      <c r="F51" s="220" t="s">
        <v>137</v>
      </c>
      <c r="G51" s="220" t="s">
        <v>70</v>
      </c>
      <c r="H51" s="525" t="s">
        <v>422</v>
      </c>
      <c r="I51" s="70" t="s">
        <v>455</v>
      </c>
      <c r="J51" s="227" t="s">
        <v>435</v>
      </c>
      <c r="K51" s="220">
        <f>IFERROR(VLOOKUP(Table9[[#This Row],[Land Availability (Grade)​
(50%)]],'Detailed Rubric V3'!$B$8:$C$11,2), 0)</f>
        <v>2</v>
      </c>
      <c r="L51" s="220">
        <f>IFERROR(Table9[[#This Row],[Land Availability (Grade)​ Score]]*'Detailed Rubric V3'!$C$6, "")</f>
        <v>1</v>
      </c>
      <c r="M51" s="222">
        <v>403.63</v>
      </c>
      <c r="N51" s="222" cm="1">
        <f t="array" ref="N51">_xlfn.IFS(Table9[[#This Row],[Land Size (Acres)
(15%)]]&lt;100,0,Table9[[#This Row],[Land Size (Acres)
(15%)]]&gt;500,4,TRUE,2)</f>
        <v>2</v>
      </c>
      <c r="O51" s="222">
        <f>Table9[[#This Row],[Land Size (Acres) Score]]*'Detailed Rubric V3'!$G$6</f>
        <v>0.3</v>
      </c>
      <c r="P51" s="526"/>
      <c r="Q51" s="526">
        <f>IFERROR(Table9[[#This Row],[Site Filling Cost (Mn BDT)]]/Table9[[#This Row],[Land Size (Acres)
(15%)]],"")</f>
        <v>0</v>
      </c>
      <c r="R51" s="526" cm="1">
        <f t="array" ref="R51">IF(Table9[[#This Row],[Name]]="Sitakundo Economic Zone", 4, _xlfn.IFS(Table9[[#This Row],[Site Filling Cost (Mn BDT)]]="",0,Table9[[#This Row],[Land Suitability
(Cost of Land Filling in Million BDT per acre)
(25%)]]&gt;5,0,Table9[[#This Row],[Land Suitability
(Cost of Land Filling in Million BDT per acre)
(25%)]]&lt;2,4,TRUE,2))</f>
        <v>0</v>
      </c>
      <c r="S51" s="526">
        <f>Table9[[#This Row],[Land Suitability for Construction Score]]*'Detailed Rubric V3'!$J$6</f>
        <v>0</v>
      </c>
      <c r="T51" s="526"/>
      <c r="U51" s="526">
        <f>IFERROR(Table9[[#This Row],[Embankment/Dyke Cost (Mn BDT)]]/Table9[[#This Row],[Land Size (Acres)
(15%)]], 0)</f>
        <v>0</v>
      </c>
      <c r="V51" s="526" cm="1">
        <f t="array" ref="V51">IF(Table9[[#This Row],[Name]]="Sitakundo Economic Zone", 2, _xlfn.IFS(Table9[[#This Row],[Embankment/Dyke Cost (Mn BDT)]]="",0,Table9[[#This Row],[Cost of DRRI Infrastructure in million BDT per acre
(10%)]]&gt;5,0,Table9[[#This Row],[Cost of DRRI Infrastructure in million BDT per acre
(10%)]]&lt;2,4,TRUE,2))</f>
        <v>0</v>
      </c>
      <c r="W51" s="526">
        <f>Table9[[#This Row],[Requirement for Distaster Risk Reduction &amp; Resilience Infrastructure Score]]*'Detailed Rubric V3'!$M$6</f>
        <v>0</v>
      </c>
      <c r="X51"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0.26</v>
      </c>
      <c r="Y51" s="227" t="s">
        <v>436</v>
      </c>
      <c r="Z51" s="210">
        <f>IFERROR(VLOOKUP(Table9[[#This Row],[Zone Priority
(40%)]],'Detailed Rubric V3'!$B$18:$C$21, 2,FALSE), 0)</f>
        <v>0</v>
      </c>
      <c r="AA51" s="210">
        <f>IFERROR(Table9[[#This Row],[Zone Priority Score]]*'Detailed Rubric V3'!$C$16, 0)</f>
        <v>0</v>
      </c>
      <c r="AB51" s="237" t="s">
        <v>441</v>
      </c>
      <c r="AC51" s="237">
        <f>VLOOKUP(Table9[[#This Row],[Existing BEZA Report
(60%)]],'Detailed Rubric V3'!$E$18:$F$20,2,FALSE)</f>
        <v>0</v>
      </c>
      <c r="AD51" s="237">
        <f>Table9[[#This Row],[Existing BEZA Report Score]]*'Detailed Rubric V3'!F$16</f>
        <v>0</v>
      </c>
      <c r="AE51" s="237">
        <f>(Table9[[#This Row],[Zone Priority Weighted Score]]+Table9[[#This Row],[Existing BEZA Report Weighted Score]])*'Detailed Rubric V3'!$C$14</f>
        <v>0</v>
      </c>
      <c r="AF51" s="528">
        <v>1</v>
      </c>
      <c r="AG51" s="529" cm="1">
        <f t="array" ref="AG51">_xlfn.IFS(Table9[[#This Row],[Existing Sectors
(50%)]]&gt;10, 4,Table9[[#This Row],[Existing Sectors
(50%)]]&lt;5, 0, TRUE, 2)</f>
        <v>0</v>
      </c>
      <c r="AH51" s="529">
        <f>Table9[[#This Row],[Existing Sectors Score]]*'Detailed Rubric V3'!$C$25</f>
        <v>0</v>
      </c>
      <c r="AI51" s="529">
        <v>1</v>
      </c>
      <c r="AJ51" s="529">
        <v>0</v>
      </c>
      <c r="AK51" s="529" cm="1">
        <f t="array" ref="AK51">_xlfn.IFS(Table9[[#This Row],[Potential New Sectors
(50%)]]&gt;5, 4, Table9[[#This Row],[Potential New Sectors
(50%)]]&lt;2,0, TRUE, 2)</f>
        <v>0</v>
      </c>
      <c r="AL51" s="529">
        <f>Table9[[#This Row],[Potential New Sectors Score]]*'Detailed Rubric V3'!$F$25</f>
        <v>0</v>
      </c>
      <c r="AM51" s="232">
        <f>(Table9[[#This Row],[Existing Sectors Weighted Score]]+Table9[[#This Row],[Potential New Sectors Weighted Score]])*'Detailed Rubric V3'!$C$23</f>
        <v>0</v>
      </c>
      <c r="AN51" s="530">
        <f>SUM(Table9[[#This Row],[1.1. Land Details (20% weightage)]],Table9[[#This Row],[1.2. BEZA Existing plans (15% weightage)]],Table9[[#This Row],[1.3. Sector Demand (15% weightage):]])</f>
        <v>0.26</v>
      </c>
      <c r="AO51" s="531">
        <f>_xlfn.RANK.EQ(Table9[[#This Row],[Level 1 Score]],$AN$3:$AN$103)</f>
        <v>77</v>
      </c>
      <c r="AP51" s="529">
        <v>5</v>
      </c>
      <c r="AQ51" s="529" cm="1">
        <f t="array" ref="AQ51">_xlfn.IFS(Table9[[#This Row],[National Highway Connectivity (km)
(15%)]]="", 0, Table9[[#This Row],[National Highway Connectivity (km)
(15%)]]&gt;50, 0, Table9[[#This Row],[National Highway Connectivity (km)
(15%)]]&lt;=25, 4, TRUE, 2)</f>
        <v>4</v>
      </c>
      <c r="AR51" s="529">
        <f>Table9[[#This Row],[National Highway Connectivity Score]]*'Detailed Rubric V3'!$C$35</f>
        <v>0.6</v>
      </c>
      <c r="AS51" s="529" t="s">
        <v>417</v>
      </c>
      <c r="AT51" s="529" cm="1">
        <f t="array" ref="AT51">_xlfn.IFS(Table9[[#This Row],[Connecting Road to Highway (km)
(15%)]]="", 0, Table9[[#This Row],[Connecting Road to Highway (km)
(15%)]]="Yes", 4, TRUE, 0)</f>
        <v>4</v>
      </c>
      <c r="AU51" s="529">
        <f>Table9[[#This Row],[Connecting Road to Highway Score]]*'Detailed Rubric V3'!$F$35</f>
        <v>0.6</v>
      </c>
      <c r="AV51" s="529">
        <v>402</v>
      </c>
      <c r="AW51" s="529" cm="1">
        <f t="array" ref="AW51">_xlfn.IFS(Table9[[#This Row],[Seaport Connectivity (km)
(30%)]]="",0, Table9[[#This Row],[Seaport Connectivity (km)
(30%)]]&gt;400, 0,Table9[[#This Row],[Seaport Connectivity (km)
(30%)]]&lt;=200,4, TRUE, 2)</f>
        <v>0</v>
      </c>
      <c r="AX51" s="529">
        <f>Table9[[#This Row],[Seaport Connectivity Score]]*'Detailed Rubric V3'!$I$35</f>
        <v>0</v>
      </c>
      <c r="AY51" s="529">
        <v>48</v>
      </c>
      <c r="AZ51" s="529" cm="1">
        <f t="array" ref="AZ51">_xlfn.IFS(Table9[[#This Row],[Airport Connectivity (km)
(10%)]]="", 0, Table9[[#This Row],[Airport Connectivity (km)
(10%)]]&gt;200, 0, Table9[[#This Row],[Airport Connectivity (km)
(10%)]]&lt;=100,4,TRUE, 2)</f>
        <v>4</v>
      </c>
      <c r="BA51" s="529">
        <f>Table9[[#This Row],[Airport Connectivity Score]]*'Detailed Rubric V3'!$C$41</f>
        <v>0.4</v>
      </c>
      <c r="BB51" s="529">
        <v>18</v>
      </c>
      <c r="BC51" s="529" cm="1">
        <f t="array" ref="BC51">_xlfn.IFS(Table9[[#This Row],[Railway Station (km)
(10%)]]="", 0, Table9[[#This Row],[Railway Station (km)
(10%)]]&gt;150, 0,Table9[[#This Row],[Railway Station (km)
(10%)]]&lt;=50,4, TRUE, 2)</f>
        <v>4</v>
      </c>
      <c r="BD51" s="529">
        <f>Table9[[#This Row],[Railway Station Score]]*'Detailed Rubric V3'!$F$41</f>
        <v>0.4</v>
      </c>
      <c r="BE51" s="529">
        <v>34</v>
      </c>
      <c r="BF51" s="529" cm="1">
        <f t="array" ref="BF51">_xlfn.IFS(Table9[[#This Row],[Inland waterway/ Land port (km)
(20%)]]="", 0, Table9[[#This Row],[Inland waterway/ Land port (km)
(20%)]]&gt;200, 0,Table9[[#This Row],[Inland waterway/ Land port (km)
(20%)]]&lt;=50,4, TRUE, 2)</f>
        <v>4</v>
      </c>
      <c r="BG51" s="529">
        <f>Table9[[#This Row],[Inland waterway/ Land port Score]]*'Detailed Rubric V3'!$I$41</f>
        <v>0.8</v>
      </c>
      <c r="BH51" s="532">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0.27999999999999997</v>
      </c>
      <c r="BI51" s="529">
        <v>17</v>
      </c>
      <c r="BJ51" s="529" cm="1">
        <f t="array" ref="BJ51">_xlfn.IFS(Table9[[#This Row],[Power Station (40%)]]="",0, Table9[[#This Row],[Power Station (40%)]]&gt;100, 0,Table9[[#This Row],[Power Station (40%)]]&lt;=50,4, TRUE, 2)</f>
        <v>4</v>
      </c>
      <c r="BK51" s="529">
        <f>Table9[[#This Row],[Power Station Score]]*'Detailed Rubric V3'!$C$53</f>
        <v>1.6</v>
      </c>
      <c r="BL51" s="529">
        <v>91.1</v>
      </c>
      <c r="BM51" s="529" cm="1">
        <f t="array" ref="BM51">IF(ISNUMBER(Table9[[#This Row],[Gas Station (20%)]]), _xlfn.IFS(Table9[[#This Row],[Gas Station (20%)]]="", 0, Table9[[#This Row],[Gas Station (20%)]]&gt;100, 0,Table9[[#This Row],[Gas Station (20%)]]&lt;=50,4, TRUE, 2), 0)</f>
        <v>2</v>
      </c>
      <c r="BN51" s="529">
        <f>Table9[[#This Row],[Gas Station Score]]*'Detailed Rubric V3'!$F$53</f>
        <v>0.4</v>
      </c>
      <c r="BO51" s="529">
        <v>5</v>
      </c>
      <c r="BP51" s="529" cm="1">
        <f t="array" ref="BP51">IF(ISNUMBER(Table9[[#This Row],[Source of Surface Water (40%)]]), _xlfn.IFS(Table9[[#This Row],[Source of Surface Water (40%)]]="", 0, Table9[[#This Row],[Source of Surface Water (40%)]]&gt;50, 0,Table9[[#This Row],[Source of Surface Water (40%)]]&lt;=20,4, TRUE, 2), 0)</f>
        <v>4</v>
      </c>
      <c r="BQ51" s="529">
        <f>Table9[[#This Row],[Source of Surface Water Score]]*'Detailed Rubric V3'!$I$53</f>
        <v>1.6</v>
      </c>
      <c r="BR51" s="529">
        <f>SUM(Table9[[#This Row],[Power Station Weighted Score]],Table9[[#This Row],[Gas Station Weighted Score]],Table9[[#This Row],[Source of Surface Water Weighted Score]])*'Detailed Rubric V3'!$C$51</f>
        <v>0.432</v>
      </c>
      <c r="BS51" s="529" t="s">
        <v>418</v>
      </c>
      <c r="BT51" s="529" cm="1">
        <f t="array" ref="BT51">_xlfn.IFS(Table9[[#This Row],[Other BEZA EZ (20%)]]="", 0, Table9[[#This Row],[Other BEZA EZ (20%)]]="Yes", 4, TRUE, 0)</f>
        <v>0</v>
      </c>
      <c r="BU51" s="529">
        <f>Table9[[#This Row],[Other BEZA EZ Score]]*'Detailed Rubric V3'!$C$66</f>
        <v>0</v>
      </c>
      <c r="BV51" s="529" t="s">
        <v>417</v>
      </c>
      <c r="BW51" s="529" cm="1">
        <f t="array" ref="BW51">_xlfn.IFS(Table9[[#This Row],[BEPZA/ BHPTA/ BSCIC (20%)]]="", 0, Table9[[#This Row],[BEPZA/ BHPTA/ BSCIC (20%)]]="Yes", 4, TRUE, 0)</f>
        <v>4</v>
      </c>
      <c r="BX51" s="529">
        <f>Table9[[#This Row],[BEPZA/ BHPTA/ BSCIC Score]]*'Detailed Rubric V3'!$F$66</f>
        <v>0.8</v>
      </c>
      <c r="BY51" s="529">
        <v>65</v>
      </c>
      <c r="BZ51" s="529" cm="1">
        <f t="array" ref="BZ51">_xlfn.IFS(Table9[[#This Row],[Cluster Industries (from SMI) (20%)]]="", 0, Table9[[#This Row],[Cluster Industries (from SMI) (20%)]]&gt;100, 4, Table9[[#This Row],[Cluster Industries (from SMI) (20%)]]&lt;50, 0, TRUE, 2)</f>
        <v>2</v>
      </c>
      <c r="CA51" s="529">
        <f>Table9[[#This Row],[Cluster Industries (from SMI) Score]]*'Detailed Rubric V3'!$I$66</f>
        <v>0.4</v>
      </c>
      <c r="CB51" s="529" t="s">
        <v>418</v>
      </c>
      <c r="CC51" s="529" cm="1">
        <f t="array" ref="CC51">_xlfn.IFS(Table9[[#This Row],[Located on Industrial corridor (40%)]]="", 0, Table9[[#This Row],[Located on Industrial corridor (40%)]]="Yes", 4, TRUE, 0)</f>
        <v>0</v>
      </c>
      <c r="CD51" s="529">
        <f>Table9[[#This Row],[Located on Industrial corridor Score]]*'Detailed Rubric V3'!$L$66</f>
        <v>0</v>
      </c>
      <c r="CE51" s="529">
        <f>SUM(Table9[[#This Row],[Other BEZA EZ Weighted Score]],Table9[[#This Row],[BEPZA/ BHPTA/ BSCIC Weighted Score]],Table9[[#This Row],[Unorganized (from SMI) Weighted Score]],Table9[[#This Row],[Located on Industrial corridor Weighted Score]])*'Detailed Rubric V3'!$C$64</f>
        <v>0.12000000000000002</v>
      </c>
      <c r="CF51" s="529" t="s">
        <v>417</v>
      </c>
      <c r="CG51" s="529" cm="1">
        <f t="array" ref="CG51">_xlfn.IFS(Table9[[#This Row],[Economic/ Social priority (laggered area) (100%)]]="", 0, Table9[[#This Row],[Economic/ Social priority (laggered area) (100%)]]="Yes", 4, TRUE, 0)</f>
        <v>4</v>
      </c>
      <c r="CH51" s="529">
        <f>Table9[[#This Row],[Economic/ Social priority (laggered area) Score]]*'Detailed Rubric V3'!$C$82</f>
        <v>4</v>
      </c>
      <c r="CI51" s="529" t="s">
        <v>417</v>
      </c>
      <c r="CJ51" s="529" cm="1">
        <f t="array" ref="CJ51">_xlfn.IFS(Table9[[#This Row],[Regional Tax incentive  (0%)]]="", 0, Table9[[#This Row],[Regional Tax incentive  (0%)]]="Yes", 4, TRUE, 0)</f>
        <v>4</v>
      </c>
      <c r="CK51" s="529">
        <f>Table9[[#This Row],[Regional Tax incentive Score]]*'Detailed Rubric V3'!$F$82</f>
        <v>0</v>
      </c>
      <c r="CL51" s="529">
        <f>SUM(Table9[[#This Row],[Economic/ Social priority (laagered area) Weighted Score]],Table9[[#This Row],[Regional Tax incentive  Weighted Score]])*'Detailed Rubric V3'!$C$80</f>
        <v>0.16</v>
      </c>
      <c r="CM51" s="529">
        <v>196178</v>
      </c>
      <c r="CN51" s="529" cm="1">
        <f t="array" ref="CN51">_xlfn.IFS(Table9[[#This Row],[Employable population (40%) 2013]]="", 0, Table9[[#This Row],[Employable population (40%) 2013]]&gt;200000, 4, Table9[[#This Row],[Employable population (40%) 2013]]&lt;100000,0, TRUE, 2)</f>
        <v>2</v>
      </c>
      <c r="CO51" s="529">
        <f>Table9[[#This Row],[Employable population Score]]*'Detailed Rubric V3'!$C$92</f>
        <v>0.8</v>
      </c>
      <c r="CP51" s="529">
        <v>5</v>
      </c>
      <c r="CQ51" s="529" cm="1">
        <f t="array" ref="CQ51">_xlfn.IFS(Table9[[#This Row],[Housing (20%)]]="", 0, Table9[[#This Row],[Housing (20%)]]&gt;50, 0, Table9[[#This Row],[Housing (20%)]]&lt;25, 4, TRUE, 2)</f>
        <v>4</v>
      </c>
      <c r="CR51" s="529">
        <f>Table9[[#This Row],[Housing Score]]*'Detailed Rubric V3'!$F$92</f>
        <v>0.8</v>
      </c>
      <c r="CS51" s="529">
        <v>14</v>
      </c>
      <c r="CT51" s="529" cm="1">
        <f t="array" ref="CT51">_xlfn.IFS(Table9[[#This Row],[Hotels (10%)]]="", 0, Table9[[#This Row],[Hotels (10%)]]&gt;25, 4, Table9[[#This Row],[Hotels (10%)]]&lt;5, 0, TRUE, 2)</f>
        <v>2</v>
      </c>
      <c r="CU51" s="529">
        <f>Table9[[#This Row],[Hotels Score]]*'Detailed Rubric V3'!$I$92</f>
        <v>0.2</v>
      </c>
      <c r="CV51" s="529">
        <v>40</v>
      </c>
      <c r="CW51" s="529" cm="1">
        <f t="array" ref="CW51">_xlfn.IFS(Table9[[#This Row],[Health (Hospital) (15%)]]="", 0, Table9[[#This Row],[Health (Hospital) (15%)]]&gt;10, 4, Table9[[#This Row],[Health (Hospital) (15%)]]&lt;5, 0, TRUE, 2)</f>
        <v>4</v>
      </c>
      <c r="CX51" s="529">
        <f>Table9[[#This Row],[Health (Hospital) Score]]*'Detailed Rubric V3'!$L$92</f>
        <v>0.6</v>
      </c>
      <c r="CY51" s="529">
        <v>5</v>
      </c>
      <c r="CZ51" s="529" cm="1">
        <f t="array" ref="CZ51">_xlfn.IFS(Table9[[#This Row],[University/ Technical &amp; Vocational Institutions (15%)]]="", 0, Table9[[#This Row],[University/ Technical &amp; Vocational Institutions (15%)]]&gt;3, 4, Table9[[#This Row],[University/ Technical &amp; Vocational Institutions (15%)]]&lt;1, 0, TRUE, 2)</f>
        <v>4</v>
      </c>
      <c r="DA51" s="529">
        <f>Table9[[#This Row],[University/ Technical &amp; Vocational Institutions Score]]*'Detailed Rubric V3'!$O$92</f>
        <v>0.6</v>
      </c>
      <c r="DB51" s="529">
        <f>SUM(Table9[[#This Row],[Employable population Weighted Score]],Table9[[#This Row],[Housing Weighted Score]],Table9[[#This Row],[Hotels Weighted Score]],Table9[[#This Row],[Health (Hospital) Weighted Score]],Table9[[#This Row],[University/ Technical &amp; Vocational Institutions Weighted Score]])*'Detailed Rubric V3'!$C$90</f>
        <v>0.24</v>
      </c>
      <c r="DC51" s="529" t="s">
        <v>418</v>
      </c>
      <c r="DD51" s="529" cm="1">
        <f t="array" ref="DD51">_xlfn.IFS(Table9[[#This Row],[Environment compliance (30%)]]="", 0, Table9[[#This Row],[Environment compliance (30%)]]="Yes", 4, TRUE, 0)</f>
        <v>0</v>
      </c>
      <c r="DE51" s="529">
        <f>Table9[[#This Row],[Environment compliance Score]]*'Detailed Rubric V3'!$C$104</f>
        <v>0</v>
      </c>
      <c r="DF51" s="529" t="s">
        <v>419</v>
      </c>
      <c r="DG51" s="529" cm="1">
        <f t="array" ref="DG51">_xlfn.IFS(Table9[[#This Row],[Flood Risk Index (30%)]]="", 0, Table9[[#This Row],[Flood Risk Index (30%)]]="Very Low", 4, Table9[[#This Row],[Flood Risk Index (30%)]]="Moderate &amp; Low", 2, TRUE, 0)</f>
        <v>2</v>
      </c>
      <c r="DH51" s="529">
        <f>Table9[[#This Row],[Flood Risk Index Score]]*'Detailed Rubric V3'!$F$104</f>
        <v>0.6</v>
      </c>
      <c r="DI51" s="529" t="s">
        <v>421</v>
      </c>
      <c r="DJ51" s="529" cm="1">
        <f t="array" ref="DJ51">_xlfn.IFS(Table9[[#This Row],[Earth Quake Risk Index (10%)]]="", 0, Table9[[#This Row],[Earth Quake Risk Index (10%)]]="Very Low", 4, Table9[[#This Row],[Earth Quake Risk Index (10%)]]="Moderate &amp; Low", 2, TRUE, 0)</f>
        <v>0</v>
      </c>
      <c r="DK51" s="529">
        <f>Table9[[#This Row],[Earth Quake Risk Index Score]]*'Detailed Rubric V3'!$I$104</f>
        <v>0</v>
      </c>
      <c r="DL51" s="529" t="s">
        <v>428</v>
      </c>
      <c r="DM51" s="529" cm="1">
        <f t="array" ref="DM51">_xlfn.IFS(Table9[[#This Row],[Sea Level Rise Risk Index (10%)]]="", 0, Table9[[#This Row],[Sea Level Rise Risk Index (10%)]]="Very Low", 4, Table9[[#This Row],[Sea Level Rise Risk Index (10%)]]="Moderate &amp; Low", 2, TRUE, 0)</f>
        <v>4</v>
      </c>
      <c r="DN51" s="529">
        <f>Table9[[#This Row],[Sea Level Rise  Risk Index Score]]*'Detailed Rubric V3'!$L$104</f>
        <v>0.4</v>
      </c>
      <c r="DO51" s="529" t="s">
        <v>419</v>
      </c>
      <c r="DP51" s="529" cm="1">
        <f t="array" ref="DP51">_xlfn.IFS(Table9[[#This Row],[Cyclone Risk Index (10%)]]="", 0, Table9[[#This Row],[Cyclone Risk Index (10%)]]="Very Low", 4, Table9[[#This Row],[Cyclone Risk Index (10%)]]="Moderate &amp; Low", 2, TRUE, 0)</f>
        <v>2</v>
      </c>
      <c r="DQ51" s="529">
        <f>Table9[[#This Row],[Cyclone Risk Index Score]]*'Detailed Rubric V3'!$O$104</f>
        <v>0.2</v>
      </c>
      <c r="DR51" s="529" t="s">
        <v>428</v>
      </c>
      <c r="DS51" s="529" cm="1">
        <f t="array" ref="DS51">_xlfn.IFS(Table9[[#This Row],[Storm Surge Risk Index (10%)]]="", 0, Table9[[#This Row],[Storm Surge Risk Index (10%)]]="Very Low", 4, Table9[[#This Row],[Storm Surge Risk Index (10%)]]="Moderate &amp; Low", 2, TRUE, 0)</f>
        <v>4</v>
      </c>
      <c r="DT51" s="529">
        <f>Table9[[#This Row],[Storm Surge Risk Index Score]]*'Detailed Rubric V3'!$R$104</f>
        <v>0.4</v>
      </c>
      <c r="DU51" s="529">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9.6000000000000002E-2</v>
      </c>
      <c r="DV51" s="533">
        <f>SUM(Table9[[#This Row],[2.1. Connectivity/ Logistics (10% weightage)]],Table9[[#This Row],[2.2. Utility (12% weightage)]],Table9[[#This Row],[2.3. Agglomeration effects (10% weightage)]],Table9[[#This Row],[2.4. Regional Policy (4% weightage)]],Table9[[#This Row],[2.5. Social (8% weightage)]],Table9[[#This Row],[2.6. Environment (6% weightage)]])</f>
        <v>1.3280000000000001</v>
      </c>
      <c r="DW51" s="232">
        <f>_xlfn.RANK.EQ(Table9[[#This Row],[Level 2 Score]],$DV$3:$DV$103)</f>
        <v>42</v>
      </c>
      <c r="DX51" s="533">
        <f>Table9[[#This Row],[Level 1 Score]]+Table9[[#This Row],[Level 2 Score]]</f>
        <v>1.5880000000000001</v>
      </c>
      <c r="DY51" s="232">
        <f>_xlfn.RANK.EQ(Table9[[#This Row],[Total Score]],$DX$3:$DX$103)</f>
        <v>49</v>
      </c>
      <c r="DZ51" s="237" t="str">
        <f>IF(Table9[[#This Row],[Count of Blanks]]&lt;=2, "Yes", "No")</f>
        <v>Yes</v>
      </c>
      <c r="EA51" s="237">
        <f>COUNTBLANK(Table9[[#This Row],[Name]:[Total Score Rank]])</f>
        <v>2</v>
      </c>
      <c r="EB51" s="237"/>
    </row>
    <row r="52" spans="2:132" ht="27" x14ac:dyDescent="0.25">
      <c r="B52" s="220">
        <v>28</v>
      </c>
      <c r="C52" s="221" t="s">
        <v>56</v>
      </c>
      <c r="D52" s="220" t="s">
        <v>68</v>
      </c>
      <c r="E52" s="220" t="s">
        <v>74</v>
      </c>
      <c r="F52" s="220" t="s">
        <v>88</v>
      </c>
      <c r="G52" s="220" t="s">
        <v>70</v>
      </c>
      <c r="H52" s="525" t="s">
        <v>422</v>
      </c>
      <c r="I52" s="70" t="s">
        <v>453</v>
      </c>
      <c r="J52" s="227" t="s">
        <v>444</v>
      </c>
      <c r="K52" s="220">
        <f>IFERROR(VLOOKUP(Table9[[#This Row],[Land Availability (Grade)​
(50%)]],'Detailed Rubric V3'!$B$8:$C$11,2), 0)</f>
        <v>0</v>
      </c>
      <c r="L52" s="220">
        <f>IFERROR(Table9[[#This Row],[Land Availability (Grade)​ Score]]*'Detailed Rubric V3'!$C$6, "")</f>
        <v>0</v>
      </c>
      <c r="M52" s="222">
        <v>1438.52</v>
      </c>
      <c r="N52" s="222" cm="1">
        <f t="array" ref="N52">_xlfn.IFS(Table9[[#This Row],[Land Size (Acres)
(15%)]]&lt;100,0,Table9[[#This Row],[Land Size (Acres)
(15%)]]&gt;500,4,TRUE,2)</f>
        <v>4</v>
      </c>
      <c r="O52" s="222">
        <f>Table9[[#This Row],[Land Size (Acres) Score]]*'Detailed Rubric V3'!$G$6</f>
        <v>0.6</v>
      </c>
      <c r="P52" s="526"/>
      <c r="Q52" s="526">
        <f>IFERROR(Table9[[#This Row],[Site Filling Cost (Mn BDT)]]/Table9[[#This Row],[Land Size (Acres)
(15%)]],"")</f>
        <v>0</v>
      </c>
      <c r="R52" s="526" cm="1">
        <f t="array" ref="R52">IF(Table9[[#This Row],[Name]]="Sitakundo Economic Zone", 4, _xlfn.IFS(Table9[[#This Row],[Site Filling Cost (Mn BDT)]]="",0,Table9[[#This Row],[Land Suitability
(Cost of Land Filling in Million BDT per acre)
(25%)]]&gt;5,0,Table9[[#This Row],[Land Suitability
(Cost of Land Filling in Million BDT per acre)
(25%)]]&lt;2,4,TRUE,2))</f>
        <v>0</v>
      </c>
      <c r="S52" s="526">
        <f>Table9[[#This Row],[Land Suitability for Construction Score]]*'Detailed Rubric V3'!$J$6</f>
        <v>0</v>
      </c>
      <c r="T52" s="526"/>
      <c r="U52" s="526">
        <f>IFERROR(Table9[[#This Row],[Embankment/Dyke Cost (Mn BDT)]]/Table9[[#This Row],[Land Size (Acres)
(15%)]], 0)</f>
        <v>0</v>
      </c>
      <c r="V52" s="526" cm="1">
        <f t="array" ref="V52">IF(Table9[[#This Row],[Name]]="Sitakundo Economic Zone", 2, _xlfn.IFS(Table9[[#This Row],[Embankment/Dyke Cost (Mn BDT)]]="",0,Table9[[#This Row],[Cost of DRRI Infrastructure in million BDT per acre
(10%)]]&gt;5,0,Table9[[#This Row],[Cost of DRRI Infrastructure in million BDT per acre
(10%)]]&lt;2,4,TRUE,2))</f>
        <v>0</v>
      </c>
      <c r="W52" s="526">
        <f>Table9[[#This Row],[Requirement for Distaster Risk Reduction &amp; Resilience Infrastructure Score]]*'Detailed Rubric V3'!$M$6</f>
        <v>0</v>
      </c>
      <c r="X52"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52" s="452" t="s">
        <v>436</v>
      </c>
      <c r="Z52" s="210">
        <f>IFERROR(VLOOKUP(Table9[[#This Row],[Zone Priority
(40%)]],'Detailed Rubric V3'!$B$18:$C$21, 2,FALSE), 0)</f>
        <v>0</v>
      </c>
      <c r="AA52" s="210">
        <f>IFERROR(Table9[[#This Row],[Zone Priority Score]]*'Detailed Rubric V3'!$C$16, 0)</f>
        <v>0</v>
      </c>
      <c r="AB52" s="237" t="s">
        <v>441</v>
      </c>
      <c r="AC52" s="237">
        <f>VLOOKUP(Table9[[#This Row],[Existing BEZA Report
(60%)]],'Detailed Rubric V3'!$E$18:$F$20,2,FALSE)</f>
        <v>0</v>
      </c>
      <c r="AD52" s="237">
        <f>Table9[[#This Row],[Existing BEZA Report Score]]*'Detailed Rubric V3'!F$16</f>
        <v>0</v>
      </c>
      <c r="AE52" s="237">
        <f>(Table9[[#This Row],[Zone Priority Weighted Score]]+Table9[[#This Row],[Existing BEZA Report Weighted Score]])*'Detailed Rubric V3'!$C$14</f>
        <v>0</v>
      </c>
      <c r="AF52" s="528">
        <v>1</v>
      </c>
      <c r="AG52" s="529" cm="1">
        <f t="array" ref="AG52">_xlfn.IFS(Table9[[#This Row],[Existing Sectors
(50%)]]&gt;10, 4,Table9[[#This Row],[Existing Sectors
(50%)]]&lt;5, 0, TRUE, 2)</f>
        <v>0</v>
      </c>
      <c r="AH52" s="529">
        <f>Table9[[#This Row],[Existing Sectors Score]]*'Detailed Rubric V3'!$C$25</f>
        <v>0</v>
      </c>
      <c r="AI52" s="529">
        <v>4</v>
      </c>
      <c r="AJ52" s="529">
        <v>3</v>
      </c>
      <c r="AK52" s="529" cm="1">
        <f t="array" ref="AK52">_xlfn.IFS(Table9[[#This Row],[Potential New Sectors
(50%)]]&gt;5, 4, Table9[[#This Row],[Potential New Sectors
(50%)]]&lt;2,0, TRUE, 2)</f>
        <v>2</v>
      </c>
      <c r="AL52" s="529">
        <f>Table9[[#This Row],[Potential New Sectors Score]]*'Detailed Rubric V3'!$F$25</f>
        <v>1</v>
      </c>
      <c r="AM52" s="232">
        <f>(Table9[[#This Row],[Existing Sectors Weighted Score]]+Table9[[#This Row],[Potential New Sectors Weighted Score]])*'Detailed Rubric V3'!$C$23</f>
        <v>0.15</v>
      </c>
      <c r="AN52" s="530">
        <f>SUM(Table9[[#This Row],[1.1. Land Details (20% weightage)]],Table9[[#This Row],[1.2. BEZA Existing plans (15% weightage)]],Table9[[#This Row],[1.3. Sector Demand (15% weightage):]])</f>
        <v>0.27</v>
      </c>
      <c r="AO52" s="531">
        <f>_xlfn.RANK.EQ(Table9[[#This Row],[Level 1 Score]],$AN$3:$AN$103)</f>
        <v>72</v>
      </c>
      <c r="AP52" s="280"/>
      <c r="AQ52" s="280" cm="1">
        <f t="array" ref="AQ52">_xlfn.IFS(Table9[[#This Row],[National Highway Connectivity (km)
(15%)]]="", 0, Table9[[#This Row],[National Highway Connectivity (km)
(15%)]]&gt;50, 0, Table9[[#This Row],[National Highway Connectivity (km)
(15%)]]&lt;=25, 4, TRUE, 2)</f>
        <v>0</v>
      </c>
      <c r="AR52" s="280">
        <f>Table9[[#This Row],[National Highway Connectivity Score]]*'Detailed Rubric V3'!$C$35</f>
        <v>0</v>
      </c>
      <c r="AS52" s="280"/>
      <c r="AT52" s="280" cm="1">
        <f t="array" ref="AT52">_xlfn.IFS(Table9[[#This Row],[Connecting Road to Highway (km)
(15%)]]="", 0, Table9[[#This Row],[Connecting Road to Highway (km)
(15%)]]="Yes", 4, TRUE, 0)</f>
        <v>0</v>
      </c>
      <c r="AU52" s="280">
        <f>Table9[[#This Row],[Connecting Road to Highway Score]]*'Detailed Rubric V3'!$F$35</f>
        <v>0</v>
      </c>
      <c r="AV52" s="280"/>
      <c r="AW52" s="280" cm="1">
        <f t="array" ref="AW52">_xlfn.IFS(Table9[[#This Row],[Seaport Connectivity (km)
(30%)]]="",0, Table9[[#This Row],[Seaport Connectivity (km)
(30%)]]&gt;400, 0,Table9[[#This Row],[Seaport Connectivity (km)
(30%)]]&lt;=200,4, TRUE, 2)</f>
        <v>0</v>
      </c>
      <c r="AX52" s="280">
        <f>Table9[[#This Row],[Seaport Connectivity Score]]*'Detailed Rubric V3'!$I$35</f>
        <v>0</v>
      </c>
      <c r="AY52" s="280">
        <v>26</v>
      </c>
      <c r="AZ52" s="280" cm="1">
        <f t="array" ref="AZ52">_xlfn.IFS(Table9[[#This Row],[Airport Connectivity (km)
(10%)]]="", 0, Table9[[#This Row],[Airport Connectivity (km)
(10%)]]&gt;200, 0, Table9[[#This Row],[Airport Connectivity (km)
(10%)]]&lt;=100,4,TRUE, 2)</f>
        <v>4</v>
      </c>
      <c r="BA52" s="280">
        <f>Table9[[#This Row],[Airport Connectivity Score]]*'Detailed Rubric V3'!$C$41</f>
        <v>0.4</v>
      </c>
      <c r="BB52" s="280">
        <v>71</v>
      </c>
      <c r="BC52" s="280" cm="1">
        <f t="array" ref="BC52">_xlfn.IFS(Table9[[#This Row],[Railway Station (km)
(10%)]]="", 0, Table9[[#This Row],[Railway Station (km)
(10%)]]&gt;150, 0,Table9[[#This Row],[Railway Station (km)
(10%)]]&lt;=50,4, TRUE, 2)</f>
        <v>2</v>
      </c>
      <c r="BD52" s="280">
        <f>Table9[[#This Row],[Railway Station Score]]*'Detailed Rubric V3'!$F$41</f>
        <v>0.2</v>
      </c>
      <c r="BE52" s="280">
        <v>106</v>
      </c>
      <c r="BF52" s="280" cm="1">
        <f t="array" ref="BF52">_xlfn.IFS(Table9[[#This Row],[Inland waterway/ Land port (km)
(20%)]]="", 0, Table9[[#This Row],[Inland waterway/ Land port (km)
(20%)]]&gt;200, 0,Table9[[#This Row],[Inland waterway/ Land port (km)
(20%)]]&lt;=50,4, TRUE, 2)</f>
        <v>2</v>
      </c>
      <c r="BG52" s="280">
        <f>Table9[[#This Row],[Inland waterway/ Land port Score]]*'Detailed Rubric V3'!$I$41</f>
        <v>0.4</v>
      </c>
      <c r="BH52"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0.1</v>
      </c>
      <c r="BI52" s="280">
        <v>4</v>
      </c>
      <c r="BJ52" s="280" cm="1">
        <f t="array" ref="BJ52">_xlfn.IFS(Table9[[#This Row],[Power Station (40%)]]="",0, Table9[[#This Row],[Power Station (40%)]]&gt;100, 0,Table9[[#This Row],[Power Station (40%)]]&lt;=50,4, TRUE, 2)</f>
        <v>4</v>
      </c>
      <c r="BK52" s="280">
        <f>Table9[[#This Row],[Power Station Score]]*'Detailed Rubric V3'!$C$53</f>
        <v>1.6</v>
      </c>
      <c r="BL52" s="280" t="s">
        <v>433</v>
      </c>
      <c r="BM52" s="280" cm="1">
        <f t="array" ref="BM52">IF(ISNUMBER(Table9[[#This Row],[Gas Station (20%)]]), _xlfn.IFS(Table9[[#This Row],[Gas Station (20%)]]="", 0, Table9[[#This Row],[Gas Station (20%)]]&gt;100, 0,Table9[[#This Row],[Gas Station (20%)]]&lt;=50,4, TRUE, 2), 0)</f>
        <v>0</v>
      </c>
      <c r="BN52" s="280">
        <f>Table9[[#This Row],[Gas Station Score]]*'Detailed Rubric V3'!$F$53</f>
        <v>0</v>
      </c>
      <c r="BO52" s="280" t="s">
        <v>433</v>
      </c>
      <c r="BP52" s="280" cm="1">
        <f t="array" ref="BP52">IF(ISNUMBER(Table9[[#This Row],[Source of Surface Water (40%)]]), _xlfn.IFS(Table9[[#This Row],[Source of Surface Water (40%)]]="", 0, Table9[[#This Row],[Source of Surface Water (40%)]]&gt;50, 0,Table9[[#This Row],[Source of Surface Water (40%)]]&lt;=20,4, TRUE, 2), 0)</f>
        <v>0</v>
      </c>
      <c r="BQ52" s="280">
        <f>Table9[[#This Row],[Source of Surface Water Score]]*'Detailed Rubric V3'!$I$53</f>
        <v>0</v>
      </c>
      <c r="BR52" s="280">
        <f>SUM(Table9[[#This Row],[Power Station Weighted Score]],Table9[[#This Row],[Gas Station Weighted Score]],Table9[[#This Row],[Source of Surface Water Weighted Score]])*'Detailed Rubric V3'!$C$51</f>
        <v>0.192</v>
      </c>
      <c r="BS52" s="280" t="s">
        <v>417</v>
      </c>
      <c r="BT52" s="280" cm="1">
        <f t="array" ref="BT52">_xlfn.IFS(Table9[[#This Row],[Other BEZA EZ (20%)]]="", 0, Table9[[#This Row],[Other BEZA EZ (20%)]]="Yes", 4, TRUE, 0)</f>
        <v>4</v>
      </c>
      <c r="BU52" s="280">
        <f>Table9[[#This Row],[Other BEZA EZ Score]]*'Detailed Rubric V3'!$C$66</f>
        <v>0.8</v>
      </c>
      <c r="BV52" s="280" t="s">
        <v>417</v>
      </c>
      <c r="BW52" s="280" cm="1">
        <f t="array" ref="BW52">_xlfn.IFS(Table9[[#This Row],[BEPZA/ BHPTA/ BSCIC (20%)]]="", 0, Table9[[#This Row],[BEPZA/ BHPTA/ BSCIC (20%)]]="Yes", 4, TRUE, 0)</f>
        <v>4</v>
      </c>
      <c r="BX52" s="280">
        <f>Table9[[#This Row],[BEPZA/ BHPTA/ BSCIC Score]]*'Detailed Rubric V3'!$F$66</f>
        <v>0.8</v>
      </c>
      <c r="BY52" s="280">
        <v>38</v>
      </c>
      <c r="BZ52" s="280" cm="1">
        <f t="array" ref="BZ52">_xlfn.IFS(Table9[[#This Row],[Cluster Industries (from SMI) (20%)]]="", 0, Table9[[#This Row],[Cluster Industries (from SMI) (20%)]]&gt;100, 4, Table9[[#This Row],[Cluster Industries (from SMI) (20%)]]&lt;50, 0, TRUE, 2)</f>
        <v>0</v>
      </c>
      <c r="CA52" s="280">
        <f>Table9[[#This Row],[Cluster Industries (from SMI) Score]]*'Detailed Rubric V3'!$I$66</f>
        <v>0</v>
      </c>
      <c r="CB52" s="280" t="s">
        <v>417</v>
      </c>
      <c r="CC52" s="280" cm="1">
        <f t="array" ref="CC52">_xlfn.IFS(Table9[[#This Row],[Located on Industrial corridor (40%)]]="", 0, Table9[[#This Row],[Located on Industrial corridor (40%)]]="Yes", 4, TRUE, 0)</f>
        <v>4</v>
      </c>
      <c r="CD52" s="280">
        <f>Table9[[#This Row],[Located on Industrial corridor Score]]*'Detailed Rubric V3'!$L$66</f>
        <v>1.6</v>
      </c>
      <c r="CE52" s="280">
        <f>SUM(Table9[[#This Row],[Other BEZA EZ Weighted Score]],Table9[[#This Row],[BEPZA/ BHPTA/ BSCIC Weighted Score]],Table9[[#This Row],[Unorganized (from SMI) Weighted Score]],Table9[[#This Row],[Located on Industrial corridor Weighted Score]])*'Detailed Rubric V3'!$C$64</f>
        <v>0.32000000000000006</v>
      </c>
      <c r="CF52" s="280" t="s">
        <v>417</v>
      </c>
      <c r="CG52" s="280" cm="1">
        <f t="array" ref="CG52">_xlfn.IFS(Table9[[#This Row],[Economic/ Social priority (laggered area) (100%)]]="", 0, Table9[[#This Row],[Economic/ Social priority (laggered area) (100%)]]="Yes", 4, TRUE, 0)</f>
        <v>4</v>
      </c>
      <c r="CH52" s="280">
        <f>Table9[[#This Row],[Economic/ Social priority (laggered area) Score]]*'Detailed Rubric V3'!$C$82</f>
        <v>4</v>
      </c>
      <c r="CI52" s="280" t="s">
        <v>417</v>
      </c>
      <c r="CJ52" s="280" cm="1">
        <f t="array" ref="CJ52">_xlfn.IFS(Table9[[#This Row],[Regional Tax incentive  (0%)]]="", 0, Table9[[#This Row],[Regional Tax incentive  (0%)]]="Yes", 4, TRUE, 0)</f>
        <v>4</v>
      </c>
      <c r="CK52" s="280">
        <f>Table9[[#This Row],[Regional Tax incentive Score]]*'Detailed Rubric V3'!$F$82</f>
        <v>0</v>
      </c>
      <c r="CL52" s="280">
        <f>SUM(Table9[[#This Row],[Economic/ Social priority (laagered area) Weighted Score]],Table9[[#This Row],[Regional Tax incentive  Weighted Score]])*'Detailed Rubric V3'!$C$80</f>
        <v>0.16</v>
      </c>
      <c r="CM52" s="280">
        <v>260078</v>
      </c>
      <c r="CN52" s="280" cm="1">
        <f t="array" ref="CN52">_xlfn.IFS(Table9[[#This Row],[Employable population (40%) 2013]]="", 0, Table9[[#This Row],[Employable population (40%) 2013]]&gt;200000, 4, Table9[[#This Row],[Employable population (40%) 2013]]&lt;100000,0, TRUE, 2)</f>
        <v>4</v>
      </c>
      <c r="CO52" s="280">
        <f>Table9[[#This Row],[Employable population Score]]*'Detailed Rubric V3'!$C$92</f>
        <v>1.6</v>
      </c>
      <c r="CP52" s="280">
        <v>12</v>
      </c>
      <c r="CQ52" s="280" cm="1">
        <f t="array" ref="CQ52">_xlfn.IFS(Table9[[#This Row],[Housing (20%)]]="", 0, Table9[[#This Row],[Housing (20%)]]&gt;50, 0, Table9[[#This Row],[Housing (20%)]]&lt;25, 4, TRUE, 2)</f>
        <v>4</v>
      </c>
      <c r="CR52" s="280">
        <f>Table9[[#This Row],[Housing Score]]*'Detailed Rubric V3'!$F$92</f>
        <v>0.8</v>
      </c>
      <c r="CS52" s="280">
        <v>86</v>
      </c>
      <c r="CT52" s="280" cm="1">
        <f t="array" ref="CT52">_xlfn.IFS(Table9[[#This Row],[Hotels (10%)]]="", 0, Table9[[#This Row],[Hotels (10%)]]&gt;25, 4, Table9[[#This Row],[Hotels (10%)]]&lt;5, 0, TRUE, 2)</f>
        <v>4</v>
      </c>
      <c r="CU52" s="280">
        <f>Table9[[#This Row],[Hotels Score]]*'Detailed Rubric V3'!$I$92</f>
        <v>0.4</v>
      </c>
      <c r="CV52" s="280">
        <v>61</v>
      </c>
      <c r="CW52" s="280" cm="1">
        <f t="array" ref="CW52">_xlfn.IFS(Table9[[#This Row],[Health (Hospital) (15%)]]="", 0, Table9[[#This Row],[Health (Hospital) (15%)]]&gt;10, 4, Table9[[#This Row],[Health (Hospital) (15%)]]&lt;5, 0, TRUE, 2)</f>
        <v>4</v>
      </c>
      <c r="CX52" s="280">
        <f>Table9[[#This Row],[Health (Hospital) Score]]*'Detailed Rubric V3'!$L$92</f>
        <v>0.6</v>
      </c>
      <c r="CY52" s="280">
        <v>24</v>
      </c>
      <c r="CZ52" s="280" cm="1">
        <f t="array" ref="CZ52">_xlfn.IFS(Table9[[#This Row],[University/ Technical &amp; Vocational Institutions (15%)]]="", 0, Table9[[#This Row],[University/ Technical &amp; Vocational Institutions (15%)]]&gt;3, 4, Table9[[#This Row],[University/ Technical &amp; Vocational Institutions (15%)]]&lt;1, 0, TRUE, 2)</f>
        <v>4</v>
      </c>
      <c r="DA52" s="280">
        <f>Table9[[#This Row],[University/ Technical &amp; Vocational Institutions Score]]*'Detailed Rubric V3'!$O$92</f>
        <v>0.6</v>
      </c>
      <c r="DB52" s="280">
        <f>SUM(Table9[[#This Row],[Employable population Weighted Score]],Table9[[#This Row],[Housing Weighted Score]],Table9[[#This Row],[Hotels Weighted Score]],Table9[[#This Row],[Health (Hospital) Weighted Score]],Table9[[#This Row],[University/ Technical &amp; Vocational Institutions Weighted Score]])*'Detailed Rubric V3'!$C$90</f>
        <v>0.32</v>
      </c>
      <c r="DC52" s="280" t="s">
        <v>417</v>
      </c>
      <c r="DD52" s="280" cm="1">
        <f t="array" ref="DD52">_xlfn.IFS(Table9[[#This Row],[Environment compliance (30%)]]="", 0, Table9[[#This Row],[Environment compliance (30%)]]="Yes", 4, TRUE, 0)</f>
        <v>4</v>
      </c>
      <c r="DE52" s="280">
        <f>Table9[[#This Row],[Environment compliance Score]]*'Detailed Rubric V3'!$C$104</f>
        <v>1.2</v>
      </c>
      <c r="DF52" s="280" t="s">
        <v>419</v>
      </c>
      <c r="DG52" s="280" cm="1">
        <f t="array" ref="DG52">_xlfn.IFS(Table9[[#This Row],[Flood Risk Index (30%)]]="", 0, Table9[[#This Row],[Flood Risk Index (30%)]]="Very Low", 4, Table9[[#This Row],[Flood Risk Index (30%)]]="Moderate &amp; Low", 2, TRUE, 0)</f>
        <v>2</v>
      </c>
      <c r="DH52" s="280">
        <f>Table9[[#This Row],[Flood Risk Index Score]]*'Detailed Rubric V3'!$F$104</f>
        <v>0.6</v>
      </c>
      <c r="DI52" s="280" t="s">
        <v>419</v>
      </c>
      <c r="DJ52" s="280" cm="1">
        <f t="array" ref="DJ52">_xlfn.IFS(Table9[[#This Row],[Earth Quake Risk Index (10%)]]="", 0, Table9[[#This Row],[Earth Quake Risk Index (10%)]]="Very Low", 4, Table9[[#This Row],[Earth Quake Risk Index (10%)]]="Moderate &amp; Low", 2, TRUE, 0)</f>
        <v>2</v>
      </c>
      <c r="DK52" s="280">
        <f>Table9[[#This Row],[Earth Quake Risk Index Score]]*'Detailed Rubric V3'!$I$104</f>
        <v>0.2</v>
      </c>
      <c r="DL52" s="280" t="s">
        <v>419</v>
      </c>
      <c r="DM52" s="280" cm="1">
        <f t="array" ref="DM52">_xlfn.IFS(Table9[[#This Row],[Sea Level Rise Risk Index (10%)]]="", 0, Table9[[#This Row],[Sea Level Rise Risk Index (10%)]]="Very Low", 4, Table9[[#This Row],[Sea Level Rise Risk Index (10%)]]="Moderate &amp; Low", 2, TRUE, 0)</f>
        <v>2</v>
      </c>
      <c r="DN52" s="280">
        <f>Table9[[#This Row],[Sea Level Rise  Risk Index Score]]*'Detailed Rubric V3'!$L$104</f>
        <v>0.2</v>
      </c>
      <c r="DO52" s="280" t="s">
        <v>420</v>
      </c>
      <c r="DP52" s="280" cm="1">
        <f t="array" ref="DP52">_xlfn.IFS(Table9[[#This Row],[Cyclone Risk Index (10%)]]="", 0, Table9[[#This Row],[Cyclone Risk Index (10%)]]="Very Low", 4, Table9[[#This Row],[Cyclone Risk Index (10%)]]="Moderate &amp; Low", 2, TRUE, 0)</f>
        <v>0</v>
      </c>
      <c r="DQ52" s="280">
        <f>Table9[[#This Row],[Cyclone Risk Index Score]]*'Detailed Rubric V3'!$O$104</f>
        <v>0</v>
      </c>
      <c r="DR52" s="280" t="s">
        <v>419</v>
      </c>
      <c r="DS52" s="280" cm="1">
        <f t="array" ref="DS52">_xlfn.IFS(Table9[[#This Row],[Storm Surge Risk Index (10%)]]="", 0, Table9[[#This Row],[Storm Surge Risk Index (10%)]]="Very Low", 4, Table9[[#This Row],[Storm Surge Risk Index (10%)]]="Moderate &amp; Low", 2, TRUE, 0)</f>
        <v>2</v>
      </c>
      <c r="DT52" s="280">
        <f>Table9[[#This Row],[Storm Surge Risk Index Score]]*'Detailed Rubric V3'!$R$104</f>
        <v>0.2</v>
      </c>
      <c r="DU52"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0.14399999999999999</v>
      </c>
      <c r="DV52" s="302">
        <f>SUM(Table9[[#This Row],[2.1. Connectivity/ Logistics (10% weightage)]],Table9[[#This Row],[2.2. Utility (12% weightage)]],Table9[[#This Row],[2.3. Agglomeration effects (10% weightage)]],Table9[[#This Row],[2.4. Regional Policy (4% weightage)]],Table9[[#This Row],[2.5. Social (8% weightage)]],Table9[[#This Row],[2.6. Environment (6% weightage)]])</f>
        <v>1.236</v>
      </c>
      <c r="DW52" s="294">
        <f>_xlfn.RANK.EQ(Table9[[#This Row],[Level 2 Score]],$DV$3:$DV$103)</f>
        <v>45</v>
      </c>
      <c r="DX52" s="302">
        <f>Table9[[#This Row],[Level 1 Score]]+Table9[[#This Row],[Level 2 Score]]</f>
        <v>1.506</v>
      </c>
      <c r="DY52" s="294">
        <f>_xlfn.RANK.EQ(Table9[[#This Row],[Total Score]],$DX$3:$DX$103)</f>
        <v>50</v>
      </c>
      <c r="DZ52" s="237" t="str">
        <f>IF(Table9[[#This Row],[Count of Blanks]]&lt;=2, "Yes", "No")</f>
        <v>No</v>
      </c>
      <c r="EA52" s="237">
        <f>COUNTBLANK(Table9[[#This Row],[Name]:[Total Score Rank]])</f>
        <v>5</v>
      </c>
      <c r="EB52" s="237"/>
    </row>
    <row r="53" spans="2:132" ht="40.5" x14ac:dyDescent="0.25">
      <c r="B53" s="220">
        <v>68</v>
      </c>
      <c r="C53" s="221" t="s">
        <v>64</v>
      </c>
      <c r="D53" s="220" t="s">
        <v>84</v>
      </c>
      <c r="E53" s="220" t="s">
        <v>97</v>
      </c>
      <c r="F53" s="220" t="s">
        <v>98</v>
      </c>
      <c r="G53" s="220" t="s">
        <v>79</v>
      </c>
      <c r="H53" s="525" t="s">
        <v>410</v>
      </c>
      <c r="I53" s="70" t="s">
        <v>461</v>
      </c>
      <c r="J53" s="227" t="s">
        <v>412</v>
      </c>
      <c r="K53" s="220">
        <f>IFERROR(VLOOKUP(Table9[[#This Row],[Land Availability (Grade)​
(50%)]],'Detailed Rubric V3'!$B$8:$C$11,2), 0)</f>
        <v>4</v>
      </c>
      <c r="L53" s="220">
        <f>IFERROR(Table9[[#This Row],[Land Availability (Grade)​ Score]]*'Detailed Rubric V3'!$C$6, "")</f>
        <v>2</v>
      </c>
      <c r="M53" s="222">
        <v>110.15</v>
      </c>
      <c r="N53" s="222" cm="1">
        <f t="array" ref="N53">_xlfn.IFS(Table9[[#This Row],[Land Size (Acres)
(15%)]]&lt;100,0,Table9[[#This Row],[Land Size (Acres)
(15%)]]&gt;500,4,TRUE,2)</f>
        <v>2</v>
      </c>
      <c r="O53" s="222">
        <f>Table9[[#This Row],[Land Size (Acres) Score]]*'Detailed Rubric V3'!$G$6</f>
        <v>0.3</v>
      </c>
      <c r="P53" s="526"/>
      <c r="Q53" s="526">
        <f>IFERROR(Table9[[#This Row],[Site Filling Cost (Mn BDT)]]/Table9[[#This Row],[Land Size (Acres)
(15%)]],"")</f>
        <v>0</v>
      </c>
      <c r="R53" s="526" cm="1">
        <f t="array" ref="R53">IF(Table9[[#This Row],[Name]]="Sitakundo Economic Zone", 4, _xlfn.IFS(Table9[[#This Row],[Site Filling Cost (Mn BDT)]]="",0,Table9[[#This Row],[Land Suitability
(Cost of Land Filling in Million BDT per acre)
(25%)]]&gt;5,0,Table9[[#This Row],[Land Suitability
(Cost of Land Filling in Million BDT per acre)
(25%)]]&lt;2,4,TRUE,2))</f>
        <v>0</v>
      </c>
      <c r="S53" s="526">
        <f>Table9[[#This Row],[Land Suitability for Construction Score]]*'Detailed Rubric V3'!$J$6</f>
        <v>0</v>
      </c>
      <c r="T53" s="526"/>
      <c r="U53" s="526">
        <f>IFERROR(Table9[[#This Row],[Embankment/Dyke Cost (Mn BDT)]]/Table9[[#This Row],[Land Size (Acres)
(15%)]], 0)</f>
        <v>0</v>
      </c>
      <c r="V53" s="526" cm="1">
        <f t="array" ref="V53">IF(Table9[[#This Row],[Name]]="Sitakundo Economic Zone", 2, _xlfn.IFS(Table9[[#This Row],[Embankment/Dyke Cost (Mn BDT)]]="",0,Table9[[#This Row],[Cost of DRRI Infrastructure in million BDT per acre
(10%)]]&gt;5,0,Table9[[#This Row],[Cost of DRRI Infrastructure in million BDT per acre
(10%)]]&lt;2,4,TRUE,2))</f>
        <v>0</v>
      </c>
      <c r="W53" s="526">
        <f>Table9[[#This Row],[Requirement for Distaster Risk Reduction &amp; Resilience Infrastructure Score]]*'Detailed Rubric V3'!$M$6</f>
        <v>0</v>
      </c>
      <c r="X53"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0.45999999999999996</v>
      </c>
      <c r="Y53" s="227" t="s">
        <v>415</v>
      </c>
      <c r="Z53" s="210">
        <f>IFERROR(VLOOKUP(Table9[[#This Row],[Zone Priority
(40%)]],'Detailed Rubric V3'!$B$18:$C$21, 2,FALSE), 0)</f>
        <v>4</v>
      </c>
      <c r="AA53" s="210">
        <f>IFERROR(Table9[[#This Row],[Zone Priority Score]]*'Detailed Rubric V3'!$C$16, 0)</f>
        <v>0</v>
      </c>
      <c r="AB53" s="237" t="s">
        <v>416</v>
      </c>
      <c r="AC53" s="237">
        <f>VLOOKUP(Table9[[#This Row],[Existing BEZA Report
(60%)]],'Detailed Rubric V3'!$E$18:$F$20,2,FALSE)</f>
        <v>4</v>
      </c>
      <c r="AD53" s="237">
        <f>Table9[[#This Row],[Existing BEZA Report Score]]*'Detailed Rubric V3'!F$16</f>
        <v>4</v>
      </c>
      <c r="AE53" s="237">
        <f>(Table9[[#This Row],[Zone Priority Weighted Score]]+Table9[[#This Row],[Existing BEZA Report Weighted Score]])*'Detailed Rubric V3'!$C$14</f>
        <v>0.6</v>
      </c>
      <c r="AF53" s="528">
        <v>0</v>
      </c>
      <c r="AG53" s="529" cm="1">
        <f t="array" ref="AG53">_xlfn.IFS(Table9[[#This Row],[Existing Sectors
(50%)]]&gt;10, 4,Table9[[#This Row],[Existing Sectors
(50%)]]&lt;5, 0, TRUE, 2)</f>
        <v>0</v>
      </c>
      <c r="AH53" s="529">
        <f>Table9[[#This Row],[Existing Sectors Score]]*'Detailed Rubric V3'!$C$25</f>
        <v>0</v>
      </c>
      <c r="AI53" s="529">
        <v>1</v>
      </c>
      <c r="AJ53" s="529">
        <v>1</v>
      </c>
      <c r="AK53" s="529" cm="1">
        <f t="array" ref="AK53">_xlfn.IFS(Table9[[#This Row],[Potential New Sectors
(50%)]]&gt;5, 4, Table9[[#This Row],[Potential New Sectors
(50%)]]&lt;2,0, TRUE, 2)</f>
        <v>0</v>
      </c>
      <c r="AL53" s="529">
        <f>Table9[[#This Row],[Potential New Sectors Score]]*'Detailed Rubric V3'!$F$25</f>
        <v>0</v>
      </c>
      <c r="AM53" s="232">
        <f>(Table9[[#This Row],[Existing Sectors Weighted Score]]+Table9[[#This Row],[Potential New Sectors Weighted Score]])*'Detailed Rubric V3'!$C$23</f>
        <v>0</v>
      </c>
      <c r="AN53" s="530">
        <f>SUM(Table9[[#This Row],[1.1. Land Details (20% weightage)]],Table9[[#This Row],[1.2. BEZA Existing plans (15% weightage)]],Table9[[#This Row],[1.3. Sector Demand (15% weightage):]])</f>
        <v>1.06</v>
      </c>
      <c r="AO53" s="531">
        <f>_xlfn.RANK.EQ(Table9[[#This Row],[Level 1 Score]],$AN$3:$AN$103)</f>
        <v>21</v>
      </c>
      <c r="AP53" s="280"/>
      <c r="AQ53" s="280" cm="1">
        <f t="array" ref="AQ53">_xlfn.IFS(Table9[[#This Row],[National Highway Connectivity (km)
(15%)]]="", 0, Table9[[#This Row],[National Highway Connectivity (km)
(15%)]]&gt;50, 0, Table9[[#This Row],[National Highway Connectivity (km)
(15%)]]&lt;=25, 4, TRUE, 2)</f>
        <v>0</v>
      </c>
      <c r="AR53" s="280">
        <f>Table9[[#This Row],[National Highway Connectivity Score]]*'Detailed Rubric V3'!$C$35</f>
        <v>0</v>
      </c>
      <c r="AS53" s="280"/>
      <c r="AT53" s="280" cm="1">
        <f t="array" ref="AT53">_xlfn.IFS(Table9[[#This Row],[Connecting Road to Highway (km)
(15%)]]="", 0, Table9[[#This Row],[Connecting Road to Highway (km)
(15%)]]="Yes", 4, TRUE, 0)</f>
        <v>0</v>
      </c>
      <c r="AU53" s="280">
        <f>Table9[[#This Row],[Connecting Road to Highway Score]]*'Detailed Rubric V3'!$F$35</f>
        <v>0</v>
      </c>
      <c r="AV53" s="280"/>
      <c r="AW53" s="280" cm="1">
        <f t="array" ref="AW53">_xlfn.IFS(Table9[[#This Row],[Seaport Connectivity (km)
(30%)]]="",0, Table9[[#This Row],[Seaport Connectivity (km)
(30%)]]&gt;400, 0,Table9[[#This Row],[Seaport Connectivity (km)
(30%)]]&lt;=200,4, TRUE, 2)</f>
        <v>0</v>
      </c>
      <c r="AX53" s="280">
        <f>Table9[[#This Row],[Seaport Connectivity Score]]*'Detailed Rubric V3'!$I$35</f>
        <v>0</v>
      </c>
      <c r="AY53" s="280"/>
      <c r="AZ53" s="280" cm="1">
        <f t="array" ref="AZ53">_xlfn.IFS(Table9[[#This Row],[Airport Connectivity (km)
(10%)]]="", 0, Table9[[#This Row],[Airport Connectivity (km)
(10%)]]&gt;200, 0, Table9[[#This Row],[Airport Connectivity (km)
(10%)]]&lt;=100,4,TRUE, 2)</f>
        <v>0</v>
      </c>
      <c r="BA53" s="280">
        <f>Table9[[#This Row],[Airport Connectivity Score]]*'Detailed Rubric V3'!$C$41</f>
        <v>0</v>
      </c>
      <c r="BB53" s="280"/>
      <c r="BC53" s="280" cm="1">
        <f t="array" ref="BC53">_xlfn.IFS(Table9[[#This Row],[Railway Station (km)
(10%)]]="", 0, Table9[[#This Row],[Railway Station (km)
(10%)]]&gt;150, 0,Table9[[#This Row],[Railway Station (km)
(10%)]]&lt;=50,4, TRUE, 2)</f>
        <v>0</v>
      </c>
      <c r="BD53" s="280">
        <f>Table9[[#This Row],[Railway Station Score]]*'Detailed Rubric V3'!$F$41</f>
        <v>0</v>
      </c>
      <c r="BE53" s="280"/>
      <c r="BF53" s="280" cm="1">
        <f t="array" ref="BF53">_xlfn.IFS(Table9[[#This Row],[Inland waterway/ Land port (km)
(20%)]]="", 0, Table9[[#This Row],[Inland waterway/ Land port (km)
(20%)]]&gt;200, 0,Table9[[#This Row],[Inland waterway/ Land port (km)
(20%)]]&lt;=50,4, TRUE, 2)</f>
        <v>0</v>
      </c>
      <c r="BG53" s="280">
        <f>Table9[[#This Row],[Inland waterway/ Land port Score]]*'Detailed Rubric V3'!$I$41</f>
        <v>0</v>
      </c>
      <c r="BH53"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53" s="280"/>
      <c r="BJ53" s="280" cm="1">
        <f t="array" ref="BJ53">_xlfn.IFS(Table9[[#This Row],[Power Station (40%)]]="",0, Table9[[#This Row],[Power Station (40%)]]&gt;100, 0,Table9[[#This Row],[Power Station (40%)]]&lt;=50,4, TRUE, 2)</f>
        <v>0</v>
      </c>
      <c r="BK53" s="280">
        <f>Table9[[#This Row],[Power Station Score]]*'Detailed Rubric V3'!$C$53</f>
        <v>0</v>
      </c>
      <c r="BL53" s="280"/>
      <c r="BM53" s="280" cm="1">
        <f t="array" ref="BM53">IF(ISNUMBER(Table9[[#This Row],[Gas Station (20%)]]), _xlfn.IFS(Table9[[#This Row],[Gas Station (20%)]]="", 0, Table9[[#This Row],[Gas Station (20%)]]&gt;100, 0,Table9[[#This Row],[Gas Station (20%)]]&lt;=50,4, TRUE, 2), 0)</f>
        <v>0</v>
      </c>
      <c r="BN53" s="280">
        <f>Table9[[#This Row],[Gas Station Score]]*'Detailed Rubric V3'!$F$53</f>
        <v>0</v>
      </c>
      <c r="BO53" s="280"/>
      <c r="BP53" s="280" cm="1">
        <f t="array" ref="BP53">IF(ISNUMBER(Table9[[#This Row],[Source of Surface Water (40%)]]), _xlfn.IFS(Table9[[#This Row],[Source of Surface Water (40%)]]="", 0, Table9[[#This Row],[Source of Surface Water (40%)]]&gt;50, 0,Table9[[#This Row],[Source of Surface Water (40%)]]&lt;=20,4, TRUE, 2), 0)</f>
        <v>0</v>
      </c>
      <c r="BQ53" s="280">
        <f>Table9[[#This Row],[Source of Surface Water Score]]*'Detailed Rubric V3'!$I$53</f>
        <v>0</v>
      </c>
      <c r="BR53" s="280">
        <f>SUM(Table9[[#This Row],[Power Station Weighted Score]],Table9[[#This Row],[Gas Station Weighted Score]],Table9[[#This Row],[Source of Surface Water Weighted Score]])*'Detailed Rubric V3'!$C$51</f>
        <v>0</v>
      </c>
      <c r="BS53" s="280"/>
      <c r="BT53" s="280" cm="1">
        <f t="array" ref="BT53">_xlfn.IFS(Table9[[#This Row],[Other BEZA EZ (20%)]]="", 0, Table9[[#This Row],[Other BEZA EZ (20%)]]="Yes", 4, TRUE, 0)</f>
        <v>0</v>
      </c>
      <c r="BU53" s="280">
        <f>Table9[[#This Row],[Other BEZA EZ Score]]*'Detailed Rubric V3'!$C$66</f>
        <v>0</v>
      </c>
      <c r="BV53" s="280"/>
      <c r="BW53" s="280" cm="1">
        <f t="array" ref="BW53">_xlfn.IFS(Table9[[#This Row],[BEPZA/ BHPTA/ BSCIC (20%)]]="", 0, Table9[[#This Row],[BEPZA/ BHPTA/ BSCIC (20%)]]="Yes", 4, TRUE, 0)</f>
        <v>0</v>
      </c>
      <c r="BX53" s="280">
        <f>Table9[[#This Row],[BEPZA/ BHPTA/ BSCIC Score]]*'Detailed Rubric V3'!$F$66</f>
        <v>0</v>
      </c>
      <c r="BY53" s="280"/>
      <c r="BZ53" s="280" cm="1">
        <f t="array" ref="BZ53">_xlfn.IFS(Table9[[#This Row],[Cluster Industries (from SMI) (20%)]]="", 0, Table9[[#This Row],[Cluster Industries (from SMI) (20%)]]&gt;100, 4, Table9[[#This Row],[Cluster Industries (from SMI) (20%)]]&lt;50, 0, TRUE, 2)</f>
        <v>0</v>
      </c>
      <c r="CA53" s="280">
        <f>Table9[[#This Row],[Cluster Industries (from SMI) Score]]*'Detailed Rubric V3'!$I$66</f>
        <v>0</v>
      </c>
      <c r="CB53" s="280"/>
      <c r="CC53" s="280" cm="1">
        <f t="array" ref="CC53">_xlfn.IFS(Table9[[#This Row],[Located on Industrial corridor (40%)]]="", 0, Table9[[#This Row],[Located on Industrial corridor (40%)]]="Yes", 4, TRUE, 0)</f>
        <v>0</v>
      </c>
      <c r="CD53" s="280">
        <f>Table9[[#This Row],[Located on Industrial corridor Score]]*'Detailed Rubric V3'!$L$66</f>
        <v>0</v>
      </c>
      <c r="CE53" s="280">
        <f>SUM(Table9[[#This Row],[Other BEZA EZ Weighted Score]],Table9[[#This Row],[BEPZA/ BHPTA/ BSCIC Weighted Score]],Table9[[#This Row],[Unorganized (from SMI) Weighted Score]],Table9[[#This Row],[Located on Industrial corridor Weighted Score]])*'Detailed Rubric V3'!$C$64</f>
        <v>0</v>
      </c>
      <c r="CF53" s="280"/>
      <c r="CG53" s="280" cm="1">
        <f t="array" ref="CG53">_xlfn.IFS(Table9[[#This Row],[Economic/ Social priority (laggered area) (100%)]]="", 0, Table9[[#This Row],[Economic/ Social priority (laggered area) (100%)]]="Yes", 4, TRUE, 0)</f>
        <v>0</v>
      </c>
      <c r="CH53" s="280">
        <f>Table9[[#This Row],[Economic/ Social priority (laggered area) Score]]*'Detailed Rubric V3'!$C$82</f>
        <v>0</v>
      </c>
      <c r="CI53" s="280"/>
      <c r="CJ53" s="280" cm="1">
        <f t="array" ref="CJ53">_xlfn.IFS(Table9[[#This Row],[Regional Tax incentive  (0%)]]="", 0, Table9[[#This Row],[Regional Tax incentive  (0%)]]="Yes", 4, TRUE, 0)</f>
        <v>0</v>
      </c>
      <c r="CK53" s="280">
        <f>Table9[[#This Row],[Regional Tax incentive Score]]*'Detailed Rubric V3'!$F$82</f>
        <v>0</v>
      </c>
      <c r="CL53" s="280">
        <f>SUM(Table9[[#This Row],[Economic/ Social priority (laagered area) Weighted Score]],Table9[[#This Row],[Regional Tax incentive  Weighted Score]])*'Detailed Rubric V3'!$C$80</f>
        <v>0</v>
      </c>
      <c r="CM53" s="280"/>
      <c r="CN53" s="280" cm="1">
        <f t="array" ref="CN53">_xlfn.IFS(Table9[[#This Row],[Employable population (40%) 2013]]="", 0, Table9[[#This Row],[Employable population (40%) 2013]]&gt;200000, 4, Table9[[#This Row],[Employable population (40%) 2013]]&lt;100000,0, TRUE, 2)</f>
        <v>0</v>
      </c>
      <c r="CO53" s="280">
        <f>Table9[[#This Row],[Employable population Score]]*'Detailed Rubric V3'!$C$92</f>
        <v>0</v>
      </c>
      <c r="CP53" s="280"/>
      <c r="CQ53" s="280" cm="1">
        <f t="array" ref="CQ53">_xlfn.IFS(Table9[[#This Row],[Housing (20%)]]="", 0, Table9[[#This Row],[Housing (20%)]]&gt;50, 0, Table9[[#This Row],[Housing (20%)]]&lt;25, 4, TRUE, 2)</f>
        <v>0</v>
      </c>
      <c r="CR53" s="280">
        <f>Table9[[#This Row],[Housing Score]]*'Detailed Rubric V3'!$F$92</f>
        <v>0</v>
      </c>
      <c r="CS53" s="280"/>
      <c r="CT53" s="280" cm="1">
        <f t="array" ref="CT53">_xlfn.IFS(Table9[[#This Row],[Hotels (10%)]]="", 0, Table9[[#This Row],[Hotels (10%)]]&gt;25, 4, Table9[[#This Row],[Hotels (10%)]]&lt;5, 0, TRUE, 2)</f>
        <v>0</v>
      </c>
      <c r="CU53" s="280">
        <f>Table9[[#This Row],[Hotels Score]]*'Detailed Rubric V3'!$I$92</f>
        <v>0</v>
      </c>
      <c r="CV53" s="280"/>
      <c r="CW53" s="280" cm="1">
        <f t="array" ref="CW53">_xlfn.IFS(Table9[[#This Row],[Health (Hospital) (15%)]]="", 0, Table9[[#This Row],[Health (Hospital) (15%)]]&gt;10, 4, Table9[[#This Row],[Health (Hospital) (15%)]]&lt;5, 0, TRUE, 2)</f>
        <v>0</v>
      </c>
      <c r="CX53" s="280">
        <f>Table9[[#This Row],[Health (Hospital) Score]]*'Detailed Rubric V3'!$L$92</f>
        <v>0</v>
      </c>
      <c r="CY53" s="280"/>
      <c r="CZ53" s="280" cm="1">
        <f t="array" ref="CZ53">_xlfn.IFS(Table9[[#This Row],[University/ Technical &amp; Vocational Institutions (15%)]]="", 0, Table9[[#This Row],[University/ Technical &amp; Vocational Institutions (15%)]]&gt;3, 4, Table9[[#This Row],[University/ Technical &amp; Vocational Institutions (15%)]]&lt;1, 0, TRUE, 2)</f>
        <v>0</v>
      </c>
      <c r="DA53" s="280">
        <f>Table9[[#This Row],[University/ Technical &amp; Vocational Institutions Score]]*'Detailed Rubric V3'!$O$92</f>
        <v>0</v>
      </c>
      <c r="DB53"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53" s="280"/>
      <c r="DD53" s="280" cm="1">
        <f t="array" ref="DD53">_xlfn.IFS(Table9[[#This Row],[Environment compliance (30%)]]="", 0, Table9[[#This Row],[Environment compliance (30%)]]="Yes", 4, TRUE, 0)</f>
        <v>0</v>
      </c>
      <c r="DE53" s="280">
        <f>Table9[[#This Row],[Environment compliance Score]]*'Detailed Rubric V3'!$C$104</f>
        <v>0</v>
      </c>
      <c r="DF53" s="280" t="s">
        <v>428</v>
      </c>
      <c r="DG53" s="280" cm="1">
        <f t="array" ref="DG53">_xlfn.IFS(Table9[[#This Row],[Flood Risk Index (30%)]]="", 0, Table9[[#This Row],[Flood Risk Index (30%)]]="Very Low", 4, Table9[[#This Row],[Flood Risk Index (30%)]]="Moderate &amp; Low", 2, TRUE, 0)</f>
        <v>4</v>
      </c>
      <c r="DH53" s="280">
        <f>Table9[[#This Row],[Flood Risk Index Score]]*'Detailed Rubric V3'!$F$104</f>
        <v>1.2</v>
      </c>
      <c r="DI53" s="280" t="s">
        <v>428</v>
      </c>
      <c r="DJ53" s="280" cm="1">
        <f t="array" ref="DJ53">_xlfn.IFS(Table9[[#This Row],[Earth Quake Risk Index (10%)]]="", 0, Table9[[#This Row],[Earth Quake Risk Index (10%)]]="Very Low", 4, Table9[[#This Row],[Earth Quake Risk Index (10%)]]="Moderate &amp; Low", 2, TRUE, 0)</f>
        <v>4</v>
      </c>
      <c r="DK53" s="280">
        <f>Table9[[#This Row],[Earth Quake Risk Index Score]]*'Detailed Rubric V3'!$I$104</f>
        <v>0.4</v>
      </c>
      <c r="DL53" s="280" t="s">
        <v>419</v>
      </c>
      <c r="DM53" s="280" cm="1">
        <f t="array" ref="DM53">_xlfn.IFS(Table9[[#This Row],[Sea Level Rise Risk Index (10%)]]="", 0, Table9[[#This Row],[Sea Level Rise Risk Index (10%)]]="Very Low", 4, Table9[[#This Row],[Sea Level Rise Risk Index (10%)]]="Moderate &amp; Low", 2, TRUE, 0)</f>
        <v>2</v>
      </c>
      <c r="DN53" s="280">
        <f>Table9[[#This Row],[Sea Level Rise  Risk Index Score]]*'Detailed Rubric V3'!$L$104</f>
        <v>0.2</v>
      </c>
      <c r="DO53" s="280" t="s">
        <v>419</v>
      </c>
      <c r="DP53" s="280" cm="1">
        <f t="array" ref="DP53">_xlfn.IFS(Table9[[#This Row],[Cyclone Risk Index (10%)]]="", 0, Table9[[#This Row],[Cyclone Risk Index (10%)]]="Very Low", 4, Table9[[#This Row],[Cyclone Risk Index (10%)]]="Moderate &amp; Low", 2, TRUE, 0)</f>
        <v>2</v>
      </c>
      <c r="DQ53" s="280">
        <f>Table9[[#This Row],[Cyclone Risk Index Score]]*'Detailed Rubric V3'!$O$104</f>
        <v>0.2</v>
      </c>
      <c r="DR53" s="280" t="s">
        <v>419</v>
      </c>
      <c r="DS53" s="280" cm="1">
        <f t="array" ref="DS53">_xlfn.IFS(Table9[[#This Row],[Storm Surge Risk Index (10%)]]="", 0, Table9[[#This Row],[Storm Surge Risk Index (10%)]]="Very Low", 4, Table9[[#This Row],[Storm Surge Risk Index (10%)]]="Moderate &amp; Low", 2, TRUE, 0)</f>
        <v>2</v>
      </c>
      <c r="DT53" s="280">
        <f>Table9[[#This Row],[Storm Surge Risk Index Score]]*'Detailed Rubric V3'!$R$104</f>
        <v>0.2</v>
      </c>
      <c r="DU53"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0.13200000000000001</v>
      </c>
      <c r="DV53" s="309">
        <f>SUM(Table9[[#This Row],[2.1. Connectivity/ Logistics (10% weightage)]],Table9[[#This Row],[2.2. Utility (12% weightage)]],Table9[[#This Row],[2.3. Agglomeration effects (10% weightage)]],Table9[[#This Row],[2.4. Regional Policy (4% weightage)]],Table9[[#This Row],[2.5. Social (8% weightage)]],Table9[[#This Row],[2.6. Environment (6% weightage)]])</f>
        <v>0.13200000000000001</v>
      </c>
      <c r="DW53" s="280">
        <f>_xlfn.RANK.EQ(Table9[[#This Row],[Level 2 Score]],$DV$3:$DV$103)</f>
        <v>55</v>
      </c>
      <c r="DX53" s="302">
        <f>Table9[[#This Row],[Level 1 Score]]+Table9[[#This Row],[Level 2 Score]]</f>
        <v>1.1920000000000002</v>
      </c>
      <c r="DY53" s="294">
        <f>_xlfn.RANK.EQ(Table9[[#This Row],[Total Score]],$DX$3:$DX$103)</f>
        <v>51</v>
      </c>
      <c r="DZ53" s="237" t="str">
        <f>IF(Table9[[#This Row],[Count of Blanks]]&lt;=2, "Yes", "No")</f>
        <v>No</v>
      </c>
      <c r="EA53" s="237">
        <f>COUNTBLANK(Table9[[#This Row],[Name]:[Total Score Rank]])</f>
        <v>23</v>
      </c>
      <c r="EB53" s="237"/>
    </row>
    <row r="54" spans="2:132" ht="27" x14ac:dyDescent="0.25">
      <c r="B54" s="220">
        <v>55</v>
      </c>
      <c r="C54" s="221" t="s">
        <v>138</v>
      </c>
      <c r="D54" s="220" t="s">
        <v>76</v>
      </c>
      <c r="E54" s="220" t="s">
        <v>132</v>
      </c>
      <c r="F54" s="220" t="s">
        <v>139</v>
      </c>
      <c r="G54" s="220" t="s">
        <v>70</v>
      </c>
      <c r="H54" s="525" t="s">
        <v>431</v>
      </c>
      <c r="I54" s="70" t="s">
        <v>458</v>
      </c>
      <c r="J54" s="227" t="s">
        <v>412</v>
      </c>
      <c r="K54" s="220">
        <f>IFERROR(VLOOKUP(Table9[[#This Row],[Land Availability (Grade)​
(50%)]],'Detailed Rubric V3'!$B$8:$C$11,2), 0)</f>
        <v>4</v>
      </c>
      <c r="L54" s="220">
        <f>IFERROR(Table9[[#This Row],[Land Availability (Grade)​ Score]]*'Detailed Rubric V3'!$C$6, "")</f>
        <v>2</v>
      </c>
      <c r="M54" s="222">
        <v>686</v>
      </c>
      <c r="N54" s="222" cm="1">
        <f t="array" ref="N54">_xlfn.IFS(Table9[[#This Row],[Land Size (Acres)
(15%)]]&lt;100,0,Table9[[#This Row],[Land Size (Acres)
(15%)]]&gt;500,4,TRUE,2)</f>
        <v>4</v>
      </c>
      <c r="O54" s="222">
        <f>Table9[[#This Row],[Land Size (Acres) Score]]*'Detailed Rubric V3'!$G$6</f>
        <v>0.6</v>
      </c>
      <c r="P54" s="526"/>
      <c r="Q54" s="526">
        <f>IFERROR(Table9[[#This Row],[Site Filling Cost (Mn BDT)]]/Table9[[#This Row],[Land Size (Acres)
(15%)]],"")</f>
        <v>0</v>
      </c>
      <c r="R54" s="526" cm="1">
        <f t="array" ref="R54">IF(Table9[[#This Row],[Name]]="Sitakundo Economic Zone", 4, _xlfn.IFS(Table9[[#This Row],[Site Filling Cost (Mn BDT)]]="",0,Table9[[#This Row],[Land Suitability
(Cost of Land Filling in Million BDT per acre)
(25%)]]&gt;5,0,Table9[[#This Row],[Land Suitability
(Cost of Land Filling in Million BDT per acre)
(25%)]]&lt;2,4,TRUE,2))</f>
        <v>0</v>
      </c>
      <c r="S54" s="526">
        <f>Table9[[#This Row],[Land Suitability for Construction Score]]*'Detailed Rubric V3'!$J$6</f>
        <v>0</v>
      </c>
      <c r="T54" s="526"/>
      <c r="U54" s="526">
        <f>IFERROR(Table9[[#This Row],[Embankment/Dyke Cost (Mn BDT)]]/Table9[[#This Row],[Land Size (Acres)
(15%)]], 0)</f>
        <v>0</v>
      </c>
      <c r="V54" s="526" cm="1">
        <f t="array" ref="V54">IF(Table9[[#This Row],[Name]]="Sitakundo Economic Zone", 2, _xlfn.IFS(Table9[[#This Row],[Embankment/Dyke Cost (Mn BDT)]]="",0,Table9[[#This Row],[Cost of DRRI Infrastructure in million BDT per acre
(10%)]]&gt;5,0,Table9[[#This Row],[Cost of DRRI Infrastructure in million BDT per acre
(10%)]]&lt;2,4,TRUE,2))</f>
        <v>0</v>
      </c>
      <c r="W54" s="526">
        <f>Table9[[#This Row],[Requirement for Distaster Risk Reduction &amp; Resilience Infrastructure Score]]*'Detailed Rubric V3'!$M$6</f>
        <v>0</v>
      </c>
      <c r="X54"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0.52</v>
      </c>
      <c r="Y54" s="227" t="s">
        <v>415</v>
      </c>
      <c r="Z54" s="210">
        <f>IFERROR(VLOOKUP(Table9[[#This Row],[Zone Priority
(40%)]],'Detailed Rubric V3'!$B$18:$C$21, 2,FALSE), 0)</f>
        <v>4</v>
      </c>
      <c r="AA54" s="210">
        <f>IFERROR(Table9[[#This Row],[Zone Priority Score]]*'Detailed Rubric V3'!$C$16, 0)</f>
        <v>0</v>
      </c>
      <c r="AB54" s="237" t="s">
        <v>446</v>
      </c>
      <c r="AC54" s="237">
        <f>VLOOKUP(Table9[[#This Row],[Existing BEZA Report
(60%)]],'Detailed Rubric V3'!$E$18:$F$20,2,FALSE)</f>
        <v>2</v>
      </c>
      <c r="AD54" s="237">
        <f>Table9[[#This Row],[Existing BEZA Report Score]]*'Detailed Rubric V3'!F$16</f>
        <v>2</v>
      </c>
      <c r="AE54" s="237">
        <f>(Table9[[#This Row],[Zone Priority Weighted Score]]+Table9[[#This Row],[Existing BEZA Report Weighted Score]])*'Detailed Rubric V3'!$C$14</f>
        <v>0.3</v>
      </c>
      <c r="AF54" s="528">
        <v>0</v>
      </c>
      <c r="AG54" s="529" cm="1">
        <f t="array" ref="AG54">_xlfn.IFS(Table9[[#This Row],[Existing Sectors
(50%)]]&gt;10, 4,Table9[[#This Row],[Existing Sectors
(50%)]]&lt;5, 0, TRUE, 2)</f>
        <v>0</v>
      </c>
      <c r="AH54" s="529">
        <f>Table9[[#This Row],[Existing Sectors Score]]*'Detailed Rubric V3'!$C$25</f>
        <v>0</v>
      </c>
      <c r="AI54" s="529">
        <v>0</v>
      </c>
      <c r="AJ54" s="529">
        <v>0</v>
      </c>
      <c r="AK54" s="529" cm="1">
        <f t="array" ref="AK54">_xlfn.IFS(Table9[[#This Row],[Potential New Sectors
(50%)]]&gt;5, 4, Table9[[#This Row],[Potential New Sectors
(50%)]]&lt;2,0, TRUE, 2)</f>
        <v>0</v>
      </c>
      <c r="AL54" s="529">
        <f>Table9[[#This Row],[Potential New Sectors Score]]*'Detailed Rubric V3'!$F$25</f>
        <v>0</v>
      </c>
      <c r="AM54" s="232">
        <f>(Table9[[#This Row],[Existing Sectors Weighted Score]]+Table9[[#This Row],[Potential New Sectors Weighted Score]])*'Detailed Rubric V3'!$C$23</f>
        <v>0</v>
      </c>
      <c r="AN54" s="530">
        <f>SUM(Table9[[#This Row],[1.1. Land Details (20% weightage)]],Table9[[#This Row],[1.2. BEZA Existing plans (15% weightage)]],Table9[[#This Row],[1.3. Sector Demand (15% weightage):]])</f>
        <v>0.82000000000000006</v>
      </c>
      <c r="AO54" s="531">
        <f>_xlfn.RANK.EQ(Table9[[#This Row],[Level 1 Score]],$AN$3:$AN$103)</f>
        <v>31</v>
      </c>
      <c r="AP54" s="280"/>
      <c r="AQ54" s="280" cm="1">
        <f t="array" ref="AQ54">_xlfn.IFS(Table9[[#This Row],[National Highway Connectivity (km)
(15%)]]="", 0, Table9[[#This Row],[National Highway Connectivity (km)
(15%)]]&gt;50, 0, Table9[[#This Row],[National Highway Connectivity (km)
(15%)]]&lt;=25, 4, TRUE, 2)</f>
        <v>0</v>
      </c>
      <c r="AR54" s="280">
        <f>Table9[[#This Row],[National Highway Connectivity Score]]*'Detailed Rubric V3'!$C$35</f>
        <v>0</v>
      </c>
      <c r="AS54" s="280"/>
      <c r="AT54" s="280" cm="1">
        <f t="array" ref="AT54">_xlfn.IFS(Table9[[#This Row],[Connecting Road to Highway (km)
(15%)]]="", 0, Table9[[#This Row],[Connecting Road to Highway (km)
(15%)]]="Yes", 4, TRUE, 0)</f>
        <v>0</v>
      </c>
      <c r="AU54" s="280">
        <f>Table9[[#This Row],[Connecting Road to Highway Score]]*'Detailed Rubric V3'!$F$35</f>
        <v>0</v>
      </c>
      <c r="AV54" s="280"/>
      <c r="AW54" s="280" cm="1">
        <f t="array" ref="AW54">_xlfn.IFS(Table9[[#This Row],[Seaport Connectivity (km)
(30%)]]="",0, Table9[[#This Row],[Seaport Connectivity (km)
(30%)]]&gt;400, 0,Table9[[#This Row],[Seaport Connectivity (km)
(30%)]]&lt;=200,4, TRUE, 2)</f>
        <v>0</v>
      </c>
      <c r="AX54" s="280">
        <f>Table9[[#This Row],[Seaport Connectivity Score]]*'Detailed Rubric V3'!$I$35</f>
        <v>0</v>
      </c>
      <c r="AY54" s="280"/>
      <c r="AZ54" s="280" cm="1">
        <f t="array" ref="AZ54">_xlfn.IFS(Table9[[#This Row],[Airport Connectivity (km)
(10%)]]="", 0, Table9[[#This Row],[Airport Connectivity (km)
(10%)]]&gt;200, 0, Table9[[#This Row],[Airport Connectivity (km)
(10%)]]&lt;=100,4,TRUE, 2)</f>
        <v>0</v>
      </c>
      <c r="BA54" s="280">
        <f>Table9[[#This Row],[Airport Connectivity Score]]*'Detailed Rubric V3'!$C$41</f>
        <v>0</v>
      </c>
      <c r="BB54" s="280"/>
      <c r="BC54" s="280" cm="1">
        <f t="array" ref="BC54">_xlfn.IFS(Table9[[#This Row],[Railway Station (km)
(10%)]]="", 0, Table9[[#This Row],[Railway Station (km)
(10%)]]&gt;150, 0,Table9[[#This Row],[Railway Station (km)
(10%)]]&lt;=50,4, TRUE, 2)</f>
        <v>0</v>
      </c>
      <c r="BD54" s="280">
        <f>Table9[[#This Row],[Railway Station Score]]*'Detailed Rubric V3'!$F$41</f>
        <v>0</v>
      </c>
      <c r="BE54" s="280"/>
      <c r="BF54" s="280" cm="1">
        <f t="array" ref="BF54">_xlfn.IFS(Table9[[#This Row],[Inland waterway/ Land port (km)
(20%)]]="", 0, Table9[[#This Row],[Inland waterway/ Land port (km)
(20%)]]&gt;200, 0,Table9[[#This Row],[Inland waterway/ Land port (km)
(20%)]]&lt;=50,4, TRUE, 2)</f>
        <v>0</v>
      </c>
      <c r="BG54" s="280">
        <f>Table9[[#This Row],[Inland waterway/ Land port Score]]*'Detailed Rubric V3'!$I$41</f>
        <v>0</v>
      </c>
      <c r="BH54"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54" s="280"/>
      <c r="BJ54" s="280" cm="1">
        <f t="array" ref="BJ54">_xlfn.IFS(Table9[[#This Row],[Power Station (40%)]]="",0, Table9[[#This Row],[Power Station (40%)]]&gt;100, 0,Table9[[#This Row],[Power Station (40%)]]&lt;=50,4, TRUE, 2)</f>
        <v>0</v>
      </c>
      <c r="BK54" s="280">
        <f>Table9[[#This Row],[Power Station Score]]*'Detailed Rubric V3'!$C$53</f>
        <v>0</v>
      </c>
      <c r="BL54" s="280"/>
      <c r="BM54" s="280" cm="1">
        <f t="array" ref="BM54">IF(ISNUMBER(Table9[[#This Row],[Gas Station (20%)]]), _xlfn.IFS(Table9[[#This Row],[Gas Station (20%)]]="", 0, Table9[[#This Row],[Gas Station (20%)]]&gt;100, 0,Table9[[#This Row],[Gas Station (20%)]]&lt;=50,4, TRUE, 2), 0)</f>
        <v>0</v>
      </c>
      <c r="BN54" s="280">
        <f>Table9[[#This Row],[Gas Station Score]]*'Detailed Rubric V3'!$F$53</f>
        <v>0</v>
      </c>
      <c r="BO54" s="280"/>
      <c r="BP54" s="280" cm="1">
        <f t="array" ref="BP54">IF(ISNUMBER(Table9[[#This Row],[Source of Surface Water (40%)]]), _xlfn.IFS(Table9[[#This Row],[Source of Surface Water (40%)]]="", 0, Table9[[#This Row],[Source of Surface Water (40%)]]&gt;50, 0,Table9[[#This Row],[Source of Surface Water (40%)]]&lt;=20,4, TRUE, 2), 0)</f>
        <v>0</v>
      </c>
      <c r="BQ54" s="280">
        <f>Table9[[#This Row],[Source of Surface Water Score]]*'Detailed Rubric V3'!$I$53</f>
        <v>0</v>
      </c>
      <c r="BR54" s="280">
        <f>SUM(Table9[[#This Row],[Power Station Weighted Score]],Table9[[#This Row],[Gas Station Weighted Score]],Table9[[#This Row],[Source of Surface Water Weighted Score]])*'Detailed Rubric V3'!$C$51</f>
        <v>0</v>
      </c>
      <c r="BS54" s="280"/>
      <c r="BT54" s="280" cm="1">
        <f t="array" ref="BT54">_xlfn.IFS(Table9[[#This Row],[Other BEZA EZ (20%)]]="", 0, Table9[[#This Row],[Other BEZA EZ (20%)]]="Yes", 4, TRUE, 0)</f>
        <v>0</v>
      </c>
      <c r="BU54" s="280">
        <f>Table9[[#This Row],[Other BEZA EZ Score]]*'Detailed Rubric V3'!$C$66</f>
        <v>0</v>
      </c>
      <c r="BV54" s="280"/>
      <c r="BW54" s="280" cm="1">
        <f t="array" ref="BW54">_xlfn.IFS(Table9[[#This Row],[BEPZA/ BHPTA/ BSCIC (20%)]]="", 0, Table9[[#This Row],[BEPZA/ BHPTA/ BSCIC (20%)]]="Yes", 4, TRUE, 0)</f>
        <v>0</v>
      </c>
      <c r="BX54" s="280">
        <f>Table9[[#This Row],[BEPZA/ BHPTA/ BSCIC Score]]*'Detailed Rubric V3'!$F$66</f>
        <v>0</v>
      </c>
      <c r="BY54" s="280"/>
      <c r="BZ54" s="280" cm="1">
        <f t="array" ref="BZ54">_xlfn.IFS(Table9[[#This Row],[Cluster Industries (from SMI) (20%)]]="", 0, Table9[[#This Row],[Cluster Industries (from SMI) (20%)]]&gt;100, 4, Table9[[#This Row],[Cluster Industries (from SMI) (20%)]]&lt;50, 0, TRUE, 2)</f>
        <v>0</v>
      </c>
      <c r="CA54" s="280">
        <f>Table9[[#This Row],[Cluster Industries (from SMI) Score]]*'Detailed Rubric V3'!$I$66</f>
        <v>0</v>
      </c>
      <c r="CB54" s="280"/>
      <c r="CC54" s="280" cm="1">
        <f t="array" ref="CC54">_xlfn.IFS(Table9[[#This Row],[Located on Industrial corridor (40%)]]="", 0, Table9[[#This Row],[Located on Industrial corridor (40%)]]="Yes", 4, TRUE, 0)</f>
        <v>0</v>
      </c>
      <c r="CD54" s="280">
        <f>Table9[[#This Row],[Located on Industrial corridor Score]]*'Detailed Rubric V3'!$L$66</f>
        <v>0</v>
      </c>
      <c r="CE54" s="280">
        <f>SUM(Table9[[#This Row],[Other BEZA EZ Weighted Score]],Table9[[#This Row],[BEPZA/ BHPTA/ BSCIC Weighted Score]],Table9[[#This Row],[Unorganized (from SMI) Weighted Score]],Table9[[#This Row],[Located on Industrial corridor Weighted Score]])*'Detailed Rubric V3'!$C$64</f>
        <v>0</v>
      </c>
      <c r="CF54" s="280"/>
      <c r="CG54" s="280" cm="1">
        <f t="array" ref="CG54">_xlfn.IFS(Table9[[#This Row],[Economic/ Social priority (laggered area) (100%)]]="", 0, Table9[[#This Row],[Economic/ Social priority (laggered area) (100%)]]="Yes", 4, TRUE, 0)</f>
        <v>0</v>
      </c>
      <c r="CH54" s="280">
        <f>Table9[[#This Row],[Economic/ Social priority (laggered area) Score]]*'Detailed Rubric V3'!$C$82</f>
        <v>0</v>
      </c>
      <c r="CI54" s="280"/>
      <c r="CJ54" s="280" cm="1">
        <f t="array" ref="CJ54">_xlfn.IFS(Table9[[#This Row],[Regional Tax incentive  (0%)]]="", 0, Table9[[#This Row],[Regional Tax incentive  (0%)]]="Yes", 4, TRUE, 0)</f>
        <v>0</v>
      </c>
      <c r="CK54" s="280">
        <f>Table9[[#This Row],[Regional Tax incentive Score]]*'Detailed Rubric V3'!$F$82</f>
        <v>0</v>
      </c>
      <c r="CL54" s="280">
        <f>SUM(Table9[[#This Row],[Economic/ Social priority (laagered area) Weighted Score]],Table9[[#This Row],[Regional Tax incentive  Weighted Score]])*'Detailed Rubric V3'!$C$80</f>
        <v>0</v>
      </c>
      <c r="CM54" s="280"/>
      <c r="CN54" s="280" cm="1">
        <f t="array" ref="CN54">_xlfn.IFS(Table9[[#This Row],[Employable population (40%) 2013]]="", 0, Table9[[#This Row],[Employable population (40%) 2013]]&gt;200000, 4, Table9[[#This Row],[Employable population (40%) 2013]]&lt;100000,0, TRUE, 2)</f>
        <v>0</v>
      </c>
      <c r="CO54" s="280">
        <f>Table9[[#This Row],[Employable population Score]]*'Detailed Rubric V3'!$C$92</f>
        <v>0</v>
      </c>
      <c r="CP54" s="280"/>
      <c r="CQ54" s="280" cm="1">
        <f t="array" ref="CQ54">_xlfn.IFS(Table9[[#This Row],[Housing (20%)]]="", 0, Table9[[#This Row],[Housing (20%)]]&gt;50, 0, Table9[[#This Row],[Housing (20%)]]&lt;25, 4, TRUE, 2)</f>
        <v>0</v>
      </c>
      <c r="CR54" s="280">
        <f>Table9[[#This Row],[Housing Score]]*'Detailed Rubric V3'!$F$92</f>
        <v>0</v>
      </c>
      <c r="CS54" s="280"/>
      <c r="CT54" s="280" cm="1">
        <f t="array" ref="CT54">_xlfn.IFS(Table9[[#This Row],[Hotels (10%)]]="", 0, Table9[[#This Row],[Hotels (10%)]]&gt;25, 4, Table9[[#This Row],[Hotels (10%)]]&lt;5, 0, TRUE, 2)</f>
        <v>0</v>
      </c>
      <c r="CU54" s="280">
        <f>Table9[[#This Row],[Hotels Score]]*'Detailed Rubric V3'!$I$92</f>
        <v>0</v>
      </c>
      <c r="CV54" s="280"/>
      <c r="CW54" s="280" cm="1">
        <f t="array" ref="CW54">_xlfn.IFS(Table9[[#This Row],[Health (Hospital) (15%)]]="", 0, Table9[[#This Row],[Health (Hospital) (15%)]]&gt;10, 4, Table9[[#This Row],[Health (Hospital) (15%)]]&lt;5, 0, TRUE, 2)</f>
        <v>0</v>
      </c>
      <c r="CX54" s="280">
        <f>Table9[[#This Row],[Health (Hospital) Score]]*'Detailed Rubric V3'!$L$92</f>
        <v>0</v>
      </c>
      <c r="CY54" s="280"/>
      <c r="CZ54" s="280" cm="1">
        <f t="array" ref="CZ54">_xlfn.IFS(Table9[[#This Row],[University/ Technical &amp; Vocational Institutions (15%)]]="", 0, Table9[[#This Row],[University/ Technical &amp; Vocational Institutions (15%)]]&gt;3, 4, Table9[[#This Row],[University/ Technical &amp; Vocational Institutions (15%)]]&lt;1, 0, TRUE, 2)</f>
        <v>0</v>
      </c>
      <c r="DA54" s="280">
        <f>Table9[[#This Row],[University/ Technical &amp; Vocational Institutions Score]]*'Detailed Rubric V3'!$O$92</f>
        <v>0</v>
      </c>
      <c r="DB54"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54" s="280"/>
      <c r="DD54" s="280" cm="1">
        <f t="array" ref="DD54">_xlfn.IFS(Table9[[#This Row],[Environment compliance (30%)]]="", 0, Table9[[#This Row],[Environment compliance (30%)]]="Yes", 4, TRUE, 0)</f>
        <v>0</v>
      </c>
      <c r="DE54" s="280">
        <f>Table9[[#This Row],[Environment compliance Score]]*'Detailed Rubric V3'!$C$104</f>
        <v>0</v>
      </c>
      <c r="DF54" s="280" t="s">
        <v>419</v>
      </c>
      <c r="DG54" s="280" cm="1">
        <f t="array" ref="DG54">_xlfn.IFS(Table9[[#This Row],[Flood Risk Index (30%)]]="", 0, Table9[[#This Row],[Flood Risk Index (30%)]]="Very Low", 4, Table9[[#This Row],[Flood Risk Index (30%)]]="Moderate &amp; Low", 2, TRUE, 0)</f>
        <v>2</v>
      </c>
      <c r="DH54" s="280">
        <f>Table9[[#This Row],[Flood Risk Index Score]]*'Detailed Rubric V3'!$F$104</f>
        <v>0.6</v>
      </c>
      <c r="DI54" s="280" t="s">
        <v>428</v>
      </c>
      <c r="DJ54" s="280" cm="1">
        <f t="array" ref="DJ54">_xlfn.IFS(Table9[[#This Row],[Earth Quake Risk Index (10%)]]="", 0, Table9[[#This Row],[Earth Quake Risk Index (10%)]]="Very Low", 4, Table9[[#This Row],[Earth Quake Risk Index (10%)]]="Moderate &amp; Low", 2, TRUE, 0)</f>
        <v>4</v>
      </c>
      <c r="DK54" s="280">
        <f>Table9[[#This Row],[Earth Quake Risk Index Score]]*'Detailed Rubric V3'!$I$104</f>
        <v>0.4</v>
      </c>
      <c r="DL54" s="280" t="s">
        <v>419</v>
      </c>
      <c r="DM54" s="280" cm="1">
        <f t="array" ref="DM54">_xlfn.IFS(Table9[[#This Row],[Sea Level Rise Risk Index (10%)]]="", 0, Table9[[#This Row],[Sea Level Rise Risk Index (10%)]]="Very Low", 4, Table9[[#This Row],[Sea Level Rise Risk Index (10%)]]="Moderate &amp; Low", 2, TRUE, 0)</f>
        <v>2</v>
      </c>
      <c r="DN54" s="280">
        <f>Table9[[#This Row],[Sea Level Rise  Risk Index Score]]*'Detailed Rubric V3'!$L$104</f>
        <v>0.2</v>
      </c>
      <c r="DO54" s="280" t="s">
        <v>419</v>
      </c>
      <c r="DP54" s="280" cm="1">
        <f t="array" ref="DP54">_xlfn.IFS(Table9[[#This Row],[Cyclone Risk Index (10%)]]="", 0, Table9[[#This Row],[Cyclone Risk Index (10%)]]="Very Low", 4, Table9[[#This Row],[Cyclone Risk Index (10%)]]="Moderate &amp; Low", 2, TRUE, 0)</f>
        <v>2</v>
      </c>
      <c r="DQ54" s="280">
        <f>Table9[[#This Row],[Cyclone Risk Index Score]]*'Detailed Rubric V3'!$O$104</f>
        <v>0.2</v>
      </c>
      <c r="DR54" s="280" t="s">
        <v>419</v>
      </c>
      <c r="DS54" s="280" cm="1">
        <f t="array" ref="DS54">_xlfn.IFS(Table9[[#This Row],[Storm Surge Risk Index (10%)]]="", 0, Table9[[#This Row],[Storm Surge Risk Index (10%)]]="Very Low", 4, Table9[[#This Row],[Storm Surge Risk Index (10%)]]="Moderate &amp; Low", 2, TRUE, 0)</f>
        <v>2</v>
      </c>
      <c r="DT54" s="280">
        <f>Table9[[#This Row],[Storm Surge Risk Index Score]]*'Detailed Rubric V3'!$R$104</f>
        <v>0.2</v>
      </c>
      <c r="DU54"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9.5999999999999988E-2</v>
      </c>
      <c r="DV54" s="309">
        <f>SUM(Table9[[#This Row],[2.1. Connectivity/ Logistics (10% weightage)]],Table9[[#This Row],[2.2. Utility (12% weightage)]],Table9[[#This Row],[2.3. Agglomeration effects (10% weightage)]],Table9[[#This Row],[2.4. Regional Policy (4% weightage)]],Table9[[#This Row],[2.5. Social (8% weightage)]],Table9[[#This Row],[2.6. Environment (6% weightage)]])</f>
        <v>9.5999999999999988E-2</v>
      </c>
      <c r="DW54" s="280">
        <f>_xlfn.RANK.EQ(Table9[[#This Row],[Level 2 Score]],$DV$3:$DV$103)</f>
        <v>76</v>
      </c>
      <c r="DX54" s="302">
        <f>Table9[[#This Row],[Level 1 Score]]+Table9[[#This Row],[Level 2 Score]]</f>
        <v>0.91600000000000004</v>
      </c>
      <c r="DY54" s="294">
        <f>_xlfn.RANK.EQ(Table9[[#This Row],[Total Score]],$DX$3:$DX$103)</f>
        <v>52</v>
      </c>
      <c r="DZ54" s="237" t="str">
        <f>IF(Table9[[#This Row],[Count of Blanks]]&lt;=2, "Yes", "No")</f>
        <v>No</v>
      </c>
      <c r="EA54" s="237">
        <f>COUNTBLANK(Table9[[#This Row],[Name]:[Total Score Rank]])</f>
        <v>23</v>
      </c>
      <c r="EB54" s="237"/>
    </row>
    <row r="55" spans="2:132" ht="27" x14ac:dyDescent="0.25">
      <c r="B55" s="220">
        <v>45</v>
      </c>
      <c r="C55" s="221" t="s">
        <v>154</v>
      </c>
      <c r="D55" s="220" t="s">
        <v>68</v>
      </c>
      <c r="E55" s="220" t="s">
        <v>155</v>
      </c>
      <c r="F55" s="220" t="s">
        <v>156</v>
      </c>
      <c r="G55" s="220" t="s">
        <v>70</v>
      </c>
      <c r="H55" s="525" t="s">
        <v>431</v>
      </c>
      <c r="I55" s="70" t="s">
        <v>422</v>
      </c>
      <c r="J55" s="227" t="s">
        <v>412</v>
      </c>
      <c r="K55" s="220">
        <f>IFERROR(VLOOKUP(Table9[[#This Row],[Land Availability (Grade)​
(50%)]],'Detailed Rubric V3'!$B$8:$C$11,2), 0)</f>
        <v>4</v>
      </c>
      <c r="L55" s="220">
        <f>IFERROR(Table9[[#This Row],[Land Availability (Grade)​ Score]]*'Detailed Rubric V3'!$C$6, "")</f>
        <v>2</v>
      </c>
      <c r="M55" s="222">
        <v>4835.91</v>
      </c>
      <c r="N55" s="222" cm="1">
        <f t="array" ref="N55">_xlfn.IFS(Table9[[#This Row],[Land Size (Acres)
(15%)]]&lt;100,0,Table9[[#This Row],[Land Size (Acres)
(15%)]]&gt;500,4,TRUE,2)</f>
        <v>4</v>
      </c>
      <c r="O55" s="222">
        <f>Table9[[#This Row],[Land Size (Acres) Score]]*'Detailed Rubric V3'!$G$6</f>
        <v>0.6</v>
      </c>
      <c r="P55" s="526"/>
      <c r="Q55" s="526">
        <f>IFERROR(Table9[[#This Row],[Site Filling Cost (Mn BDT)]]/Table9[[#This Row],[Land Size (Acres)
(15%)]],"")</f>
        <v>0</v>
      </c>
      <c r="R55" s="526" cm="1">
        <f t="array" ref="R55">IF(Table9[[#This Row],[Name]]="Sitakundo Economic Zone", 4, _xlfn.IFS(Table9[[#This Row],[Site Filling Cost (Mn BDT)]]="",0,Table9[[#This Row],[Land Suitability
(Cost of Land Filling in Million BDT per acre)
(25%)]]&gt;5,0,Table9[[#This Row],[Land Suitability
(Cost of Land Filling in Million BDT per acre)
(25%)]]&lt;2,4,TRUE,2))</f>
        <v>0</v>
      </c>
      <c r="S55" s="526">
        <f>Table9[[#This Row],[Land Suitability for Construction Score]]*'Detailed Rubric V3'!$J$6</f>
        <v>0</v>
      </c>
      <c r="T55" s="526"/>
      <c r="U55" s="526">
        <f>IFERROR(Table9[[#This Row],[Embankment/Dyke Cost (Mn BDT)]]/Table9[[#This Row],[Land Size (Acres)
(15%)]], 0)</f>
        <v>0</v>
      </c>
      <c r="V55" s="526" cm="1">
        <f t="array" ref="V55">IF(Table9[[#This Row],[Name]]="Sitakundo Economic Zone", 2, _xlfn.IFS(Table9[[#This Row],[Embankment/Dyke Cost (Mn BDT)]]="",0,Table9[[#This Row],[Cost of DRRI Infrastructure in million BDT per acre
(10%)]]&gt;5,0,Table9[[#This Row],[Cost of DRRI Infrastructure in million BDT per acre
(10%)]]&lt;2,4,TRUE,2))</f>
        <v>0</v>
      </c>
      <c r="W55" s="526">
        <f>Table9[[#This Row],[Requirement for Distaster Risk Reduction &amp; Resilience Infrastructure Score]]*'Detailed Rubric V3'!$M$6</f>
        <v>0</v>
      </c>
      <c r="X55"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0.52</v>
      </c>
      <c r="Y55" s="452" t="s">
        <v>436</v>
      </c>
      <c r="Z55" s="210">
        <f>IFERROR(VLOOKUP(Table9[[#This Row],[Zone Priority
(40%)]],'Detailed Rubric V3'!$B$18:$C$21, 2,FALSE), 0)</f>
        <v>0</v>
      </c>
      <c r="AA55" s="210">
        <f>IFERROR(Table9[[#This Row],[Zone Priority Score]]*'Detailed Rubric V3'!$C$16, 0)</f>
        <v>0</v>
      </c>
      <c r="AB55" s="237" t="s">
        <v>446</v>
      </c>
      <c r="AC55" s="237">
        <f>VLOOKUP(Table9[[#This Row],[Existing BEZA Report
(60%)]],'Detailed Rubric V3'!$E$18:$F$20,2,FALSE)</f>
        <v>2</v>
      </c>
      <c r="AD55" s="237">
        <f>Table9[[#This Row],[Existing BEZA Report Score]]*'Detailed Rubric V3'!F$16</f>
        <v>2</v>
      </c>
      <c r="AE55" s="237">
        <f>(Table9[[#This Row],[Zone Priority Weighted Score]]+Table9[[#This Row],[Existing BEZA Report Weighted Score]])*'Detailed Rubric V3'!$C$14</f>
        <v>0.3</v>
      </c>
      <c r="AF55" s="528">
        <v>0</v>
      </c>
      <c r="AG55" s="529" cm="1">
        <f t="array" ref="AG55">_xlfn.IFS(Table9[[#This Row],[Existing Sectors
(50%)]]&gt;10, 4,Table9[[#This Row],[Existing Sectors
(50%)]]&lt;5, 0, TRUE, 2)</f>
        <v>0</v>
      </c>
      <c r="AH55" s="529">
        <f>Table9[[#This Row],[Existing Sectors Score]]*'Detailed Rubric V3'!$C$25</f>
        <v>0</v>
      </c>
      <c r="AI55" s="529">
        <v>1</v>
      </c>
      <c r="AJ55" s="529">
        <v>1</v>
      </c>
      <c r="AK55" s="529" cm="1">
        <f t="array" ref="AK55">_xlfn.IFS(Table9[[#This Row],[Potential New Sectors
(50%)]]&gt;5, 4, Table9[[#This Row],[Potential New Sectors
(50%)]]&lt;2,0, TRUE, 2)</f>
        <v>0</v>
      </c>
      <c r="AL55" s="529">
        <f>Table9[[#This Row],[Potential New Sectors Score]]*'Detailed Rubric V3'!$F$25</f>
        <v>0</v>
      </c>
      <c r="AM55" s="232">
        <f>(Table9[[#This Row],[Existing Sectors Weighted Score]]+Table9[[#This Row],[Potential New Sectors Weighted Score]])*'Detailed Rubric V3'!$C$23</f>
        <v>0</v>
      </c>
      <c r="AN55" s="530">
        <f>SUM(Table9[[#This Row],[1.1. Land Details (20% weightage)]],Table9[[#This Row],[1.2. BEZA Existing plans (15% weightage)]],Table9[[#This Row],[1.3. Sector Demand (15% weightage):]])</f>
        <v>0.82000000000000006</v>
      </c>
      <c r="AO55" s="531">
        <f>_xlfn.RANK.EQ(Table9[[#This Row],[Level 1 Score]],$AN$3:$AN$103)</f>
        <v>31</v>
      </c>
      <c r="AP55" s="280"/>
      <c r="AQ55" s="280" cm="1">
        <f t="array" ref="AQ55">_xlfn.IFS(Table9[[#This Row],[National Highway Connectivity (km)
(15%)]]="", 0, Table9[[#This Row],[National Highway Connectivity (km)
(15%)]]&gt;50, 0, Table9[[#This Row],[National Highway Connectivity (km)
(15%)]]&lt;=25, 4, TRUE, 2)</f>
        <v>0</v>
      </c>
      <c r="AR55" s="280">
        <f>Table9[[#This Row],[National Highway Connectivity Score]]*'Detailed Rubric V3'!$C$35</f>
        <v>0</v>
      </c>
      <c r="AS55" s="280"/>
      <c r="AT55" s="280" cm="1">
        <f t="array" ref="AT55">_xlfn.IFS(Table9[[#This Row],[Connecting Road to Highway (km)
(15%)]]="", 0, Table9[[#This Row],[Connecting Road to Highway (km)
(15%)]]="Yes", 4, TRUE, 0)</f>
        <v>0</v>
      </c>
      <c r="AU55" s="280">
        <f>Table9[[#This Row],[Connecting Road to Highway Score]]*'Detailed Rubric V3'!$F$35</f>
        <v>0</v>
      </c>
      <c r="AV55" s="280"/>
      <c r="AW55" s="280" cm="1">
        <f t="array" ref="AW55">_xlfn.IFS(Table9[[#This Row],[Seaport Connectivity (km)
(30%)]]="",0, Table9[[#This Row],[Seaport Connectivity (km)
(30%)]]&gt;400, 0,Table9[[#This Row],[Seaport Connectivity (km)
(30%)]]&lt;=200,4, TRUE, 2)</f>
        <v>0</v>
      </c>
      <c r="AX55" s="280">
        <f>Table9[[#This Row],[Seaport Connectivity Score]]*'Detailed Rubric V3'!$I$35</f>
        <v>0</v>
      </c>
      <c r="AY55" s="280"/>
      <c r="AZ55" s="280" cm="1">
        <f t="array" ref="AZ55">_xlfn.IFS(Table9[[#This Row],[Airport Connectivity (km)
(10%)]]="", 0, Table9[[#This Row],[Airport Connectivity (km)
(10%)]]&gt;200, 0, Table9[[#This Row],[Airport Connectivity (km)
(10%)]]&lt;=100,4,TRUE, 2)</f>
        <v>0</v>
      </c>
      <c r="BA55" s="280">
        <f>Table9[[#This Row],[Airport Connectivity Score]]*'Detailed Rubric V3'!$C$41</f>
        <v>0</v>
      </c>
      <c r="BB55" s="280"/>
      <c r="BC55" s="280" cm="1">
        <f t="array" ref="BC55">_xlfn.IFS(Table9[[#This Row],[Railway Station (km)
(10%)]]="", 0, Table9[[#This Row],[Railway Station (km)
(10%)]]&gt;150, 0,Table9[[#This Row],[Railway Station (km)
(10%)]]&lt;=50,4, TRUE, 2)</f>
        <v>0</v>
      </c>
      <c r="BD55" s="280">
        <f>Table9[[#This Row],[Railway Station Score]]*'Detailed Rubric V3'!$F$41</f>
        <v>0</v>
      </c>
      <c r="BE55" s="280"/>
      <c r="BF55" s="280" cm="1">
        <f t="array" ref="BF55">_xlfn.IFS(Table9[[#This Row],[Inland waterway/ Land port (km)
(20%)]]="", 0, Table9[[#This Row],[Inland waterway/ Land port (km)
(20%)]]&gt;200, 0,Table9[[#This Row],[Inland waterway/ Land port (km)
(20%)]]&lt;=50,4, TRUE, 2)</f>
        <v>0</v>
      </c>
      <c r="BG55" s="280">
        <f>Table9[[#This Row],[Inland waterway/ Land port Score]]*'Detailed Rubric V3'!$I$41</f>
        <v>0</v>
      </c>
      <c r="BH55"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55" s="280"/>
      <c r="BJ55" s="280" cm="1">
        <f t="array" ref="BJ55">_xlfn.IFS(Table9[[#This Row],[Power Station (40%)]]="",0, Table9[[#This Row],[Power Station (40%)]]&gt;100, 0,Table9[[#This Row],[Power Station (40%)]]&lt;=50,4, TRUE, 2)</f>
        <v>0</v>
      </c>
      <c r="BK55" s="280">
        <f>Table9[[#This Row],[Power Station Score]]*'Detailed Rubric V3'!$C$53</f>
        <v>0</v>
      </c>
      <c r="BL55" s="280"/>
      <c r="BM55" s="280" cm="1">
        <f t="array" ref="BM55">IF(ISNUMBER(Table9[[#This Row],[Gas Station (20%)]]), _xlfn.IFS(Table9[[#This Row],[Gas Station (20%)]]="", 0, Table9[[#This Row],[Gas Station (20%)]]&gt;100, 0,Table9[[#This Row],[Gas Station (20%)]]&lt;=50,4, TRUE, 2), 0)</f>
        <v>0</v>
      </c>
      <c r="BN55" s="280">
        <f>Table9[[#This Row],[Gas Station Score]]*'Detailed Rubric V3'!$F$53</f>
        <v>0</v>
      </c>
      <c r="BO55" s="280"/>
      <c r="BP55" s="280" cm="1">
        <f t="array" ref="BP55">IF(ISNUMBER(Table9[[#This Row],[Source of Surface Water (40%)]]), _xlfn.IFS(Table9[[#This Row],[Source of Surface Water (40%)]]="", 0, Table9[[#This Row],[Source of Surface Water (40%)]]&gt;50, 0,Table9[[#This Row],[Source of Surface Water (40%)]]&lt;=20,4, TRUE, 2), 0)</f>
        <v>0</v>
      </c>
      <c r="BQ55" s="280">
        <f>Table9[[#This Row],[Source of Surface Water Score]]*'Detailed Rubric V3'!$I$53</f>
        <v>0</v>
      </c>
      <c r="BR55" s="280">
        <f>SUM(Table9[[#This Row],[Power Station Weighted Score]],Table9[[#This Row],[Gas Station Weighted Score]],Table9[[#This Row],[Source of Surface Water Weighted Score]])*'Detailed Rubric V3'!$C$51</f>
        <v>0</v>
      </c>
      <c r="BS55" s="280"/>
      <c r="BT55" s="280" cm="1">
        <f t="array" ref="BT55">_xlfn.IFS(Table9[[#This Row],[Other BEZA EZ (20%)]]="", 0, Table9[[#This Row],[Other BEZA EZ (20%)]]="Yes", 4, TRUE, 0)</f>
        <v>0</v>
      </c>
      <c r="BU55" s="280">
        <f>Table9[[#This Row],[Other BEZA EZ Score]]*'Detailed Rubric V3'!$C$66</f>
        <v>0</v>
      </c>
      <c r="BV55" s="280"/>
      <c r="BW55" s="280" cm="1">
        <f t="array" ref="BW55">_xlfn.IFS(Table9[[#This Row],[BEPZA/ BHPTA/ BSCIC (20%)]]="", 0, Table9[[#This Row],[BEPZA/ BHPTA/ BSCIC (20%)]]="Yes", 4, TRUE, 0)</f>
        <v>0</v>
      </c>
      <c r="BX55" s="280">
        <f>Table9[[#This Row],[BEPZA/ BHPTA/ BSCIC Score]]*'Detailed Rubric V3'!$F$66</f>
        <v>0</v>
      </c>
      <c r="BY55" s="280"/>
      <c r="BZ55" s="280" cm="1">
        <f t="array" ref="BZ55">_xlfn.IFS(Table9[[#This Row],[Cluster Industries (from SMI) (20%)]]="", 0, Table9[[#This Row],[Cluster Industries (from SMI) (20%)]]&gt;100, 4, Table9[[#This Row],[Cluster Industries (from SMI) (20%)]]&lt;50, 0, TRUE, 2)</f>
        <v>0</v>
      </c>
      <c r="CA55" s="280">
        <f>Table9[[#This Row],[Cluster Industries (from SMI) Score]]*'Detailed Rubric V3'!$I$66</f>
        <v>0</v>
      </c>
      <c r="CB55" s="280"/>
      <c r="CC55" s="280" cm="1">
        <f t="array" ref="CC55">_xlfn.IFS(Table9[[#This Row],[Located on Industrial corridor (40%)]]="", 0, Table9[[#This Row],[Located on Industrial corridor (40%)]]="Yes", 4, TRUE, 0)</f>
        <v>0</v>
      </c>
      <c r="CD55" s="280">
        <f>Table9[[#This Row],[Located on Industrial corridor Score]]*'Detailed Rubric V3'!$L$66</f>
        <v>0</v>
      </c>
      <c r="CE55" s="280">
        <f>SUM(Table9[[#This Row],[Other BEZA EZ Weighted Score]],Table9[[#This Row],[BEPZA/ BHPTA/ BSCIC Weighted Score]],Table9[[#This Row],[Unorganized (from SMI) Weighted Score]],Table9[[#This Row],[Located on Industrial corridor Weighted Score]])*'Detailed Rubric V3'!$C$64</f>
        <v>0</v>
      </c>
      <c r="CF55" s="280"/>
      <c r="CG55" s="280" cm="1">
        <f t="array" ref="CG55">_xlfn.IFS(Table9[[#This Row],[Economic/ Social priority (laggered area) (100%)]]="", 0, Table9[[#This Row],[Economic/ Social priority (laggered area) (100%)]]="Yes", 4, TRUE, 0)</f>
        <v>0</v>
      </c>
      <c r="CH55" s="280">
        <f>Table9[[#This Row],[Economic/ Social priority (laggered area) Score]]*'Detailed Rubric V3'!$C$82</f>
        <v>0</v>
      </c>
      <c r="CI55" s="280"/>
      <c r="CJ55" s="280" cm="1">
        <f t="array" ref="CJ55">_xlfn.IFS(Table9[[#This Row],[Regional Tax incentive  (0%)]]="", 0, Table9[[#This Row],[Regional Tax incentive  (0%)]]="Yes", 4, TRUE, 0)</f>
        <v>0</v>
      </c>
      <c r="CK55" s="280">
        <f>Table9[[#This Row],[Regional Tax incentive Score]]*'Detailed Rubric V3'!$F$82</f>
        <v>0</v>
      </c>
      <c r="CL55" s="280">
        <f>SUM(Table9[[#This Row],[Economic/ Social priority (laagered area) Weighted Score]],Table9[[#This Row],[Regional Tax incentive  Weighted Score]])*'Detailed Rubric V3'!$C$80</f>
        <v>0</v>
      </c>
      <c r="CM55" s="280"/>
      <c r="CN55" s="280" cm="1">
        <f t="array" ref="CN55">_xlfn.IFS(Table9[[#This Row],[Employable population (40%) 2013]]="", 0, Table9[[#This Row],[Employable population (40%) 2013]]&gt;200000, 4, Table9[[#This Row],[Employable population (40%) 2013]]&lt;100000,0, TRUE, 2)</f>
        <v>0</v>
      </c>
      <c r="CO55" s="280">
        <f>Table9[[#This Row],[Employable population Score]]*'Detailed Rubric V3'!$C$92</f>
        <v>0</v>
      </c>
      <c r="CP55" s="280"/>
      <c r="CQ55" s="280" cm="1">
        <f t="array" ref="CQ55">_xlfn.IFS(Table9[[#This Row],[Housing (20%)]]="", 0, Table9[[#This Row],[Housing (20%)]]&gt;50, 0, Table9[[#This Row],[Housing (20%)]]&lt;25, 4, TRUE, 2)</f>
        <v>0</v>
      </c>
      <c r="CR55" s="280">
        <f>Table9[[#This Row],[Housing Score]]*'Detailed Rubric V3'!$F$92</f>
        <v>0</v>
      </c>
      <c r="CS55" s="280"/>
      <c r="CT55" s="280" cm="1">
        <f t="array" ref="CT55">_xlfn.IFS(Table9[[#This Row],[Hotels (10%)]]="", 0, Table9[[#This Row],[Hotels (10%)]]&gt;25, 4, Table9[[#This Row],[Hotels (10%)]]&lt;5, 0, TRUE, 2)</f>
        <v>0</v>
      </c>
      <c r="CU55" s="280">
        <f>Table9[[#This Row],[Hotels Score]]*'Detailed Rubric V3'!$I$92</f>
        <v>0</v>
      </c>
      <c r="CV55" s="280"/>
      <c r="CW55" s="280" cm="1">
        <f t="array" ref="CW55">_xlfn.IFS(Table9[[#This Row],[Health (Hospital) (15%)]]="", 0, Table9[[#This Row],[Health (Hospital) (15%)]]&gt;10, 4, Table9[[#This Row],[Health (Hospital) (15%)]]&lt;5, 0, TRUE, 2)</f>
        <v>0</v>
      </c>
      <c r="CX55" s="280">
        <f>Table9[[#This Row],[Health (Hospital) Score]]*'Detailed Rubric V3'!$L$92</f>
        <v>0</v>
      </c>
      <c r="CY55" s="280"/>
      <c r="CZ55" s="280" cm="1">
        <f t="array" ref="CZ55">_xlfn.IFS(Table9[[#This Row],[University/ Technical &amp; Vocational Institutions (15%)]]="", 0, Table9[[#This Row],[University/ Technical &amp; Vocational Institutions (15%)]]&gt;3, 4, Table9[[#This Row],[University/ Technical &amp; Vocational Institutions (15%)]]&lt;1, 0, TRUE, 2)</f>
        <v>0</v>
      </c>
      <c r="DA55" s="280">
        <f>Table9[[#This Row],[University/ Technical &amp; Vocational Institutions Score]]*'Detailed Rubric V3'!$O$92</f>
        <v>0</v>
      </c>
      <c r="DB55"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55" s="280"/>
      <c r="DD55" s="280" cm="1">
        <f t="array" ref="DD55">_xlfn.IFS(Table9[[#This Row],[Environment compliance (30%)]]="", 0, Table9[[#This Row],[Environment compliance (30%)]]="Yes", 4, TRUE, 0)</f>
        <v>0</v>
      </c>
      <c r="DE55" s="280">
        <f>Table9[[#This Row],[Environment compliance Score]]*'Detailed Rubric V3'!$C$104</f>
        <v>0</v>
      </c>
      <c r="DF55" s="280" t="s">
        <v>419</v>
      </c>
      <c r="DG55" s="280" cm="1">
        <f t="array" ref="DG55">_xlfn.IFS(Table9[[#This Row],[Flood Risk Index (30%)]]="", 0, Table9[[#This Row],[Flood Risk Index (30%)]]="Very Low", 4, Table9[[#This Row],[Flood Risk Index (30%)]]="Moderate &amp; Low", 2, TRUE, 0)</f>
        <v>2</v>
      </c>
      <c r="DH55" s="280">
        <f>Table9[[#This Row],[Flood Risk Index Score]]*'Detailed Rubric V3'!$F$104</f>
        <v>0.6</v>
      </c>
      <c r="DI55" s="280" t="s">
        <v>419</v>
      </c>
      <c r="DJ55" s="280" cm="1">
        <f t="array" ref="DJ55">_xlfn.IFS(Table9[[#This Row],[Earth Quake Risk Index (10%)]]="", 0, Table9[[#This Row],[Earth Quake Risk Index (10%)]]="Very Low", 4, Table9[[#This Row],[Earth Quake Risk Index (10%)]]="Moderate &amp; Low", 2, TRUE, 0)</f>
        <v>2</v>
      </c>
      <c r="DK55" s="280">
        <f>Table9[[#This Row],[Earth Quake Risk Index Score]]*'Detailed Rubric V3'!$I$104</f>
        <v>0.2</v>
      </c>
      <c r="DL55" s="280" t="s">
        <v>420</v>
      </c>
      <c r="DM55" s="280" cm="1">
        <f t="array" ref="DM55">_xlfn.IFS(Table9[[#This Row],[Sea Level Rise Risk Index (10%)]]="", 0, Table9[[#This Row],[Sea Level Rise Risk Index (10%)]]="Very Low", 4, Table9[[#This Row],[Sea Level Rise Risk Index (10%)]]="Moderate &amp; Low", 2, TRUE, 0)</f>
        <v>0</v>
      </c>
      <c r="DN55" s="280">
        <f>Table9[[#This Row],[Sea Level Rise  Risk Index Score]]*'Detailed Rubric V3'!$L$104</f>
        <v>0</v>
      </c>
      <c r="DO55" s="280" t="s">
        <v>420</v>
      </c>
      <c r="DP55" s="280" cm="1">
        <f t="array" ref="DP55">_xlfn.IFS(Table9[[#This Row],[Cyclone Risk Index (10%)]]="", 0, Table9[[#This Row],[Cyclone Risk Index (10%)]]="Very Low", 4, Table9[[#This Row],[Cyclone Risk Index (10%)]]="Moderate &amp; Low", 2, TRUE, 0)</f>
        <v>0</v>
      </c>
      <c r="DQ55" s="280">
        <f>Table9[[#This Row],[Cyclone Risk Index Score]]*'Detailed Rubric V3'!$O$104</f>
        <v>0</v>
      </c>
      <c r="DR55" s="280" t="s">
        <v>421</v>
      </c>
      <c r="DS55" s="280" cm="1">
        <f t="array" ref="DS55">_xlfn.IFS(Table9[[#This Row],[Storm Surge Risk Index (10%)]]="", 0, Table9[[#This Row],[Storm Surge Risk Index (10%)]]="Very Low", 4, Table9[[#This Row],[Storm Surge Risk Index (10%)]]="Moderate &amp; Low", 2, TRUE, 0)</f>
        <v>0</v>
      </c>
      <c r="DT55" s="280">
        <f>Table9[[#This Row],[Storm Surge Risk Index Score]]*'Detailed Rubric V3'!$R$104</f>
        <v>0</v>
      </c>
      <c r="DU55"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4.8000000000000001E-2</v>
      </c>
      <c r="DV55" s="309">
        <f>SUM(Table9[[#This Row],[2.1. Connectivity/ Logistics (10% weightage)]],Table9[[#This Row],[2.2. Utility (12% weightage)]],Table9[[#This Row],[2.3. Agglomeration effects (10% weightage)]],Table9[[#This Row],[2.4. Regional Policy (4% weightage)]],Table9[[#This Row],[2.5. Social (8% weightage)]],Table9[[#This Row],[2.6. Environment (6% weightage)]])</f>
        <v>4.8000000000000001E-2</v>
      </c>
      <c r="DW55" s="280">
        <f>_xlfn.RANK.EQ(Table9[[#This Row],[Level 2 Score]],$DV$3:$DV$103)</f>
        <v>97</v>
      </c>
      <c r="DX55" s="302">
        <f>Table9[[#This Row],[Level 1 Score]]+Table9[[#This Row],[Level 2 Score]]</f>
        <v>0.8680000000000001</v>
      </c>
      <c r="DY55" s="294">
        <f>_xlfn.RANK.EQ(Table9[[#This Row],[Total Score]],$DX$3:$DX$103)</f>
        <v>53</v>
      </c>
      <c r="DZ55" s="237" t="str">
        <f>IF(Table9[[#This Row],[Count of Blanks]]&lt;=2, "Yes", "No")</f>
        <v>No</v>
      </c>
      <c r="EA55" s="237">
        <f>COUNTBLANK(Table9[[#This Row],[Name]:[Total Score Rank]])</f>
        <v>23</v>
      </c>
      <c r="EB55" s="237"/>
    </row>
    <row r="56" spans="2:132" ht="27" x14ac:dyDescent="0.25">
      <c r="B56" s="220">
        <v>22</v>
      </c>
      <c r="C56" s="221" t="s">
        <v>149</v>
      </c>
      <c r="D56" s="220" t="s">
        <v>84</v>
      </c>
      <c r="E56" s="220" t="s">
        <v>84</v>
      </c>
      <c r="F56" s="220" t="s">
        <v>150</v>
      </c>
      <c r="G56" s="220" t="s">
        <v>70</v>
      </c>
      <c r="H56" s="525" t="s">
        <v>431</v>
      </c>
      <c r="I56" s="70" t="s">
        <v>464</v>
      </c>
      <c r="J56" s="227" t="s">
        <v>444</v>
      </c>
      <c r="K56" s="220">
        <f>IFERROR(VLOOKUP(Table9[[#This Row],[Land Availability (Grade)​
(50%)]],'Detailed Rubric V3'!$B$8:$C$11,2), 0)</f>
        <v>0</v>
      </c>
      <c r="L56" s="220">
        <f>IFERROR(Table9[[#This Row],[Land Availability (Grade)​ Score]]*'Detailed Rubric V3'!$C$6, "")</f>
        <v>0</v>
      </c>
      <c r="M56" s="222">
        <v>208.63</v>
      </c>
      <c r="N56" s="222" cm="1">
        <f t="array" ref="N56">_xlfn.IFS(Table9[[#This Row],[Land Size (Acres)
(15%)]]&lt;100,0,Table9[[#This Row],[Land Size (Acres)
(15%)]]&gt;500,4,TRUE,2)</f>
        <v>2</v>
      </c>
      <c r="O56" s="222">
        <f>Table9[[#This Row],[Land Size (Acres) Score]]*'Detailed Rubric V3'!$G$6</f>
        <v>0.3</v>
      </c>
      <c r="P56" s="526"/>
      <c r="Q56" s="526">
        <f>IFERROR(Table9[[#This Row],[Site Filling Cost (Mn BDT)]]/Table9[[#This Row],[Land Size (Acres)
(15%)]],"")</f>
        <v>0</v>
      </c>
      <c r="R56" s="526" cm="1">
        <f t="array" ref="R56">IF(Table9[[#This Row],[Name]]="Sitakundo Economic Zone", 4, _xlfn.IFS(Table9[[#This Row],[Site Filling Cost (Mn BDT)]]="",0,Table9[[#This Row],[Land Suitability
(Cost of Land Filling in Million BDT per acre)
(25%)]]&gt;5,0,Table9[[#This Row],[Land Suitability
(Cost of Land Filling in Million BDT per acre)
(25%)]]&lt;2,4,TRUE,2))</f>
        <v>0</v>
      </c>
      <c r="S56" s="526">
        <f>Table9[[#This Row],[Land Suitability for Construction Score]]*'Detailed Rubric V3'!$J$6</f>
        <v>0</v>
      </c>
      <c r="T56" s="526"/>
      <c r="U56" s="526">
        <f>IFERROR(Table9[[#This Row],[Embankment/Dyke Cost (Mn BDT)]]/Table9[[#This Row],[Land Size (Acres)
(15%)]], 0)</f>
        <v>0</v>
      </c>
      <c r="V56" s="526" cm="1">
        <f t="array" ref="V56">IF(Table9[[#This Row],[Name]]="Sitakundo Economic Zone", 2, _xlfn.IFS(Table9[[#This Row],[Embankment/Dyke Cost (Mn BDT)]]="",0,Table9[[#This Row],[Cost of DRRI Infrastructure in million BDT per acre
(10%)]]&gt;5,0,Table9[[#This Row],[Cost of DRRI Infrastructure in million BDT per acre
(10%)]]&lt;2,4,TRUE,2))</f>
        <v>0</v>
      </c>
      <c r="W56" s="526">
        <f>Table9[[#This Row],[Requirement for Distaster Risk Reduction &amp; Resilience Infrastructure Score]]*'Detailed Rubric V3'!$M$6</f>
        <v>0</v>
      </c>
      <c r="X56"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56" s="452" t="s">
        <v>443</v>
      </c>
      <c r="Z56" s="210">
        <f>IFERROR(VLOOKUP(Table9[[#This Row],[Zone Priority
(40%)]],'Detailed Rubric V3'!$B$18:$C$21, 2,FALSE), 0)</f>
        <v>2</v>
      </c>
      <c r="AA56" s="210">
        <f>IFERROR(Table9[[#This Row],[Zone Priority Score]]*'Detailed Rubric V3'!$C$16, 0)</f>
        <v>0</v>
      </c>
      <c r="AB56" s="237" t="s">
        <v>446</v>
      </c>
      <c r="AC56" s="237">
        <f>VLOOKUP(Table9[[#This Row],[Existing BEZA Report
(60%)]],'Detailed Rubric V3'!$E$18:$F$20,2,FALSE)</f>
        <v>2</v>
      </c>
      <c r="AD56" s="237">
        <f>Table9[[#This Row],[Existing BEZA Report Score]]*'Detailed Rubric V3'!F$16</f>
        <v>2</v>
      </c>
      <c r="AE56" s="237">
        <f>(Table9[[#This Row],[Zone Priority Weighted Score]]+Table9[[#This Row],[Existing BEZA Report Weighted Score]])*'Detailed Rubric V3'!$C$14</f>
        <v>0.3</v>
      </c>
      <c r="AF56" s="528">
        <v>10</v>
      </c>
      <c r="AG56" s="529" cm="1">
        <f t="array" ref="AG56">_xlfn.IFS(Table9[[#This Row],[Existing Sectors
(50%)]]&gt;10, 4,Table9[[#This Row],[Existing Sectors
(50%)]]&lt;5, 0, TRUE, 2)</f>
        <v>2</v>
      </c>
      <c r="AH56" s="529">
        <f>Table9[[#This Row],[Existing Sectors Score]]*'Detailed Rubric V3'!$C$25</f>
        <v>1</v>
      </c>
      <c r="AI56" s="529">
        <v>15</v>
      </c>
      <c r="AJ56" s="529">
        <v>5</v>
      </c>
      <c r="AK56" s="529" cm="1">
        <f t="array" ref="AK56">_xlfn.IFS(Table9[[#This Row],[Potential New Sectors
(50%)]]&gt;5, 4, Table9[[#This Row],[Potential New Sectors
(50%)]]&lt;2,0, TRUE, 2)</f>
        <v>2</v>
      </c>
      <c r="AL56" s="529">
        <f>Table9[[#This Row],[Potential New Sectors Score]]*'Detailed Rubric V3'!$F$25</f>
        <v>1</v>
      </c>
      <c r="AM56" s="232">
        <f>(Table9[[#This Row],[Existing Sectors Weighted Score]]+Table9[[#This Row],[Potential New Sectors Weighted Score]])*'Detailed Rubric V3'!$C$23</f>
        <v>0.3</v>
      </c>
      <c r="AN56" s="530">
        <f>SUM(Table9[[#This Row],[1.1. Land Details (20% weightage)]],Table9[[#This Row],[1.2. BEZA Existing plans (15% weightage)]],Table9[[#This Row],[1.3. Sector Demand (15% weightage):]])</f>
        <v>0.65999999999999992</v>
      </c>
      <c r="AO56" s="531">
        <f>_xlfn.RANK.EQ(Table9[[#This Row],[Level 1 Score]],$AN$3:$AN$103)</f>
        <v>50</v>
      </c>
      <c r="AP56" s="280"/>
      <c r="AQ56" s="280" cm="1">
        <f t="array" ref="AQ56">_xlfn.IFS(Table9[[#This Row],[National Highway Connectivity (km)
(15%)]]="", 0, Table9[[#This Row],[National Highway Connectivity (km)
(15%)]]&gt;50, 0, Table9[[#This Row],[National Highway Connectivity (km)
(15%)]]&lt;=25, 4, TRUE, 2)</f>
        <v>0</v>
      </c>
      <c r="AR56" s="280">
        <f>Table9[[#This Row],[National Highway Connectivity Score]]*'Detailed Rubric V3'!$C$35</f>
        <v>0</v>
      </c>
      <c r="AS56" s="280"/>
      <c r="AT56" s="280" cm="1">
        <f t="array" ref="AT56">_xlfn.IFS(Table9[[#This Row],[Connecting Road to Highway (km)
(15%)]]="", 0, Table9[[#This Row],[Connecting Road to Highway (km)
(15%)]]="Yes", 4, TRUE, 0)</f>
        <v>0</v>
      </c>
      <c r="AU56" s="280">
        <f>Table9[[#This Row],[Connecting Road to Highway Score]]*'Detailed Rubric V3'!$F$35</f>
        <v>0</v>
      </c>
      <c r="AV56" s="280"/>
      <c r="AW56" s="280" cm="1">
        <f t="array" ref="AW56">_xlfn.IFS(Table9[[#This Row],[Seaport Connectivity (km)
(30%)]]="",0, Table9[[#This Row],[Seaport Connectivity (km)
(30%)]]&gt;400, 0,Table9[[#This Row],[Seaport Connectivity (km)
(30%)]]&lt;=200,4, TRUE, 2)</f>
        <v>0</v>
      </c>
      <c r="AX56" s="280">
        <f>Table9[[#This Row],[Seaport Connectivity Score]]*'Detailed Rubric V3'!$I$35</f>
        <v>0</v>
      </c>
      <c r="AY56" s="280"/>
      <c r="AZ56" s="280" cm="1">
        <f t="array" ref="AZ56">_xlfn.IFS(Table9[[#This Row],[Airport Connectivity (km)
(10%)]]="", 0, Table9[[#This Row],[Airport Connectivity (km)
(10%)]]&gt;200, 0, Table9[[#This Row],[Airport Connectivity (km)
(10%)]]&lt;=100,4,TRUE, 2)</f>
        <v>0</v>
      </c>
      <c r="BA56" s="280">
        <f>Table9[[#This Row],[Airport Connectivity Score]]*'Detailed Rubric V3'!$C$41</f>
        <v>0</v>
      </c>
      <c r="BB56" s="280"/>
      <c r="BC56" s="280" cm="1">
        <f t="array" ref="BC56">_xlfn.IFS(Table9[[#This Row],[Railway Station (km)
(10%)]]="", 0, Table9[[#This Row],[Railway Station (km)
(10%)]]&gt;150, 0,Table9[[#This Row],[Railway Station (km)
(10%)]]&lt;=50,4, TRUE, 2)</f>
        <v>0</v>
      </c>
      <c r="BD56" s="280">
        <f>Table9[[#This Row],[Railway Station Score]]*'Detailed Rubric V3'!$F$41</f>
        <v>0</v>
      </c>
      <c r="BE56" s="280"/>
      <c r="BF56" s="280" cm="1">
        <f t="array" ref="BF56">_xlfn.IFS(Table9[[#This Row],[Inland waterway/ Land port (km)
(20%)]]="", 0, Table9[[#This Row],[Inland waterway/ Land port (km)
(20%)]]&gt;200, 0,Table9[[#This Row],[Inland waterway/ Land port (km)
(20%)]]&lt;=50,4, TRUE, 2)</f>
        <v>0</v>
      </c>
      <c r="BG56" s="280">
        <f>Table9[[#This Row],[Inland waterway/ Land port Score]]*'Detailed Rubric V3'!$I$41</f>
        <v>0</v>
      </c>
      <c r="BH56"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56" s="280"/>
      <c r="BJ56" s="280" cm="1">
        <f t="array" ref="BJ56">_xlfn.IFS(Table9[[#This Row],[Power Station (40%)]]="",0, Table9[[#This Row],[Power Station (40%)]]&gt;100, 0,Table9[[#This Row],[Power Station (40%)]]&lt;=50,4, TRUE, 2)</f>
        <v>0</v>
      </c>
      <c r="BK56" s="280">
        <f>Table9[[#This Row],[Power Station Score]]*'Detailed Rubric V3'!$C$53</f>
        <v>0</v>
      </c>
      <c r="BL56" s="280"/>
      <c r="BM56" s="280" cm="1">
        <f t="array" ref="BM56">IF(ISNUMBER(Table9[[#This Row],[Gas Station (20%)]]), _xlfn.IFS(Table9[[#This Row],[Gas Station (20%)]]="", 0, Table9[[#This Row],[Gas Station (20%)]]&gt;100, 0,Table9[[#This Row],[Gas Station (20%)]]&lt;=50,4, TRUE, 2), 0)</f>
        <v>0</v>
      </c>
      <c r="BN56" s="280">
        <f>Table9[[#This Row],[Gas Station Score]]*'Detailed Rubric V3'!$F$53</f>
        <v>0</v>
      </c>
      <c r="BO56" s="280"/>
      <c r="BP56" s="280" cm="1">
        <f t="array" ref="BP56">IF(ISNUMBER(Table9[[#This Row],[Source of Surface Water (40%)]]), _xlfn.IFS(Table9[[#This Row],[Source of Surface Water (40%)]]="", 0, Table9[[#This Row],[Source of Surface Water (40%)]]&gt;50, 0,Table9[[#This Row],[Source of Surface Water (40%)]]&lt;=20,4, TRUE, 2), 0)</f>
        <v>0</v>
      </c>
      <c r="BQ56" s="280">
        <f>Table9[[#This Row],[Source of Surface Water Score]]*'Detailed Rubric V3'!$I$53</f>
        <v>0</v>
      </c>
      <c r="BR56" s="280">
        <f>SUM(Table9[[#This Row],[Power Station Weighted Score]],Table9[[#This Row],[Gas Station Weighted Score]],Table9[[#This Row],[Source of Surface Water Weighted Score]])*'Detailed Rubric V3'!$C$51</f>
        <v>0</v>
      </c>
      <c r="BS56" s="280"/>
      <c r="BT56" s="280" cm="1">
        <f t="array" ref="BT56">_xlfn.IFS(Table9[[#This Row],[Other BEZA EZ (20%)]]="", 0, Table9[[#This Row],[Other BEZA EZ (20%)]]="Yes", 4, TRUE, 0)</f>
        <v>0</v>
      </c>
      <c r="BU56" s="280">
        <f>Table9[[#This Row],[Other BEZA EZ Score]]*'Detailed Rubric V3'!$C$66</f>
        <v>0</v>
      </c>
      <c r="BV56" s="280"/>
      <c r="BW56" s="280" cm="1">
        <f t="array" ref="BW56">_xlfn.IFS(Table9[[#This Row],[BEPZA/ BHPTA/ BSCIC (20%)]]="", 0, Table9[[#This Row],[BEPZA/ BHPTA/ BSCIC (20%)]]="Yes", 4, TRUE, 0)</f>
        <v>0</v>
      </c>
      <c r="BX56" s="280">
        <f>Table9[[#This Row],[BEPZA/ BHPTA/ BSCIC Score]]*'Detailed Rubric V3'!$F$66</f>
        <v>0</v>
      </c>
      <c r="BY56" s="280"/>
      <c r="BZ56" s="280" cm="1">
        <f t="array" ref="BZ56">_xlfn.IFS(Table9[[#This Row],[Cluster Industries (from SMI) (20%)]]="", 0, Table9[[#This Row],[Cluster Industries (from SMI) (20%)]]&gt;100, 4, Table9[[#This Row],[Cluster Industries (from SMI) (20%)]]&lt;50, 0, TRUE, 2)</f>
        <v>0</v>
      </c>
      <c r="CA56" s="280">
        <f>Table9[[#This Row],[Cluster Industries (from SMI) Score]]*'Detailed Rubric V3'!$I$66</f>
        <v>0</v>
      </c>
      <c r="CB56" s="280"/>
      <c r="CC56" s="280" cm="1">
        <f t="array" ref="CC56">_xlfn.IFS(Table9[[#This Row],[Located on Industrial corridor (40%)]]="", 0, Table9[[#This Row],[Located on Industrial corridor (40%)]]="Yes", 4, TRUE, 0)</f>
        <v>0</v>
      </c>
      <c r="CD56" s="280">
        <f>Table9[[#This Row],[Located on Industrial corridor Score]]*'Detailed Rubric V3'!$L$66</f>
        <v>0</v>
      </c>
      <c r="CE56" s="280">
        <f>SUM(Table9[[#This Row],[Other BEZA EZ Weighted Score]],Table9[[#This Row],[BEPZA/ BHPTA/ BSCIC Weighted Score]],Table9[[#This Row],[Unorganized (from SMI) Weighted Score]],Table9[[#This Row],[Located on Industrial corridor Weighted Score]])*'Detailed Rubric V3'!$C$64</f>
        <v>0</v>
      </c>
      <c r="CF56" s="280"/>
      <c r="CG56" s="280" cm="1">
        <f t="array" ref="CG56">_xlfn.IFS(Table9[[#This Row],[Economic/ Social priority (laggered area) (100%)]]="", 0, Table9[[#This Row],[Economic/ Social priority (laggered area) (100%)]]="Yes", 4, TRUE, 0)</f>
        <v>0</v>
      </c>
      <c r="CH56" s="280">
        <f>Table9[[#This Row],[Economic/ Social priority (laggered area) Score]]*'Detailed Rubric V3'!$C$82</f>
        <v>0</v>
      </c>
      <c r="CI56" s="280"/>
      <c r="CJ56" s="280" cm="1">
        <f t="array" ref="CJ56">_xlfn.IFS(Table9[[#This Row],[Regional Tax incentive  (0%)]]="", 0, Table9[[#This Row],[Regional Tax incentive  (0%)]]="Yes", 4, TRUE, 0)</f>
        <v>0</v>
      </c>
      <c r="CK56" s="280">
        <f>Table9[[#This Row],[Regional Tax incentive Score]]*'Detailed Rubric V3'!$F$82</f>
        <v>0</v>
      </c>
      <c r="CL56" s="280">
        <f>SUM(Table9[[#This Row],[Economic/ Social priority (laagered area) Weighted Score]],Table9[[#This Row],[Regional Tax incentive  Weighted Score]])*'Detailed Rubric V3'!$C$80</f>
        <v>0</v>
      </c>
      <c r="CM56" s="280"/>
      <c r="CN56" s="280" cm="1">
        <f t="array" ref="CN56">_xlfn.IFS(Table9[[#This Row],[Employable population (40%) 2013]]="", 0, Table9[[#This Row],[Employable population (40%) 2013]]&gt;200000, 4, Table9[[#This Row],[Employable population (40%) 2013]]&lt;100000,0, TRUE, 2)</f>
        <v>0</v>
      </c>
      <c r="CO56" s="280">
        <f>Table9[[#This Row],[Employable population Score]]*'Detailed Rubric V3'!$C$92</f>
        <v>0</v>
      </c>
      <c r="CP56" s="280"/>
      <c r="CQ56" s="280" cm="1">
        <f t="array" ref="CQ56">_xlfn.IFS(Table9[[#This Row],[Housing (20%)]]="", 0, Table9[[#This Row],[Housing (20%)]]&gt;50, 0, Table9[[#This Row],[Housing (20%)]]&lt;25, 4, TRUE, 2)</f>
        <v>0</v>
      </c>
      <c r="CR56" s="280">
        <f>Table9[[#This Row],[Housing Score]]*'Detailed Rubric V3'!$F$92</f>
        <v>0</v>
      </c>
      <c r="CS56" s="280"/>
      <c r="CT56" s="280" cm="1">
        <f t="array" ref="CT56">_xlfn.IFS(Table9[[#This Row],[Hotels (10%)]]="", 0, Table9[[#This Row],[Hotels (10%)]]&gt;25, 4, Table9[[#This Row],[Hotels (10%)]]&lt;5, 0, TRUE, 2)</f>
        <v>0</v>
      </c>
      <c r="CU56" s="280">
        <f>Table9[[#This Row],[Hotels Score]]*'Detailed Rubric V3'!$I$92</f>
        <v>0</v>
      </c>
      <c r="CV56" s="280"/>
      <c r="CW56" s="280" cm="1">
        <f t="array" ref="CW56">_xlfn.IFS(Table9[[#This Row],[Health (Hospital) (15%)]]="", 0, Table9[[#This Row],[Health (Hospital) (15%)]]&gt;10, 4, Table9[[#This Row],[Health (Hospital) (15%)]]&lt;5, 0, TRUE, 2)</f>
        <v>0</v>
      </c>
      <c r="CX56" s="280">
        <f>Table9[[#This Row],[Health (Hospital) Score]]*'Detailed Rubric V3'!$L$92</f>
        <v>0</v>
      </c>
      <c r="CY56" s="280"/>
      <c r="CZ56" s="280" cm="1">
        <f t="array" ref="CZ56">_xlfn.IFS(Table9[[#This Row],[University/ Technical &amp; Vocational Institutions (15%)]]="", 0, Table9[[#This Row],[University/ Technical &amp; Vocational Institutions (15%)]]&gt;3, 4, Table9[[#This Row],[University/ Technical &amp; Vocational Institutions (15%)]]&lt;1, 0, TRUE, 2)</f>
        <v>0</v>
      </c>
      <c r="DA56" s="280">
        <f>Table9[[#This Row],[University/ Technical &amp; Vocational Institutions Score]]*'Detailed Rubric V3'!$O$92</f>
        <v>0</v>
      </c>
      <c r="DB56"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56" s="280"/>
      <c r="DD56" s="280" cm="1">
        <f t="array" ref="DD56">_xlfn.IFS(Table9[[#This Row],[Environment compliance (30%)]]="", 0, Table9[[#This Row],[Environment compliance (30%)]]="Yes", 4, TRUE, 0)</f>
        <v>0</v>
      </c>
      <c r="DE56" s="280">
        <f>Table9[[#This Row],[Environment compliance Score]]*'Detailed Rubric V3'!$C$104</f>
        <v>0</v>
      </c>
      <c r="DF56" s="280" t="s">
        <v>428</v>
      </c>
      <c r="DG56" s="280" cm="1">
        <f t="array" ref="DG56">_xlfn.IFS(Table9[[#This Row],[Flood Risk Index (30%)]]="", 0, Table9[[#This Row],[Flood Risk Index (30%)]]="Very Low", 4, Table9[[#This Row],[Flood Risk Index (30%)]]="Moderate &amp; Low", 2, TRUE, 0)</f>
        <v>4</v>
      </c>
      <c r="DH56" s="280">
        <f>Table9[[#This Row],[Flood Risk Index Score]]*'Detailed Rubric V3'!$F$104</f>
        <v>1.2</v>
      </c>
      <c r="DI56" s="280" t="s">
        <v>428</v>
      </c>
      <c r="DJ56" s="280" cm="1">
        <f t="array" ref="DJ56">_xlfn.IFS(Table9[[#This Row],[Earth Quake Risk Index (10%)]]="", 0, Table9[[#This Row],[Earth Quake Risk Index (10%)]]="Very Low", 4, Table9[[#This Row],[Earth Quake Risk Index (10%)]]="Moderate &amp; Low", 2, TRUE, 0)</f>
        <v>4</v>
      </c>
      <c r="DK56" s="280">
        <f>Table9[[#This Row],[Earth Quake Risk Index Score]]*'Detailed Rubric V3'!$I$104</f>
        <v>0.4</v>
      </c>
      <c r="DL56" s="280" t="s">
        <v>419</v>
      </c>
      <c r="DM56" s="280" cm="1">
        <f t="array" ref="DM56">_xlfn.IFS(Table9[[#This Row],[Sea Level Rise Risk Index (10%)]]="", 0, Table9[[#This Row],[Sea Level Rise Risk Index (10%)]]="Very Low", 4, Table9[[#This Row],[Sea Level Rise Risk Index (10%)]]="Moderate &amp; Low", 2, TRUE, 0)</f>
        <v>2</v>
      </c>
      <c r="DN56" s="280">
        <f>Table9[[#This Row],[Sea Level Rise  Risk Index Score]]*'Detailed Rubric V3'!$L$104</f>
        <v>0.2</v>
      </c>
      <c r="DO56" s="280" t="s">
        <v>419</v>
      </c>
      <c r="DP56" s="280" cm="1">
        <f t="array" ref="DP56">_xlfn.IFS(Table9[[#This Row],[Cyclone Risk Index (10%)]]="", 0, Table9[[#This Row],[Cyclone Risk Index (10%)]]="Very Low", 4, Table9[[#This Row],[Cyclone Risk Index (10%)]]="Moderate &amp; Low", 2, TRUE, 0)</f>
        <v>2</v>
      </c>
      <c r="DQ56" s="280">
        <f>Table9[[#This Row],[Cyclone Risk Index Score]]*'Detailed Rubric V3'!$O$104</f>
        <v>0.2</v>
      </c>
      <c r="DR56" s="280" t="s">
        <v>419</v>
      </c>
      <c r="DS56" s="280" cm="1">
        <f t="array" ref="DS56">_xlfn.IFS(Table9[[#This Row],[Storm Surge Risk Index (10%)]]="", 0, Table9[[#This Row],[Storm Surge Risk Index (10%)]]="Very Low", 4, Table9[[#This Row],[Storm Surge Risk Index (10%)]]="Moderate &amp; Low", 2, TRUE, 0)</f>
        <v>2</v>
      </c>
      <c r="DT56" s="280">
        <f>Table9[[#This Row],[Storm Surge Risk Index Score]]*'Detailed Rubric V3'!$R$104</f>
        <v>0.2</v>
      </c>
      <c r="DU56"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0.13200000000000001</v>
      </c>
      <c r="DV56" s="309">
        <f>SUM(Table9[[#This Row],[2.1. Connectivity/ Logistics (10% weightage)]],Table9[[#This Row],[2.2. Utility (12% weightage)]],Table9[[#This Row],[2.3. Agglomeration effects (10% weightage)]],Table9[[#This Row],[2.4. Regional Policy (4% weightage)]],Table9[[#This Row],[2.5. Social (8% weightage)]],Table9[[#This Row],[2.6. Environment (6% weightage)]])</f>
        <v>0.13200000000000001</v>
      </c>
      <c r="DW56" s="280">
        <f>_xlfn.RANK.EQ(Table9[[#This Row],[Level 2 Score]],$DV$3:$DV$103)</f>
        <v>55</v>
      </c>
      <c r="DX56" s="302">
        <f>Table9[[#This Row],[Level 1 Score]]+Table9[[#This Row],[Level 2 Score]]</f>
        <v>0.79199999999999993</v>
      </c>
      <c r="DY56" s="294">
        <f>_xlfn.RANK.EQ(Table9[[#This Row],[Total Score]],$DX$3:$DX$103)</f>
        <v>54</v>
      </c>
      <c r="DZ56" s="237" t="str">
        <f>IF(Table9[[#This Row],[Count of Blanks]]&lt;=2, "Yes", "No")</f>
        <v>No</v>
      </c>
      <c r="EA56" s="237">
        <f>COUNTBLANK(Table9[[#This Row],[Name]:[Total Score Rank]])</f>
        <v>23</v>
      </c>
      <c r="EB56" s="237"/>
    </row>
    <row r="57" spans="2:132" ht="27" x14ac:dyDescent="0.25">
      <c r="B57" s="220">
        <v>10</v>
      </c>
      <c r="C57" s="221" t="s">
        <v>162</v>
      </c>
      <c r="D57" s="220" t="s">
        <v>119</v>
      </c>
      <c r="E57" s="220" t="s">
        <v>119</v>
      </c>
      <c r="F57" s="220" t="s">
        <v>163</v>
      </c>
      <c r="G57" s="220" t="s">
        <v>70</v>
      </c>
      <c r="H57" s="525" t="s">
        <v>431</v>
      </c>
      <c r="I57" s="70" t="s">
        <v>466</v>
      </c>
      <c r="J57" s="227" t="s">
        <v>444</v>
      </c>
      <c r="K57" s="220">
        <f>IFERROR(VLOOKUP(Table9[[#This Row],[Land Availability (Grade)​
(50%)]],'Detailed Rubric V3'!$B$8:$C$11,2), 0)</f>
        <v>0</v>
      </c>
      <c r="L57" s="220">
        <f>IFERROR(Table9[[#This Row],[Land Availability (Grade)​ Score]]*'Detailed Rubric V3'!$C$6, "")</f>
        <v>0</v>
      </c>
      <c r="M57" s="222">
        <v>2255.96</v>
      </c>
      <c r="N57" s="222" cm="1">
        <f t="array" ref="N57">_xlfn.IFS(Table9[[#This Row],[Land Size (Acres)
(15%)]]&lt;100,0,Table9[[#This Row],[Land Size (Acres)
(15%)]]&gt;500,4,TRUE,2)</f>
        <v>4</v>
      </c>
      <c r="O57" s="222">
        <f>Table9[[#This Row],[Land Size (Acres) Score]]*'Detailed Rubric V3'!$G$6</f>
        <v>0.6</v>
      </c>
      <c r="P57" s="526"/>
      <c r="Q57" s="526">
        <f>IFERROR(Table9[[#This Row],[Site Filling Cost (Mn BDT)]]/Table9[[#This Row],[Land Size (Acres)
(15%)]],"")</f>
        <v>0</v>
      </c>
      <c r="R57" s="526" cm="1">
        <f t="array" ref="R57">IF(Table9[[#This Row],[Name]]="Sitakundo Economic Zone", 4, _xlfn.IFS(Table9[[#This Row],[Site Filling Cost (Mn BDT)]]="",0,Table9[[#This Row],[Land Suitability
(Cost of Land Filling in Million BDT per acre)
(25%)]]&gt;5,0,Table9[[#This Row],[Land Suitability
(Cost of Land Filling in Million BDT per acre)
(25%)]]&lt;2,4,TRUE,2))</f>
        <v>0</v>
      </c>
      <c r="S57" s="526">
        <f>Table9[[#This Row],[Land Suitability for Construction Score]]*'Detailed Rubric V3'!$J$6</f>
        <v>0</v>
      </c>
      <c r="T57" s="526"/>
      <c r="U57" s="526">
        <f>IFERROR(Table9[[#This Row],[Embankment/Dyke Cost (Mn BDT)]]/Table9[[#This Row],[Land Size (Acres)
(15%)]], 0)</f>
        <v>0</v>
      </c>
      <c r="V57" s="526" cm="1">
        <f t="array" ref="V57">IF(Table9[[#This Row],[Name]]="Sitakundo Economic Zone", 2, _xlfn.IFS(Table9[[#This Row],[Embankment/Dyke Cost (Mn BDT)]]="",0,Table9[[#This Row],[Cost of DRRI Infrastructure in million BDT per acre
(10%)]]&gt;5,0,Table9[[#This Row],[Cost of DRRI Infrastructure in million BDT per acre
(10%)]]&lt;2,4,TRUE,2))</f>
        <v>0</v>
      </c>
      <c r="W57" s="526">
        <f>Table9[[#This Row],[Requirement for Distaster Risk Reduction &amp; Resilience Infrastructure Score]]*'Detailed Rubric V3'!$M$6</f>
        <v>0</v>
      </c>
      <c r="X57"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57" s="452" t="s">
        <v>436</v>
      </c>
      <c r="Z57" s="210">
        <f>IFERROR(VLOOKUP(Table9[[#This Row],[Zone Priority
(40%)]],'Detailed Rubric V3'!$B$18:$C$21, 2,FALSE), 0)</f>
        <v>0</v>
      </c>
      <c r="AA57" s="210">
        <f>IFERROR(Table9[[#This Row],[Zone Priority Score]]*'Detailed Rubric V3'!$C$16, 0)</f>
        <v>0</v>
      </c>
      <c r="AB57" s="237" t="s">
        <v>446</v>
      </c>
      <c r="AC57" s="237">
        <f>VLOOKUP(Table9[[#This Row],[Existing BEZA Report
(60%)]],'Detailed Rubric V3'!$E$18:$F$20,2,FALSE)</f>
        <v>2</v>
      </c>
      <c r="AD57" s="237">
        <f>Table9[[#This Row],[Existing BEZA Report Score]]*'Detailed Rubric V3'!F$16</f>
        <v>2</v>
      </c>
      <c r="AE57" s="237">
        <f>(Table9[[#This Row],[Zone Priority Weighted Score]]+Table9[[#This Row],[Existing BEZA Report Weighted Score]])*'Detailed Rubric V3'!$C$14</f>
        <v>0.3</v>
      </c>
      <c r="AF57" s="528">
        <v>4</v>
      </c>
      <c r="AG57" s="529" cm="1">
        <f t="array" ref="AG57">_xlfn.IFS(Table9[[#This Row],[Existing Sectors
(50%)]]&gt;10, 4,Table9[[#This Row],[Existing Sectors
(50%)]]&lt;5, 0, TRUE, 2)</f>
        <v>0</v>
      </c>
      <c r="AH57" s="529">
        <f>Table9[[#This Row],[Existing Sectors Score]]*'Detailed Rubric V3'!$C$25</f>
        <v>0</v>
      </c>
      <c r="AI57" s="529">
        <v>11</v>
      </c>
      <c r="AJ57" s="529">
        <v>7</v>
      </c>
      <c r="AK57" s="529" cm="1">
        <f t="array" ref="AK57">_xlfn.IFS(Table9[[#This Row],[Potential New Sectors
(50%)]]&gt;5, 4, Table9[[#This Row],[Potential New Sectors
(50%)]]&lt;2,0, TRUE, 2)</f>
        <v>4</v>
      </c>
      <c r="AL57" s="529">
        <f>Table9[[#This Row],[Potential New Sectors Score]]*'Detailed Rubric V3'!$F$25</f>
        <v>2</v>
      </c>
      <c r="AM57" s="232">
        <f>(Table9[[#This Row],[Existing Sectors Weighted Score]]+Table9[[#This Row],[Potential New Sectors Weighted Score]])*'Detailed Rubric V3'!$C$23</f>
        <v>0.3</v>
      </c>
      <c r="AN57" s="530">
        <f>SUM(Table9[[#This Row],[1.1. Land Details (20% weightage)]],Table9[[#This Row],[1.2. BEZA Existing plans (15% weightage)]],Table9[[#This Row],[1.3. Sector Demand (15% weightage):]])</f>
        <v>0.72</v>
      </c>
      <c r="AO57" s="531">
        <f>_xlfn.RANK.EQ(Table9[[#This Row],[Level 1 Score]],$AN$3:$AN$103)</f>
        <v>39</v>
      </c>
      <c r="AP57" s="280"/>
      <c r="AQ57" s="280" cm="1">
        <f t="array" ref="AQ57">_xlfn.IFS(Table9[[#This Row],[National Highway Connectivity (km)
(15%)]]="", 0, Table9[[#This Row],[National Highway Connectivity (km)
(15%)]]&gt;50, 0, Table9[[#This Row],[National Highway Connectivity (km)
(15%)]]&lt;=25, 4, TRUE, 2)</f>
        <v>0</v>
      </c>
      <c r="AR57" s="280">
        <f>Table9[[#This Row],[National Highway Connectivity Score]]*'Detailed Rubric V3'!$C$35</f>
        <v>0</v>
      </c>
      <c r="AS57" s="280"/>
      <c r="AT57" s="280" cm="1">
        <f t="array" ref="AT57">_xlfn.IFS(Table9[[#This Row],[Connecting Road to Highway (km)
(15%)]]="", 0, Table9[[#This Row],[Connecting Road to Highway (km)
(15%)]]="Yes", 4, TRUE, 0)</f>
        <v>0</v>
      </c>
      <c r="AU57" s="280">
        <f>Table9[[#This Row],[Connecting Road to Highway Score]]*'Detailed Rubric V3'!$F$35</f>
        <v>0</v>
      </c>
      <c r="AV57" s="280"/>
      <c r="AW57" s="280" cm="1">
        <f t="array" ref="AW57">_xlfn.IFS(Table9[[#This Row],[Seaport Connectivity (km)
(30%)]]="",0, Table9[[#This Row],[Seaport Connectivity (km)
(30%)]]&gt;400, 0,Table9[[#This Row],[Seaport Connectivity (km)
(30%)]]&lt;=200,4, TRUE, 2)</f>
        <v>0</v>
      </c>
      <c r="AX57" s="280">
        <f>Table9[[#This Row],[Seaport Connectivity Score]]*'Detailed Rubric V3'!$I$35</f>
        <v>0</v>
      </c>
      <c r="AY57" s="280"/>
      <c r="AZ57" s="280" cm="1">
        <f t="array" ref="AZ57">_xlfn.IFS(Table9[[#This Row],[Airport Connectivity (km)
(10%)]]="", 0, Table9[[#This Row],[Airport Connectivity (km)
(10%)]]&gt;200, 0, Table9[[#This Row],[Airport Connectivity (km)
(10%)]]&lt;=100,4,TRUE, 2)</f>
        <v>0</v>
      </c>
      <c r="BA57" s="280">
        <f>Table9[[#This Row],[Airport Connectivity Score]]*'Detailed Rubric V3'!$C$41</f>
        <v>0</v>
      </c>
      <c r="BB57" s="280"/>
      <c r="BC57" s="280" cm="1">
        <f t="array" ref="BC57">_xlfn.IFS(Table9[[#This Row],[Railway Station (km)
(10%)]]="", 0, Table9[[#This Row],[Railway Station (km)
(10%)]]&gt;150, 0,Table9[[#This Row],[Railway Station (km)
(10%)]]&lt;=50,4, TRUE, 2)</f>
        <v>0</v>
      </c>
      <c r="BD57" s="280">
        <f>Table9[[#This Row],[Railway Station Score]]*'Detailed Rubric V3'!$F$41</f>
        <v>0</v>
      </c>
      <c r="BE57" s="280"/>
      <c r="BF57" s="280" cm="1">
        <f t="array" ref="BF57">_xlfn.IFS(Table9[[#This Row],[Inland waterway/ Land port (km)
(20%)]]="", 0, Table9[[#This Row],[Inland waterway/ Land port (km)
(20%)]]&gt;200, 0,Table9[[#This Row],[Inland waterway/ Land port (km)
(20%)]]&lt;=50,4, TRUE, 2)</f>
        <v>0</v>
      </c>
      <c r="BG57" s="280">
        <f>Table9[[#This Row],[Inland waterway/ Land port Score]]*'Detailed Rubric V3'!$I$41</f>
        <v>0</v>
      </c>
      <c r="BH57"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57" s="280"/>
      <c r="BJ57" s="280" cm="1">
        <f t="array" ref="BJ57">_xlfn.IFS(Table9[[#This Row],[Power Station (40%)]]="",0, Table9[[#This Row],[Power Station (40%)]]&gt;100, 0,Table9[[#This Row],[Power Station (40%)]]&lt;=50,4, TRUE, 2)</f>
        <v>0</v>
      </c>
      <c r="BK57" s="280">
        <f>Table9[[#This Row],[Power Station Score]]*'Detailed Rubric V3'!$C$53</f>
        <v>0</v>
      </c>
      <c r="BL57" s="280"/>
      <c r="BM57" s="280" cm="1">
        <f t="array" ref="BM57">IF(ISNUMBER(Table9[[#This Row],[Gas Station (20%)]]), _xlfn.IFS(Table9[[#This Row],[Gas Station (20%)]]="", 0, Table9[[#This Row],[Gas Station (20%)]]&gt;100, 0,Table9[[#This Row],[Gas Station (20%)]]&lt;=50,4, TRUE, 2), 0)</f>
        <v>0</v>
      </c>
      <c r="BN57" s="280">
        <f>Table9[[#This Row],[Gas Station Score]]*'Detailed Rubric V3'!$F$53</f>
        <v>0</v>
      </c>
      <c r="BO57" s="280"/>
      <c r="BP57" s="280" cm="1">
        <f t="array" ref="BP57">IF(ISNUMBER(Table9[[#This Row],[Source of Surface Water (40%)]]), _xlfn.IFS(Table9[[#This Row],[Source of Surface Water (40%)]]="", 0, Table9[[#This Row],[Source of Surface Water (40%)]]&gt;50, 0,Table9[[#This Row],[Source of Surface Water (40%)]]&lt;=20,4, TRUE, 2), 0)</f>
        <v>0</v>
      </c>
      <c r="BQ57" s="280">
        <f>Table9[[#This Row],[Source of Surface Water Score]]*'Detailed Rubric V3'!$I$53</f>
        <v>0</v>
      </c>
      <c r="BR57" s="280">
        <f>SUM(Table9[[#This Row],[Power Station Weighted Score]],Table9[[#This Row],[Gas Station Weighted Score]],Table9[[#This Row],[Source of Surface Water Weighted Score]])*'Detailed Rubric V3'!$C$51</f>
        <v>0</v>
      </c>
      <c r="BS57" s="280"/>
      <c r="BT57" s="280" cm="1">
        <f t="array" ref="BT57">_xlfn.IFS(Table9[[#This Row],[Other BEZA EZ (20%)]]="", 0, Table9[[#This Row],[Other BEZA EZ (20%)]]="Yes", 4, TRUE, 0)</f>
        <v>0</v>
      </c>
      <c r="BU57" s="280">
        <f>Table9[[#This Row],[Other BEZA EZ Score]]*'Detailed Rubric V3'!$C$66</f>
        <v>0</v>
      </c>
      <c r="BV57" s="280"/>
      <c r="BW57" s="280" cm="1">
        <f t="array" ref="BW57">_xlfn.IFS(Table9[[#This Row],[BEPZA/ BHPTA/ BSCIC (20%)]]="", 0, Table9[[#This Row],[BEPZA/ BHPTA/ BSCIC (20%)]]="Yes", 4, TRUE, 0)</f>
        <v>0</v>
      </c>
      <c r="BX57" s="280">
        <f>Table9[[#This Row],[BEPZA/ BHPTA/ BSCIC Score]]*'Detailed Rubric V3'!$F$66</f>
        <v>0</v>
      </c>
      <c r="BY57" s="280"/>
      <c r="BZ57" s="280" cm="1">
        <f t="array" ref="BZ57">_xlfn.IFS(Table9[[#This Row],[Cluster Industries (from SMI) (20%)]]="", 0, Table9[[#This Row],[Cluster Industries (from SMI) (20%)]]&gt;100, 4, Table9[[#This Row],[Cluster Industries (from SMI) (20%)]]&lt;50, 0, TRUE, 2)</f>
        <v>0</v>
      </c>
      <c r="CA57" s="280">
        <f>Table9[[#This Row],[Cluster Industries (from SMI) Score]]*'Detailed Rubric V3'!$I$66</f>
        <v>0</v>
      </c>
      <c r="CB57" s="280"/>
      <c r="CC57" s="280" cm="1">
        <f t="array" ref="CC57">_xlfn.IFS(Table9[[#This Row],[Located on Industrial corridor (40%)]]="", 0, Table9[[#This Row],[Located on Industrial corridor (40%)]]="Yes", 4, TRUE, 0)</f>
        <v>0</v>
      </c>
      <c r="CD57" s="280">
        <f>Table9[[#This Row],[Located on Industrial corridor Score]]*'Detailed Rubric V3'!$L$66</f>
        <v>0</v>
      </c>
      <c r="CE57" s="280">
        <f>SUM(Table9[[#This Row],[Other BEZA EZ Weighted Score]],Table9[[#This Row],[BEPZA/ BHPTA/ BSCIC Weighted Score]],Table9[[#This Row],[Unorganized (from SMI) Weighted Score]],Table9[[#This Row],[Located on Industrial corridor Weighted Score]])*'Detailed Rubric V3'!$C$64</f>
        <v>0</v>
      </c>
      <c r="CF57" s="280"/>
      <c r="CG57" s="280" cm="1">
        <f t="array" ref="CG57">_xlfn.IFS(Table9[[#This Row],[Economic/ Social priority (laggered area) (100%)]]="", 0, Table9[[#This Row],[Economic/ Social priority (laggered area) (100%)]]="Yes", 4, TRUE, 0)</f>
        <v>0</v>
      </c>
      <c r="CH57" s="280">
        <f>Table9[[#This Row],[Economic/ Social priority (laggered area) Score]]*'Detailed Rubric V3'!$C$82</f>
        <v>0</v>
      </c>
      <c r="CI57" s="280"/>
      <c r="CJ57" s="280" cm="1">
        <f t="array" ref="CJ57">_xlfn.IFS(Table9[[#This Row],[Regional Tax incentive  (0%)]]="", 0, Table9[[#This Row],[Regional Tax incentive  (0%)]]="Yes", 4, TRUE, 0)</f>
        <v>0</v>
      </c>
      <c r="CK57" s="280">
        <f>Table9[[#This Row],[Regional Tax incentive Score]]*'Detailed Rubric V3'!$F$82</f>
        <v>0</v>
      </c>
      <c r="CL57" s="280">
        <f>SUM(Table9[[#This Row],[Economic/ Social priority (laagered area) Weighted Score]],Table9[[#This Row],[Regional Tax incentive  Weighted Score]])*'Detailed Rubric V3'!$C$80</f>
        <v>0</v>
      </c>
      <c r="CM57" s="280"/>
      <c r="CN57" s="280" cm="1">
        <f t="array" ref="CN57">_xlfn.IFS(Table9[[#This Row],[Employable population (40%) 2013]]="", 0, Table9[[#This Row],[Employable population (40%) 2013]]&gt;200000, 4, Table9[[#This Row],[Employable population (40%) 2013]]&lt;100000,0, TRUE, 2)</f>
        <v>0</v>
      </c>
      <c r="CO57" s="280">
        <f>Table9[[#This Row],[Employable population Score]]*'Detailed Rubric V3'!$C$92</f>
        <v>0</v>
      </c>
      <c r="CP57" s="280"/>
      <c r="CQ57" s="280" cm="1">
        <f t="array" ref="CQ57">_xlfn.IFS(Table9[[#This Row],[Housing (20%)]]="", 0, Table9[[#This Row],[Housing (20%)]]&gt;50, 0, Table9[[#This Row],[Housing (20%)]]&lt;25, 4, TRUE, 2)</f>
        <v>0</v>
      </c>
      <c r="CR57" s="280">
        <f>Table9[[#This Row],[Housing Score]]*'Detailed Rubric V3'!$F$92</f>
        <v>0</v>
      </c>
      <c r="CS57" s="280"/>
      <c r="CT57" s="280" cm="1">
        <f t="array" ref="CT57">_xlfn.IFS(Table9[[#This Row],[Hotels (10%)]]="", 0, Table9[[#This Row],[Hotels (10%)]]&gt;25, 4, Table9[[#This Row],[Hotels (10%)]]&lt;5, 0, TRUE, 2)</f>
        <v>0</v>
      </c>
      <c r="CU57" s="280">
        <f>Table9[[#This Row],[Hotels Score]]*'Detailed Rubric V3'!$I$92</f>
        <v>0</v>
      </c>
      <c r="CV57" s="280"/>
      <c r="CW57" s="280" cm="1">
        <f t="array" ref="CW57">_xlfn.IFS(Table9[[#This Row],[Health (Hospital) (15%)]]="", 0, Table9[[#This Row],[Health (Hospital) (15%)]]&gt;10, 4, Table9[[#This Row],[Health (Hospital) (15%)]]&lt;5, 0, TRUE, 2)</f>
        <v>0</v>
      </c>
      <c r="CX57" s="280">
        <f>Table9[[#This Row],[Health (Hospital) Score]]*'Detailed Rubric V3'!$L$92</f>
        <v>0</v>
      </c>
      <c r="CY57" s="280"/>
      <c r="CZ57" s="280" cm="1">
        <f t="array" ref="CZ57">_xlfn.IFS(Table9[[#This Row],[University/ Technical &amp; Vocational Institutions (15%)]]="", 0, Table9[[#This Row],[University/ Technical &amp; Vocational Institutions (15%)]]&gt;3, 4, Table9[[#This Row],[University/ Technical &amp; Vocational Institutions (15%)]]&lt;1, 0, TRUE, 2)</f>
        <v>0</v>
      </c>
      <c r="DA57" s="280">
        <f>Table9[[#This Row],[University/ Technical &amp; Vocational Institutions Score]]*'Detailed Rubric V3'!$O$92</f>
        <v>0</v>
      </c>
      <c r="DB57"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57" s="280"/>
      <c r="DD57" s="280" cm="1">
        <f t="array" ref="DD57">_xlfn.IFS(Table9[[#This Row],[Environment compliance (30%)]]="", 0, Table9[[#This Row],[Environment compliance (30%)]]="Yes", 4, TRUE, 0)</f>
        <v>0</v>
      </c>
      <c r="DE57" s="280">
        <f>Table9[[#This Row],[Environment compliance Score]]*'Detailed Rubric V3'!$C$104</f>
        <v>0</v>
      </c>
      <c r="DF57" s="280" t="s">
        <v>419</v>
      </c>
      <c r="DG57" s="280" cm="1">
        <f t="array" ref="DG57">_xlfn.IFS(Table9[[#This Row],[Flood Risk Index (30%)]]="", 0, Table9[[#This Row],[Flood Risk Index (30%)]]="Very Low", 4, Table9[[#This Row],[Flood Risk Index (30%)]]="Moderate &amp; Low", 2, TRUE, 0)</f>
        <v>2</v>
      </c>
      <c r="DH57" s="280">
        <f>Table9[[#This Row],[Flood Risk Index Score]]*'Detailed Rubric V3'!$F$104</f>
        <v>0.6</v>
      </c>
      <c r="DI57" s="280" t="s">
        <v>419</v>
      </c>
      <c r="DJ57" s="280" cm="1">
        <f t="array" ref="DJ57">_xlfn.IFS(Table9[[#This Row],[Earth Quake Risk Index (10%)]]="", 0, Table9[[#This Row],[Earth Quake Risk Index (10%)]]="Very Low", 4, Table9[[#This Row],[Earth Quake Risk Index (10%)]]="Moderate &amp; Low", 2, TRUE, 0)</f>
        <v>2</v>
      </c>
      <c r="DK57" s="280">
        <f>Table9[[#This Row],[Earth Quake Risk Index Score]]*'Detailed Rubric V3'!$I$104</f>
        <v>0.2</v>
      </c>
      <c r="DL57" s="280" t="s">
        <v>420</v>
      </c>
      <c r="DM57" s="280" cm="1">
        <f t="array" ref="DM57">_xlfn.IFS(Table9[[#This Row],[Sea Level Rise Risk Index (10%)]]="", 0, Table9[[#This Row],[Sea Level Rise Risk Index (10%)]]="Very Low", 4, Table9[[#This Row],[Sea Level Rise Risk Index (10%)]]="Moderate &amp; Low", 2, TRUE, 0)</f>
        <v>0</v>
      </c>
      <c r="DN57" s="280">
        <f>Table9[[#This Row],[Sea Level Rise  Risk Index Score]]*'Detailed Rubric V3'!$L$104</f>
        <v>0</v>
      </c>
      <c r="DO57" s="280" t="s">
        <v>420</v>
      </c>
      <c r="DP57" s="280" cm="1">
        <f t="array" ref="DP57">_xlfn.IFS(Table9[[#This Row],[Cyclone Risk Index (10%)]]="", 0, Table9[[#This Row],[Cyclone Risk Index (10%)]]="Very Low", 4, Table9[[#This Row],[Cyclone Risk Index (10%)]]="Moderate &amp; Low", 2, TRUE, 0)</f>
        <v>0</v>
      </c>
      <c r="DQ57" s="280">
        <f>Table9[[#This Row],[Cyclone Risk Index Score]]*'Detailed Rubric V3'!$O$104</f>
        <v>0</v>
      </c>
      <c r="DR57" s="280" t="s">
        <v>419</v>
      </c>
      <c r="DS57" s="280" cm="1">
        <f t="array" ref="DS57">_xlfn.IFS(Table9[[#This Row],[Storm Surge Risk Index (10%)]]="", 0, Table9[[#This Row],[Storm Surge Risk Index (10%)]]="Very Low", 4, Table9[[#This Row],[Storm Surge Risk Index (10%)]]="Moderate &amp; Low", 2, TRUE, 0)</f>
        <v>2</v>
      </c>
      <c r="DT57" s="280">
        <f>Table9[[#This Row],[Storm Surge Risk Index Score]]*'Detailed Rubric V3'!$R$104</f>
        <v>0.2</v>
      </c>
      <c r="DU57"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57" s="309">
        <f>SUM(Table9[[#This Row],[2.1. Connectivity/ Logistics (10% weightage)]],Table9[[#This Row],[2.2. Utility (12% weightage)]],Table9[[#This Row],[2.3. Agglomeration effects (10% weightage)]],Table9[[#This Row],[2.4. Regional Policy (4% weightage)]],Table9[[#This Row],[2.5. Social (8% weightage)]],Table9[[#This Row],[2.6. Environment (6% weightage)]])</f>
        <v>0.06</v>
      </c>
      <c r="DW57" s="280">
        <f>_xlfn.RANK.EQ(Table9[[#This Row],[Level 2 Score]],$DV$3:$DV$103)</f>
        <v>88</v>
      </c>
      <c r="DX57" s="302">
        <f>Table9[[#This Row],[Level 1 Score]]+Table9[[#This Row],[Level 2 Score]]</f>
        <v>0.78</v>
      </c>
      <c r="DY57" s="294">
        <f>_xlfn.RANK.EQ(Table9[[#This Row],[Total Score]],$DX$3:$DX$103)</f>
        <v>55</v>
      </c>
      <c r="DZ57" s="237" t="str">
        <f>IF(Table9[[#This Row],[Count of Blanks]]&lt;=2, "Yes", "No")</f>
        <v>No</v>
      </c>
      <c r="EA57" s="237">
        <f>COUNTBLANK(Table9[[#This Row],[Name]:[Total Score Rank]])</f>
        <v>23</v>
      </c>
      <c r="EB57" s="237"/>
    </row>
    <row r="58" spans="2:132" ht="27" x14ac:dyDescent="0.25">
      <c r="B58" s="220">
        <v>20</v>
      </c>
      <c r="C58" s="221" t="s">
        <v>151</v>
      </c>
      <c r="D58" s="220" t="s">
        <v>94</v>
      </c>
      <c r="E58" s="220" t="s">
        <v>152</v>
      </c>
      <c r="F58" s="220" t="s">
        <v>153</v>
      </c>
      <c r="G58" s="220" t="s">
        <v>70</v>
      </c>
      <c r="H58" s="525" t="s">
        <v>430</v>
      </c>
      <c r="I58" s="70" t="s">
        <v>445</v>
      </c>
      <c r="J58" s="227" t="s">
        <v>412</v>
      </c>
      <c r="K58" s="220">
        <f>IFERROR(VLOOKUP(Table9[[#This Row],[Land Availability (Grade)​
(50%)]],'Detailed Rubric V3'!$B$8:$C$11,2), 0)</f>
        <v>4</v>
      </c>
      <c r="L58" s="220">
        <f>IFERROR(Table9[[#This Row],[Land Availability (Grade)​ Score]]*'Detailed Rubric V3'!$C$6, "")</f>
        <v>2</v>
      </c>
      <c r="M58" s="222">
        <v>511.83</v>
      </c>
      <c r="N58" s="222" cm="1">
        <f t="array" ref="N58">_xlfn.IFS(Table9[[#This Row],[Land Size (Acres)
(15%)]]&lt;100,0,Table9[[#This Row],[Land Size (Acres)
(15%)]]&gt;500,4,TRUE,2)</f>
        <v>4</v>
      </c>
      <c r="O58" s="222">
        <f>Table9[[#This Row],[Land Size (Acres) Score]]*'Detailed Rubric V3'!$G$6</f>
        <v>0.6</v>
      </c>
      <c r="P58" s="526"/>
      <c r="Q58" s="526">
        <f>IFERROR(Table9[[#This Row],[Site Filling Cost (Mn BDT)]]/Table9[[#This Row],[Land Size (Acres)
(15%)]],"")</f>
        <v>0</v>
      </c>
      <c r="R58" s="526" cm="1">
        <f t="array" ref="R58">IF(Table9[[#This Row],[Name]]="Sitakundo Economic Zone", 4, _xlfn.IFS(Table9[[#This Row],[Site Filling Cost (Mn BDT)]]="",0,Table9[[#This Row],[Land Suitability
(Cost of Land Filling in Million BDT per acre)
(25%)]]&gt;5,0,Table9[[#This Row],[Land Suitability
(Cost of Land Filling in Million BDT per acre)
(25%)]]&lt;2,4,TRUE,2))</f>
        <v>0</v>
      </c>
      <c r="S58" s="526">
        <f>Table9[[#This Row],[Land Suitability for Construction Score]]*'Detailed Rubric V3'!$J$6</f>
        <v>0</v>
      </c>
      <c r="T58" s="526"/>
      <c r="U58" s="526">
        <f>IFERROR(Table9[[#This Row],[Embankment/Dyke Cost (Mn BDT)]]/Table9[[#This Row],[Land Size (Acres)
(15%)]], 0)</f>
        <v>0</v>
      </c>
      <c r="V58" s="526" cm="1">
        <f t="array" ref="V58">IF(Table9[[#This Row],[Name]]="Sitakundo Economic Zone", 2, _xlfn.IFS(Table9[[#This Row],[Embankment/Dyke Cost (Mn BDT)]]="",0,Table9[[#This Row],[Cost of DRRI Infrastructure in million BDT per acre
(10%)]]&gt;5,0,Table9[[#This Row],[Cost of DRRI Infrastructure in million BDT per acre
(10%)]]&lt;2,4,TRUE,2))</f>
        <v>0</v>
      </c>
      <c r="W58" s="526">
        <f>Table9[[#This Row],[Requirement for Distaster Risk Reduction &amp; Resilience Infrastructure Score]]*'Detailed Rubric V3'!$M$6</f>
        <v>0</v>
      </c>
      <c r="X58"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0.52</v>
      </c>
      <c r="Y58" s="452" t="s">
        <v>436</v>
      </c>
      <c r="Z58" s="210">
        <f>IFERROR(VLOOKUP(Table9[[#This Row],[Zone Priority
(40%)]],'Detailed Rubric V3'!$B$18:$C$21, 2,FALSE), 0)</f>
        <v>0</v>
      </c>
      <c r="AA58" s="210">
        <f>IFERROR(Table9[[#This Row],[Zone Priority Score]]*'Detailed Rubric V3'!$C$16, 0)</f>
        <v>0</v>
      </c>
      <c r="AB58" s="237" t="s">
        <v>441</v>
      </c>
      <c r="AC58" s="237">
        <f>VLOOKUP(Table9[[#This Row],[Existing BEZA Report
(60%)]],'Detailed Rubric V3'!$E$18:$F$20,2,FALSE)</f>
        <v>0</v>
      </c>
      <c r="AD58" s="237">
        <f>Table9[[#This Row],[Existing BEZA Report Score]]*'Detailed Rubric V3'!F$16</f>
        <v>0</v>
      </c>
      <c r="AE58" s="237">
        <f>(Table9[[#This Row],[Zone Priority Weighted Score]]+Table9[[#This Row],[Existing BEZA Report Weighted Score]])*'Detailed Rubric V3'!$C$14</f>
        <v>0</v>
      </c>
      <c r="AF58" s="528">
        <v>5</v>
      </c>
      <c r="AG58" s="529" cm="1">
        <f t="array" ref="AG58">_xlfn.IFS(Table9[[#This Row],[Existing Sectors
(50%)]]&gt;10, 4,Table9[[#This Row],[Existing Sectors
(50%)]]&lt;5, 0, TRUE, 2)</f>
        <v>2</v>
      </c>
      <c r="AH58" s="529">
        <f>Table9[[#This Row],[Existing Sectors Score]]*'Detailed Rubric V3'!$C$25</f>
        <v>1</v>
      </c>
      <c r="AI58" s="529">
        <v>5</v>
      </c>
      <c r="AJ58" s="529">
        <v>0</v>
      </c>
      <c r="AK58" s="529" cm="1">
        <f t="array" ref="AK58">_xlfn.IFS(Table9[[#This Row],[Potential New Sectors
(50%)]]&gt;5, 4, Table9[[#This Row],[Potential New Sectors
(50%)]]&lt;2,0, TRUE, 2)</f>
        <v>0</v>
      </c>
      <c r="AL58" s="529">
        <f>Table9[[#This Row],[Potential New Sectors Score]]*'Detailed Rubric V3'!$F$25</f>
        <v>0</v>
      </c>
      <c r="AM58" s="232">
        <f>(Table9[[#This Row],[Existing Sectors Weighted Score]]+Table9[[#This Row],[Potential New Sectors Weighted Score]])*'Detailed Rubric V3'!$C$23</f>
        <v>0.15</v>
      </c>
      <c r="AN58" s="530">
        <f>SUM(Table9[[#This Row],[1.1. Land Details (20% weightage)]],Table9[[#This Row],[1.2. BEZA Existing plans (15% weightage)]],Table9[[#This Row],[1.3. Sector Demand (15% weightage):]])</f>
        <v>0.67</v>
      </c>
      <c r="AO58" s="531">
        <f>_xlfn.RANK.EQ(Table9[[#This Row],[Level 1 Score]],$AN$3:$AN$103)</f>
        <v>47</v>
      </c>
      <c r="AP58" s="280"/>
      <c r="AQ58" s="280" cm="1">
        <f t="array" ref="AQ58">_xlfn.IFS(Table9[[#This Row],[National Highway Connectivity (km)
(15%)]]="", 0, Table9[[#This Row],[National Highway Connectivity (km)
(15%)]]&gt;50, 0, Table9[[#This Row],[National Highway Connectivity (km)
(15%)]]&lt;=25, 4, TRUE, 2)</f>
        <v>0</v>
      </c>
      <c r="AR58" s="280">
        <f>Table9[[#This Row],[National Highway Connectivity Score]]*'Detailed Rubric V3'!$C$35</f>
        <v>0</v>
      </c>
      <c r="AS58" s="280"/>
      <c r="AT58" s="280" cm="1">
        <f t="array" ref="AT58">_xlfn.IFS(Table9[[#This Row],[Connecting Road to Highway (km)
(15%)]]="", 0, Table9[[#This Row],[Connecting Road to Highway (km)
(15%)]]="Yes", 4, TRUE, 0)</f>
        <v>0</v>
      </c>
      <c r="AU58" s="280">
        <f>Table9[[#This Row],[Connecting Road to Highway Score]]*'Detailed Rubric V3'!$F$35</f>
        <v>0</v>
      </c>
      <c r="AV58" s="280"/>
      <c r="AW58" s="280" cm="1">
        <f t="array" ref="AW58">_xlfn.IFS(Table9[[#This Row],[Seaport Connectivity (km)
(30%)]]="",0, Table9[[#This Row],[Seaport Connectivity (km)
(30%)]]&gt;400, 0,Table9[[#This Row],[Seaport Connectivity (km)
(30%)]]&lt;=200,4, TRUE, 2)</f>
        <v>0</v>
      </c>
      <c r="AX58" s="280">
        <f>Table9[[#This Row],[Seaport Connectivity Score]]*'Detailed Rubric V3'!$I$35</f>
        <v>0</v>
      </c>
      <c r="AY58" s="280"/>
      <c r="AZ58" s="280" cm="1">
        <f t="array" ref="AZ58">_xlfn.IFS(Table9[[#This Row],[Airport Connectivity (km)
(10%)]]="", 0, Table9[[#This Row],[Airport Connectivity (km)
(10%)]]&gt;200, 0, Table9[[#This Row],[Airport Connectivity (km)
(10%)]]&lt;=100,4,TRUE, 2)</f>
        <v>0</v>
      </c>
      <c r="BA58" s="280">
        <f>Table9[[#This Row],[Airport Connectivity Score]]*'Detailed Rubric V3'!$C$41</f>
        <v>0</v>
      </c>
      <c r="BB58" s="280"/>
      <c r="BC58" s="280" cm="1">
        <f t="array" ref="BC58">_xlfn.IFS(Table9[[#This Row],[Railway Station (km)
(10%)]]="", 0, Table9[[#This Row],[Railway Station (km)
(10%)]]&gt;150, 0,Table9[[#This Row],[Railway Station (km)
(10%)]]&lt;=50,4, TRUE, 2)</f>
        <v>0</v>
      </c>
      <c r="BD58" s="280">
        <f>Table9[[#This Row],[Railway Station Score]]*'Detailed Rubric V3'!$F$41</f>
        <v>0</v>
      </c>
      <c r="BE58" s="280"/>
      <c r="BF58" s="280" cm="1">
        <f t="array" ref="BF58">_xlfn.IFS(Table9[[#This Row],[Inland waterway/ Land port (km)
(20%)]]="", 0, Table9[[#This Row],[Inland waterway/ Land port (km)
(20%)]]&gt;200, 0,Table9[[#This Row],[Inland waterway/ Land port (km)
(20%)]]&lt;=50,4, TRUE, 2)</f>
        <v>0</v>
      </c>
      <c r="BG58" s="280">
        <f>Table9[[#This Row],[Inland waterway/ Land port Score]]*'Detailed Rubric V3'!$I$41</f>
        <v>0</v>
      </c>
      <c r="BH58"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58" s="280"/>
      <c r="BJ58" s="280" cm="1">
        <f t="array" ref="BJ58">_xlfn.IFS(Table9[[#This Row],[Power Station (40%)]]="",0, Table9[[#This Row],[Power Station (40%)]]&gt;100, 0,Table9[[#This Row],[Power Station (40%)]]&lt;=50,4, TRUE, 2)</f>
        <v>0</v>
      </c>
      <c r="BK58" s="280">
        <f>Table9[[#This Row],[Power Station Score]]*'Detailed Rubric V3'!$C$53</f>
        <v>0</v>
      </c>
      <c r="BL58" s="280"/>
      <c r="BM58" s="280" cm="1">
        <f t="array" ref="BM58">IF(ISNUMBER(Table9[[#This Row],[Gas Station (20%)]]), _xlfn.IFS(Table9[[#This Row],[Gas Station (20%)]]="", 0, Table9[[#This Row],[Gas Station (20%)]]&gt;100, 0,Table9[[#This Row],[Gas Station (20%)]]&lt;=50,4, TRUE, 2), 0)</f>
        <v>0</v>
      </c>
      <c r="BN58" s="280">
        <f>Table9[[#This Row],[Gas Station Score]]*'Detailed Rubric V3'!$F$53</f>
        <v>0</v>
      </c>
      <c r="BO58" s="280"/>
      <c r="BP58" s="280" cm="1">
        <f t="array" ref="BP58">IF(ISNUMBER(Table9[[#This Row],[Source of Surface Water (40%)]]), _xlfn.IFS(Table9[[#This Row],[Source of Surface Water (40%)]]="", 0, Table9[[#This Row],[Source of Surface Water (40%)]]&gt;50, 0,Table9[[#This Row],[Source of Surface Water (40%)]]&lt;=20,4, TRUE, 2), 0)</f>
        <v>0</v>
      </c>
      <c r="BQ58" s="280">
        <f>Table9[[#This Row],[Source of Surface Water Score]]*'Detailed Rubric V3'!$I$53</f>
        <v>0</v>
      </c>
      <c r="BR58" s="280">
        <f>SUM(Table9[[#This Row],[Power Station Weighted Score]],Table9[[#This Row],[Gas Station Weighted Score]],Table9[[#This Row],[Source of Surface Water Weighted Score]])*'Detailed Rubric V3'!$C$51</f>
        <v>0</v>
      </c>
      <c r="BS58" s="280"/>
      <c r="BT58" s="280" cm="1">
        <f t="array" ref="BT58">_xlfn.IFS(Table9[[#This Row],[Other BEZA EZ (20%)]]="", 0, Table9[[#This Row],[Other BEZA EZ (20%)]]="Yes", 4, TRUE, 0)</f>
        <v>0</v>
      </c>
      <c r="BU58" s="280">
        <f>Table9[[#This Row],[Other BEZA EZ Score]]*'Detailed Rubric V3'!$C$66</f>
        <v>0</v>
      </c>
      <c r="BV58" s="280"/>
      <c r="BW58" s="280" cm="1">
        <f t="array" ref="BW58">_xlfn.IFS(Table9[[#This Row],[BEPZA/ BHPTA/ BSCIC (20%)]]="", 0, Table9[[#This Row],[BEPZA/ BHPTA/ BSCIC (20%)]]="Yes", 4, TRUE, 0)</f>
        <v>0</v>
      </c>
      <c r="BX58" s="280">
        <f>Table9[[#This Row],[BEPZA/ BHPTA/ BSCIC Score]]*'Detailed Rubric V3'!$F$66</f>
        <v>0</v>
      </c>
      <c r="BY58" s="280"/>
      <c r="BZ58" s="280" cm="1">
        <f t="array" ref="BZ58">_xlfn.IFS(Table9[[#This Row],[Cluster Industries (from SMI) (20%)]]="", 0, Table9[[#This Row],[Cluster Industries (from SMI) (20%)]]&gt;100, 4, Table9[[#This Row],[Cluster Industries (from SMI) (20%)]]&lt;50, 0, TRUE, 2)</f>
        <v>0</v>
      </c>
      <c r="CA58" s="280">
        <f>Table9[[#This Row],[Cluster Industries (from SMI) Score]]*'Detailed Rubric V3'!$I$66</f>
        <v>0</v>
      </c>
      <c r="CB58" s="280"/>
      <c r="CC58" s="280" cm="1">
        <f t="array" ref="CC58">_xlfn.IFS(Table9[[#This Row],[Located on Industrial corridor (40%)]]="", 0, Table9[[#This Row],[Located on Industrial corridor (40%)]]="Yes", 4, TRUE, 0)</f>
        <v>0</v>
      </c>
      <c r="CD58" s="280">
        <f>Table9[[#This Row],[Located on Industrial corridor Score]]*'Detailed Rubric V3'!$L$66</f>
        <v>0</v>
      </c>
      <c r="CE58" s="280">
        <f>SUM(Table9[[#This Row],[Other BEZA EZ Weighted Score]],Table9[[#This Row],[BEPZA/ BHPTA/ BSCIC Weighted Score]],Table9[[#This Row],[Unorganized (from SMI) Weighted Score]],Table9[[#This Row],[Located on Industrial corridor Weighted Score]])*'Detailed Rubric V3'!$C$64</f>
        <v>0</v>
      </c>
      <c r="CF58" s="280"/>
      <c r="CG58" s="280" cm="1">
        <f t="array" ref="CG58">_xlfn.IFS(Table9[[#This Row],[Economic/ Social priority (laggered area) (100%)]]="", 0, Table9[[#This Row],[Economic/ Social priority (laggered area) (100%)]]="Yes", 4, TRUE, 0)</f>
        <v>0</v>
      </c>
      <c r="CH58" s="280">
        <f>Table9[[#This Row],[Economic/ Social priority (laggered area) Score]]*'Detailed Rubric V3'!$C$82</f>
        <v>0</v>
      </c>
      <c r="CI58" s="280"/>
      <c r="CJ58" s="280" cm="1">
        <f t="array" ref="CJ58">_xlfn.IFS(Table9[[#This Row],[Regional Tax incentive  (0%)]]="", 0, Table9[[#This Row],[Regional Tax incentive  (0%)]]="Yes", 4, TRUE, 0)</f>
        <v>0</v>
      </c>
      <c r="CK58" s="280">
        <f>Table9[[#This Row],[Regional Tax incentive Score]]*'Detailed Rubric V3'!$F$82</f>
        <v>0</v>
      </c>
      <c r="CL58" s="280">
        <f>SUM(Table9[[#This Row],[Economic/ Social priority (laagered area) Weighted Score]],Table9[[#This Row],[Regional Tax incentive  Weighted Score]])*'Detailed Rubric V3'!$C$80</f>
        <v>0</v>
      </c>
      <c r="CM58" s="280"/>
      <c r="CN58" s="280" cm="1">
        <f t="array" ref="CN58">_xlfn.IFS(Table9[[#This Row],[Employable population (40%) 2013]]="", 0, Table9[[#This Row],[Employable population (40%) 2013]]&gt;200000, 4, Table9[[#This Row],[Employable population (40%) 2013]]&lt;100000,0, TRUE, 2)</f>
        <v>0</v>
      </c>
      <c r="CO58" s="280">
        <f>Table9[[#This Row],[Employable population Score]]*'Detailed Rubric V3'!$C$92</f>
        <v>0</v>
      </c>
      <c r="CP58" s="280"/>
      <c r="CQ58" s="280" cm="1">
        <f t="array" ref="CQ58">_xlfn.IFS(Table9[[#This Row],[Housing (20%)]]="", 0, Table9[[#This Row],[Housing (20%)]]&gt;50, 0, Table9[[#This Row],[Housing (20%)]]&lt;25, 4, TRUE, 2)</f>
        <v>0</v>
      </c>
      <c r="CR58" s="280">
        <f>Table9[[#This Row],[Housing Score]]*'Detailed Rubric V3'!$F$92</f>
        <v>0</v>
      </c>
      <c r="CS58" s="280"/>
      <c r="CT58" s="280" cm="1">
        <f t="array" ref="CT58">_xlfn.IFS(Table9[[#This Row],[Hotels (10%)]]="", 0, Table9[[#This Row],[Hotels (10%)]]&gt;25, 4, Table9[[#This Row],[Hotels (10%)]]&lt;5, 0, TRUE, 2)</f>
        <v>0</v>
      </c>
      <c r="CU58" s="280">
        <f>Table9[[#This Row],[Hotels Score]]*'Detailed Rubric V3'!$I$92</f>
        <v>0</v>
      </c>
      <c r="CV58" s="280"/>
      <c r="CW58" s="280" cm="1">
        <f t="array" ref="CW58">_xlfn.IFS(Table9[[#This Row],[Health (Hospital) (15%)]]="", 0, Table9[[#This Row],[Health (Hospital) (15%)]]&gt;10, 4, Table9[[#This Row],[Health (Hospital) (15%)]]&lt;5, 0, TRUE, 2)</f>
        <v>0</v>
      </c>
      <c r="CX58" s="280">
        <f>Table9[[#This Row],[Health (Hospital) Score]]*'Detailed Rubric V3'!$L$92</f>
        <v>0</v>
      </c>
      <c r="CY58" s="280"/>
      <c r="CZ58" s="280" cm="1">
        <f t="array" ref="CZ58">_xlfn.IFS(Table9[[#This Row],[University/ Technical &amp; Vocational Institutions (15%)]]="", 0, Table9[[#This Row],[University/ Technical &amp; Vocational Institutions (15%)]]&gt;3, 4, Table9[[#This Row],[University/ Technical &amp; Vocational Institutions (15%)]]&lt;1, 0, TRUE, 2)</f>
        <v>0</v>
      </c>
      <c r="DA58" s="280">
        <f>Table9[[#This Row],[University/ Technical &amp; Vocational Institutions Score]]*'Detailed Rubric V3'!$O$92</f>
        <v>0</v>
      </c>
      <c r="DB58"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58" s="280"/>
      <c r="DD58" s="280" cm="1">
        <f t="array" ref="DD58">_xlfn.IFS(Table9[[#This Row],[Environment compliance (30%)]]="", 0, Table9[[#This Row],[Environment compliance (30%)]]="Yes", 4, TRUE, 0)</f>
        <v>0</v>
      </c>
      <c r="DE58" s="280">
        <f>Table9[[#This Row],[Environment compliance Score]]*'Detailed Rubric V3'!$C$104</f>
        <v>0</v>
      </c>
      <c r="DF58" s="280" t="s">
        <v>419</v>
      </c>
      <c r="DG58" s="280" cm="1">
        <f t="array" ref="DG58">_xlfn.IFS(Table9[[#This Row],[Flood Risk Index (30%)]]="", 0, Table9[[#This Row],[Flood Risk Index (30%)]]="Very Low", 4, Table9[[#This Row],[Flood Risk Index (30%)]]="Moderate &amp; Low", 2, TRUE, 0)</f>
        <v>2</v>
      </c>
      <c r="DH58" s="280">
        <f>Table9[[#This Row],[Flood Risk Index Score]]*'Detailed Rubric V3'!$F$104</f>
        <v>0.6</v>
      </c>
      <c r="DI58" s="280" t="s">
        <v>419</v>
      </c>
      <c r="DJ58" s="280" cm="1">
        <f t="array" ref="DJ58">_xlfn.IFS(Table9[[#This Row],[Earth Quake Risk Index (10%)]]="", 0, Table9[[#This Row],[Earth Quake Risk Index (10%)]]="Very Low", 4, Table9[[#This Row],[Earth Quake Risk Index (10%)]]="Moderate &amp; Low", 2, TRUE, 0)</f>
        <v>2</v>
      </c>
      <c r="DK58" s="280">
        <f>Table9[[#This Row],[Earth Quake Risk Index Score]]*'Detailed Rubric V3'!$I$104</f>
        <v>0.2</v>
      </c>
      <c r="DL58" s="280" t="s">
        <v>428</v>
      </c>
      <c r="DM58" s="280" cm="1">
        <f t="array" ref="DM58">_xlfn.IFS(Table9[[#This Row],[Sea Level Rise Risk Index (10%)]]="", 0, Table9[[#This Row],[Sea Level Rise Risk Index (10%)]]="Very Low", 4, Table9[[#This Row],[Sea Level Rise Risk Index (10%)]]="Moderate &amp; Low", 2, TRUE, 0)</f>
        <v>4</v>
      </c>
      <c r="DN58" s="280">
        <f>Table9[[#This Row],[Sea Level Rise  Risk Index Score]]*'Detailed Rubric V3'!$L$104</f>
        <v>0.4</v>
      </c>
      <c r="DO58" s="280" t="s">
        <v>419</v>
      </c>
      <c r="DP58" s="280" cm="1">
        <f t="array" ref="DP58">_xlfn.IFS(Table9[[#This Row],[Cyclone Risk Index (10%)]]="", 0, Table9[[#This Row],[Cyclone Risk Index (10%)]]="Very Low", 4, Table9[[#This Row],[Cyclone Risk Index (10%)]]="Moderate &amp; Low", 2, TRUE, 0)</f>
        <v>2</v>
      </c>
      <c r="DQ58" s="280">
        <f>Table9[[#This Row],[Cyclone Risk Index Score]]*'Detailed Rubric V3'!$O$104</f>
        <v>0.2</v>
      </c>
      <c r="DR58" s="280" t="s">
        <v>428</v>
      </c>
      <c r="DS58" s="280" cm="1">
        <f t="array" ref="DS58">_xlfn.IFS(Table9[[#This Row],[Storm Surge Risk Index (10%)]]="", 0, Table9[[#This Row],[Storm Surge Risk Index (10%)]]="Very Low", 4, Table9[[#This Row],[Storm Surge Risk Index (10%)]]="Moderate &amp; Low", 2, TRUE, 0)</f>
        <v>4</v>
      </c>
      <c r="DT58" s="280">
        <f>Table9[[#This Row],[Storm Surge Risk Index Score]]*'Detailed Rubric V3'!$R$104</f>
        <v>0.4</v>
      </c>
      <c r="DU58"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58" s="309">
        <f>SUM(Table9[[#This Row],[2.1. Connectivity/ Logistics (10% weightage)]],Table9[[#This Row],[2.2. Utility (12% weightage)]],Table9[[#This Row],[2.3. Agglomeration effects (10% weightage)]],Table9[[#This Row],[2.4. Regional Policy (4% weightage)]],Table9[[#This Row],[2.5. Social (8% weightage)]],Table9[[#This Row],[2.6. Environment (6% weightage)]])</f>
        <v>0.10800000000000001</v>
      </c>
      <c r="DW58" s="280">
        <f>_xlfn.RANK.EQ(Table9[[#This Row],[Level 2 Score]],$DV$3:$DV$103)</f>
        <v>64</v>
      </c>
      <c r="DX58" s="302">
        <f>Table9[[#This Row],[Level 1 Score]]+Table9[[#This Row],[Level 2 Score]]</f>
        <v>0.77800000000000002</v>
      </c>
      <c r="DY58" s="294">
        <f>_xlfn.RANK.EQ(Table9[[#This Row],[Total Score]],$DX$3:$DX$103)</f>
        <v>56</v>
      </c>
      <c r="DZ58" s="237" t="str">
        <f>IF(Table9[[#This Row],[Count of Blanks]]&lt;=2, "Yes", "No")</f>
        <v>No</v>
      </c>
      <c r="EA58" s="237">
        <f>COUNTBLANK(Table9[[#This Row],[Name]:[Total Score Rank]])</f>
        <v>23</v>
      </c>
      <c r="EB58" s="237"/>
    </row>
    <row r="59" spans="2:132" ht="27" x14ac:dyDescent="0.25">
      <c r="B59" s="220">
        <v>39</v>
      </c>
      <c r="C59" s="221" t="s">
        <v>164</v>
      </c>
      <c r="D59" s="220" t="s">
        <v>76</v>
      </c>
      <c r="E59" s="220" t="s">
        <v>77</v>
      </c>
      <c r="F59" s="220" t="s">
        <v>93</v>
      </c>
      <c r="G59" s="220" t="s">
        <v>70</v>
      </c>
      <c r="H59" s="525" t="s">
        <v>430</v>
      </c>
      <c r="I59" s="70" t="s">
        <v>455</v>
      </c>
      <c r="J59" s="227" t="s">
        <v>444</v>
      </c>
      <c r="K59" s="220">
        <f>IFERROR(VLOOKUP(Table9[[#This Row],[Land Availability (Grade)​
(50%)]],'Detailed Rubric V3'!$B$8:$C$11,2), 0)</f>
        <v>0</v>
      </c>
      <c r="L59" s="220">
        <f>IFERROR(Table9[[#This Row],[Land Availability (Grade)​ Score]]*'Detailed Rubric V3'!$C$6, "")</f>
        <v>0</v>
      </c>
      <c r="M59" s="222">
        <v>1000</v>
      </c>
      <c r="N59" s="222" cm="1">
        <f t="array" ref="N59">_xlfn.IFS(Table9[[#This Row],[Land Size (Acres)
(15%)]]&lt;100,0,Table9[[#This Row],[Land Size (Acres)
(15%)]]&gt;500,4,TRUE,2)</f>
        <v>4</v>
      </c>
      <c r="O59" s="222">
        <f>Table9[[#This Row],[Land Size (Acres) Score]]*'Detailed Rubric V3'!$G$6</f>
        <v>0.6</v>
      </c>
      <c r="P59" s="526"/>
      <c r="Q59" s="526">
        <f>IFERROR(Table9[[#This Row],[Site Filling Cost (Mn BDT)]]/Table9[[#This Row],[Land Size (Acres)
(15%)]],"")</f>
        <v>0</v>
      </c>
      <c r="R59" s="526" cm="1">
        <f t="array" ref="R59">IF(Table9[[#This Row],[Name]]="Sitakundo Economic Zone", 4, _xlfn.IFS(Table9[[#This Row],[Site Filling Cost (Mn BDT)]]="",0,Table9[[#This Row],[Land Suitability
(Cost of Land Filling in Million BDT per acre)
(25%)]]&gt;5,0,Table9[[#This Row],[Land Suitability
(Cost of Land Filling in Million BDT per acre)
(25%)]]&lt;2,4,TRUE,2))</f>
        <v>0</v>
      </c>
      <c r="S59" s="526">
        <f>Table9[[#This Row],[Land Suitability for Construction Score]]*'Detailed Rubric V3'!$J$6</f>
        <v>0</v>
      </c>
      <c r="T59" s="526"/>
      <c r="U59" s="526">
        <f>IFERROR(Table9[[#This Row],[Embankment/Dyke Cost (Mn BDT)]]/Table9[[#This Row],[Land Size (Acres)
(15%)]], 0)</f>
        <v>0</v>
      </c>
      <c r="V59" s="526" cm="1">
        <f t="array" ref="V59">IF(Table9[[#This Row],[Name]]="Sitakundo Economic Zone", 2, _xlfn.IFS(Table9[[#This Row],[Embankment/Dyke Cost (Mn BDT)]]="",0,Table9[[#This Row],[Cost of DRRI Infrastructure in million BDT per acre
(10%)]]&gt;5,0,Table9[[#This Row],[Cost of DRRI Infrastructure in million BDT per acre
(10%)]]&lt;2,4,TRUE,2))</f>
        <v>0</v>
      </c>
      <c r="W59" s="526">
        <f>Table9[[#This Row],[Requirement for Distaster Risk Reduction &amp; Resilience Infrastructure Score]]*'Detailed Rubric V3'!$M$6</f>
        <v>0</v>
      </c>
      <c r="X59"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59" s="452" t="s">
        <v>436</v>
      </c>
      <c r="Z59" s="210">
        <f>IFERROR(VLOOKUP(Table9[[#This Row],[Zone Priority
(40%)]],'Detailed Rubric V3'!$B$18:$C$21, 2,FALSE), 0)</f>
        <v>0</v>
      </c>
      <c r="AA59" s="210">
        <f>IFERROR(Table9[[#This Row],[Zone Priority Score]]*'Detailed Rubric V3'!$C$16, 0)</f>
        <v>0</v>
      </c>
      <c r="AB59" s="237" t="s">
        <v>446</v>
      </c>
      <c r="AC59" s="237">
        <f>VLOOKUP(Table9[[#This Row],[Existing BEZA Report
(60%)]],'Detailed Rubric V3'!$E$18:$F$20,2,FALSE)</f>
        <v>2</v>
      </c>
      <c r="AD59" s="237">
        <f>Table9[[#This Row],[Existing BEZA Report Score]]*'Detailed Rubric V3'!F$16</f>
        <v>2</v>
      </c>
      <c r="AE59" s="237">
        <f>(Table9[[#This Row],[Zone Priority Weighted Score]]+Table9[[#This Row],[Existing BEZA Report Weighted Score]])*'Detailed Rubric V3'!$C$14</f>
        <v>0.3</v>
      </c>
      <c r="AF59" s="528">
        <v>18</v>
      </c>
      <c r="AG59" s="529" cm="1">
        <f t="array" ref="AG59">_xlfn.IFS(Table9[[#This Row],[Existing Sectors
(50%)]]&gt;10, 4,Table9[[#This Row],[Existing Sectors
(50%)]]&lt;5, 0, TRUE, 2)</f>
        <v>4</v>
      </c>
      <c r="AH59" s="529">
        <f>Table9[[#This Row],[Existing Sectors Score]]*'Detailed Rubric V3'!$C$25</f>
        <v>2</v>
      </c>
      <c r="AI59" s="529">
        <v>18</v>
      </c>
      <c r="AJ59" s="529">
        <v>0</v>
      </c>
      <c r="AK59" s="529" cm="1">
        <f t="array" ref="AK59">_xlfn.IFS(Table9[[#This Row],[Potential New Sectors
(50%)]]&gt;5, 4, Table9[[#This Row],[Potential New Sectors
(50%)]]&lt;2,0, TRUE, 2)</f>
        <v>0</v>
      </c>
      <c r="AL59" s="529">
        <f>Table9[[#This Row],[Potential New Sectors Score]]*'Detailed Rubric V3'!$F$25</f>
        <v>0</v>
      </c>
      <c r="AM59" s="232">
        <f>(Table9[[#This Row],[Existing Sectors Weighted Score]]+Table9[[#This Row],[Potential New Sectors Weighted Score]])*'Detailed Rubric V3'!$C$23</f>
        <v>0.3</v>
      </c>
      <c r="AN59" s="530">
        <f>SUM(Table9[[#This Row],[1.1. Land Details (20% weightage)]],Table9[[#This Row],[1.2. BEZA Existing plans (15% weightage)]],Table9[[#This Row],[1.3. Sector Demand (15% weightage):]])</f>
        <v>0.72</v>
      </c>
      <c r="AO59" s="531">
        <f>_xlfn.RANK.EQ(Table9[[#This Row],[Level 1 Score]],$AN$3:$AN$103)</f>
        <v>39</v>
      </c>
      <c r="AP59" s="280"/>
      <c r="AQ59" s="280" cm="1">
        <f t="array" ref="AQ59">_xlfn.IFS(Table9[[#This Row],[National Highway Connectivity (km)
(15%)]]="", 0, Table9[[#This Row],[National Highway Connectivity (km)
(15%)]]&gt;50, 0, Table9[[#This Row],[National Highway Connectivity (km)
(15%)]]&lt;=25, 4, TRUE, 2)</f>
        <v>0</v>
      </c>
      <c r="AR59" s="280">
        <f>Table9[[#This Row],[National Highway Connectivity Score]]*'Detailed Rubric V3'!$C$35</f>
        <v>0</v>
      </c>
      <c r="AS59" s="280"/>
      <c r="AT59" s="280" cm="1">
        <f t="array" ref="AT59">_xlfn.IFS(Table9[[#This Row],[Connecting Road to Highway (km)
(15%)]]="", 0, Table9[[#This Row],[Connecting Road to Highway (km)
(15%)]]="Yes", 4, TRUE, 0)</f>
        <v>0</v>
      </c>
      <c r="AU59" s="280">
        <f>Table9[[#This Row],[Connecting Road to Highway Score]]*'Detailed Rubric V3'!$F$35</f>
        <v>0</v>
      </c>
      <c r="AV59" s="280"/>
      <c r="AW59" s="280" cm="1">
        <f t="array" ref="AW59">_xlfn.IFS(Table9[[#This Row],[Seaport Connectivity (km)
(30%)]]="",0, Table9[[#This Row],[Seaport Connectivity (km)
(30%)]]&gt;400, 0,Table9[[#This Row],[Seaport Connectivity (km)
(30%)]]&lt;=200,4, TRUE, 2)</f>
        <v>0</v>
      </c>
      <c r="AX59" s="280">
        <f>Table9[[#This Row],[Seaport Connectivity Score]]*'Detailed Rubric V3'!$I$35</f>
        <v>0</v>
      </c>
      <c r="AY59" s="280"/>
      <c r="AZ59" s="280" cm="1">
        <f t="array" ref="AZ59">_xlfn.IFS(Table9[[#This Row],[Airport Connectivity (km)
(10%)]]="", 0, Table9[[#This Row],[Airport Connectivity (km)
(10%)]]&gt;200, 0, Table9[[#This Row],[Airport Connectivity (km)
(10%)]]&lt;=100,4,TRUE, 2)</f>
        <v>0</v>
      </c>
      <c r="BA59" s="280">
        <f>Table9[[#This Row],[Airport Connectivity Score]]*'Detailed Rubric V3'!$C$41</f>
        <v>0</v>
      </c>
      <c r="BB59" s="280"/>
      <c r="BC59" s="280" cm="1">
        <f t="array" ref="BC59">_xlfn.IFS(Table9[[#This Row],[Railway Station (km)
(10%)]]="", 0, Table9[[#This Row],[Railway Station (km)
(10%)]]&gt;150, 0,Table9[[#This Row],[Railway Station (km)
(10%)]]&lt;=50,4, TRUE, 2)</f>
        <v>0</v>
      </c>
      <c r="BD59" s="280">
        <f>Table9[[#This Row],[Railway Station Score]]*'Detailed Rubric V3'!$F$41</f>
        <v>0</v>
      </c>
      <c r="BE59" s="280"/>
      <c r="BF59" s="280" cm="1">
        <f t="array" ref="BF59">_xlfn.IFS(Table9[[#This Row],[Inland waterway/ Land port (km)
(20%)]]="", 0, Table9[[#This Row],[Inland waterway/ Land port (km)
(20%)]]&gt;200, 0,Table9[[#This Row],[Inland waterway/ Land port (km)
(20%)]]&lt;=50,4, TRUE, 2)</f>
        <v>0</v>
      </c>
      <c r="BG59" s="280">
        <f>Table9[[#This Row],[Inland waterway/ Land port Score]]*'Detailed Rubric V3'!$I$41</f>
        <v>0</v>
      </c>
      <c r="BH59"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59" s="280"/>
      <c r="BJ59" s="280" cm="1">
        <f t="array" ref="BJ59">_xlfn.IFS(Table9[[#This Row],[Power Station (40%)]]="",0, Table9[[#This Row],[Power Station (40%)]]&gt;100, 0,Table9[[#This Row],[Power Station (40%)]]&lt;=50,4, TRUE, 2)</f>
        <v>0</v>
      </c>
      <c r="BK59" s="280">
        <f>Table9[[#This Row],[Power Station Score]]*'Detailed Rubric V3'!$C$53</f>
        <v>0</v>
      </c>
      <c r="BL59" s="280"/>
      <c r="BM59" s="280" cm="1">
        <f t="array" ref="BM59">IF(ISNUMBER(Table9[[#This Row],[Gas Station (20%)]]), _xlfn.IFS(Table9[[#This Row],[Gas Station (20%)]]="", 0, Table9[[#This Row],[Gas Station (20%)]]&gt;100, 0,Table9[[#This Row],[Gas Station (20%)]]&lt;=50,4, TRUE, 2), 0)</f>
        <v>0</v>
      </c>
      <c r="BN59" s="280">
        <f>Table9[[#This Row],[Gas Station Score]]*'Detailed Rubric V3'!$F$53</f>
        <v>0</v>
      </c>
      <c r="BO59" s="280"/>
      <c r="BP59" s="280" cm="1">
        <f t="array" ref="BP59">IF(ISNUMBER(Table9[[#This Row],[Source of Surface Water (40%)]]), _xlfn.IFS(Table9[[#This Row],[Source of Surface Water (40%)]]="", 0, Table9[[#This Row],[Source of Surface Water (40%)]]&gt;50, 0,Table9[[#This Row],[Source of Surface Water (40%)]]&lt;=20,4, TRUE, 2), 0)</f>
        <v>0</v>
      </c>
      <c r="BQ59" s="280">
        <f>Table9[[#This Row],[Source of Surface Water Score]]*'Detailed Rubric V3'!$I$53</f>
        <v>0</v>
      </c>
      <c r="BR59" s="280">
        <f>SUM(Table9[[#This Row],[Power Station Weighted Score]],Table9[[#This Row],[Gas Station Weighted Score]],Table9[[#This Row],[Source of Surface Water Weighted Score]])*'Detailed Rubric V3'!$C$51</f>
        <v>0</v>
      </c>
      <c r="BS59" s="280"/>
      <c r="BT59" s="280" cm="1">
        <f t="array" ref="BT59">_xlfn.IFS(Table9[[#This Row],[Other BEZA EZ (20%)]]="", 0, Table9[[#This Row],[Other BEZA EZ (20%)]]="Yes", 4, TRUE, 0)</f>
        <v>0</v>
      </c>
      <c r="BU59" s="280">
        <f>Table9[[#This Row],[Other BEZA EZ Score]]*'Detailed Rubric V3'!$C$66</f>
        <v>0</v>
      </c>
      <c r="BV59" s="280"/>
      <c r="BW59" s="280" cm="1">
        <f t="array" ref="BW59">_xlfn.IFS(Table9[[#This Row],[BEPZA/ BHPTA/ BSCIC (20%)]]="", 0, Table9[[#This Row],[BEPZA/ BHPTA/ BSCIC (20%)]]="Yes", 4, TRUE, 0)</f>
        <v>0</v>
      </c>
      <c r="BX59" s="280">
        <f>Table9[[#This Row],[BEPZA/ BHPTA/ BSCIC Score]]*'Detailed Rubric V3'!$F$66</f>
        <v>0</v>
      </c>
      <c r="BY59" s="280"/>
      <c r="BZ59" s="280" cm="1">
        <f t="array" ref="BZ59">_xlfn.IFS(Table9[[#This Row],[Cluster Industries (from SMI) (20%)]]="", 0, Table9[[#This Row],[Cluster Industries (from SMI) (20%)]]&gt;100, 4, Table9[[#This Row],[Cluster Industries (from SMI) (20%)]]&lt;50, 0, TRUE, 2)</f>
        <v>0</v>
      </c>
      <c r="CA59" s="280">
        <f>Table9[[#This Row],[Cluster Industries (from SMI) Score]]*'Detailed Rubric V3'!$I$66</f>
        <v>0</v>
      </c>
      <c r="CB59" s="280"/>
      <c r="CC59" s="280" cm="1">
        <f t="array" ref="CC59">_xlfn.IFS(Table9[[#This Row],[Located on Industrial corridor (40%)]]="", 0, Table9[[#This Row],[Located on Industrial corridor (40%)]]="Yes", 4, TRUE, 0)</f>
        <v>0</v>
      </c>
      <c r="CD59" s="280">
        <f>Table9[[#This Row],[Located on Industrial corridor Score]]*'Detailed Rubric V3'!$L$66</f>
        <v>0</v>
      </c>
      <c r="CE59" s="280">
        <f>SUM(Table9[[#This Row],[Other BEZA EZ Weighted Score]],Table9[[#This Row],[BEPZA/ BHPTA/ BSCIC Weighted Score]],Table9[[#This Row],[Unorganized (from SMI) Weighted Score]],Table9[[#This Row],[Located on Industrial corridor Weighted Score]])*'Detailed Rubric V3'!$C$64</f>
        <v>0</v>
      </c>
      <c r="CF59" s="280"/>
      <c r="CG59" s="280" cm="1">
        <f t="array" ref="CG59">_xlfn.IFS(Table9[[#This Row],[Economic/ Social priority (laggered area) (100%)]]="", 0, Table9[[#This Row],[Economic/ Social priority (laggered area) (100%)]]="Yes", 4, TRUE, 0)</f>
        <v>0</v>
      </c>
      <c r="CH59" s="280">
        <f>Table9[[#This Row],[Economic/ Social priority (laggered area) Score]]*'Detailed Rubric V3'!$C$82</f>
        <v>0</v>
      </c>
      <c r="CI59" s="280"/>
      <c r="CJ59" s="280" cm="1">
        <f t="array" ref="CJ59">_xlfn.IFS(Table9[[#This Row],[Regional Tax incentive  (0%)]]="", 0, Table9[[#This Row],[Regional Tax incentive  (0%)]]="Yes", 4, TRUE, 0)</f>
        <v>0</v>
      </c>
      <c r="CK59" s="280">
        <f>Table9[[#This Row],[Regional Tax incentive Score]]*'Detailed Rubric V3'!$F$82</f>
        <v>0</v>
      </c>
      <c r="CL59" s="280">
        <f>SUM(Table9[[#This Row],[Economic/ Social priority (laagered area) Weighted Score]],Table9[[#This Row],[Regional Tax incentive  Weighted Score]])*'Detailed Rubric V3'!$C$80</f>
        <v>0</v>
      </c>
      <c r="CM59" s="280"/>
      <c r="CN59" s="280" cm="1">
        <f t="array" ref="CN59">_xlfn.IFS(Table9[[#This Row],[Employable population (40%) 2013]]="", 0, Table9[[#This Row],[Employable population (40%) 2013]]&gt;200000, 4, Table9[[#This Row],[Employable population (40%) 2013]]&lt;100000,0, TRUE, 2)</f>
        <v>0</v>
      </c>
      <c r="CO59" s="280">
        <f>Table9[[#This Row],[Employable population Score]]*'Detailed Rubric V3'!$C$92</f>
        <v>0</v>
      </c>
      <c r="CP59" s="280"/>
      <c r="CQ59" s="280" cm="1">
        <f t="array" ref="CQ59">_xlfn.IFS(Table9[[#This Row],[Housing (20%)]]="", 0, Table9[[#This Row],[Housing (20%)]]&gt;50, 0, Table9[[#This Row],[Housing (20%)]]&lt;25, 4, TRUE, 2)</f>
        <v>0</v>
      </c>
      <c r="CR59" s="280">
        <f>Table9[[#This Row],[Housing Score]]*'Detailed Rubric V3'!$F$92</f>
        <v>0</v>
      </c>
      <c r="CS59" s="280"/>
      <c r="CT59" s="280" cm="1">
        <f t="array" ref="CT59">_xlfn.IFS(Table9[[#This Row],[Hotels (10%)]]="", 0, Table9[[#This Row],[Hotels (10%)]]&gt;25, 4, Table9[[#This Row],[Hotels (10%)]]&lt;5, 0, TRUE, 2)</f>
        <v>0</v>
      </c>
      <c r="CU59" s="280">
        <f>Table9[[#This Row],[Hotels Score]]*'Detailed Rubric V3'!$I$92</f>
        <v>0</v>
      </c>
      <c r="CV59" s="280"/>
      <c r="CW59" s="280" cm="1">
        <f t="array" ref="CW59">_xlfn.IFS(Table9[[#This Row],[Health (Hospital) (15%)]]="", 0, Table9[[#This Row],[Health (Hospital) (15%)]]&gt;10, 4, Table9[[#This Row],[Health (Hospital) (15%)]]&lt;5, 0, TRUE, 2)</f>
        <v>0</v>
      </c>
      <c r="CX59" s="280">
        <f>Table9[[#This Row],[Health (Hospital) Score]]*'Detailed Rubric V3'!$L$92</f>
        <v>0</v>
      </c>
      <c r="CY59" s="280"/>
      <c r="CZ59" s="280" cm="1">
        <f t="array" ref="CZ59">_xlfn.IFS(Table9[[#This Row],[University/ Technical &amp; Vocational Institutions (15%)]]="", 0, Table9[[#This Row],[University/ Technical &amp; Vocational Institutions (15%)]]&gt;3, 4, Table9[[#This Row],[University/ Technical &amp; Vocational Institutions (15%)]]&lt;1, 0, TRUE, 2)</f>
        <v>0</v>
      </c>
      <c r="DA59" s="280">
        <f>Table9[[#This Row],[University/ Technical &amp; Vocational Institutions Score]]*'Detailed Rubric V3'!$O$92</f>
        <v>0</v>
      </c>
      <c r="DB59"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59" s="280"/>
      <c r="DD59" s="280" cm="1">
        <f t="array" ref="DD59">_xlfn.IFS(Table9[[#This Row],[Environment compliance (30%)]]="", 0, Table9[[#This Row],[Environment compliance (30%)]]="Yes", 4, TRUE, 0)</f>
        <v>0</v>
      </c>
      <c r="DE59" s="280">
        <f>Table9[[#This Row],[Environment compliance Score]]*'Detailed Rubric V3'!$C$104</f>
        <v>0</v>
      </c>
      <c r="DF59" s="280" t="s">
        <v>421</v>
      </c>
      <c r="DG59" s="280" cm="1">
        <f t="array" ref="DG59">_xlfn.IFS(Table9[[#This Row],[Flood Risk Index (30%)]]="", 0, Table9[[#This Row],[Flood Risk Index (30%)]]="Very Low", 4, Table9[[#This Row],[Flood Risk Index (30%)]]="Moderate &amp; Low", 2, TRUE, 0)</f>
        <v>0</v>
      </c>
      <c r="DH59" s="280">
        <f>Table9[[#This Row],[Flood Risk Index Score]]*'Detailed Rubric V3'!$F$104</f>
        <v>0</v>
      </c>
      <c r="DI59" s="280" t="s">
        <v>421</v>
      </c>
      <c r="DJ59" s="280" cm="1">
        <f t="array" ref="DJ59">_xlfn.IFS(Table9[[#This Row],[Earth Quake Risk Index (10%)]]="", 0, Table9[[#This Row],[Earth Quake Risk Index (10%)]]="Very Low", 4, Table9[[#This Row],[Earth Quake Risk Index (10%)]]="Moderate &amp; Low", 2, TRUE, 0)</f>
        <v>0</v>
      </c>
      <c r="DK59" s="280">
        <f>Table9[[#This Row],[Earth Quake Risk Index Score]]*'Detailed Rubric V3'!$I$104</f>
        <v>0</v>
      </c>
      <c r="DL59" s="280" t="s">
        <v>428</v>
      </c>
      <c r="DM59" s="280" cm="1">
        <f t="array" ref="DM59">_xlfn.IFS(Table9[[#This Row],[Sea Level Rise Risk Index (10%)]]="", 0, Table9[[#This Row],[Sea Level Rise Risk Index (10%)]]="Very Low", 4, Table9[[#This Row],[Sea Level Rise Risk Index (10%)]]="Moderate &amp; Low", 2, TRUE, 0)</f>
        <v>4</v>
      </c>
      <c r="DN59" s="280">
        <f>Table9[[#This Row],[Sea Level Rise  Risk Index Score]]*'Detailed Rubric V3'!$L$104</f>
        <v>0.4</v>
      </c>
      <c r="DO59" s="280" t="s">
        <v>420</v>
      </c>
      <c r="DP59" s="280" cm="1">
        <f t="array" ref="DP59">_xlfn.IFS(Table9[[#This Row],[Cyclone Risk Index (10%)]]="", 0, Table9[[#This Row],[Cyclone Risk Index (10%)]]="Very Low", 4, Table9[[#This Row],[Cyclone Risk Index (10%)]]="Moderate &amp; Low", 2, TRUE, 0)</f>
        <v>0</v>
      </c>
      <c r="DQ59" s="280">
        <f>Table9[[#This Row],[Cyclone Risk Index Score]]*'Detailed Rubric V3'!$O$104</f>
        <v>0</v>
      </c>
      <c r="DR59" s="280" t="s">
        <v>428</v>
      </c>
      <c r="DS59" s="280" cm="1">
        <f t="array" ref="DS59">_xlfn.IFS(Table9[[#This Row],[Storm Surge Risk Index (10%)]]="", 0, Table9[[#This Row],[Storm Surge Risk Index (10%)]]="Very Low", 4, Table9[[#This Row],[Storm Surge Risk Index (10%)]]="Moderate &amp; Low", 2, TRUE, 0)</f>
        <v>4</v>
      </c>
      <c r="DT59" s="280">
        <f>Table9[[#This Row],[Storm Surge Risk Index Score]]*'Detailed Rubric V3'!$R$104</f>
        <v>0.4</v>
      </c>
      <c r="DU59"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4.8000000000000001E-2</v>
      </c>
      <c r="DV59" s="309">
        <f>SUM(Table9[[#This Row],[2.1. Connectivity/ Logistics (10% weightage)]],Table9[[#This Row],[2.2. Utility (12% weightage)]],Table9[[#This Row],[2.3. Agglomeration effects (10% weightage)]],Table9[[#This Row],[2.4. Regional Policy (4% weightage)]],Table9[[#This Row],[2.5. Social (8% weightage)]],Table9[[#This Row],[2.6. Environment (6% weightage)]])</f>
        <v>4.8000000000000001E-2</v>
      </c>
      <c r="DW59" s="280">
        <f>_xlfn.RANK.EQ(Table9[[#This Row],[Level 2 Score]],$DV$3:$DV$103)</f>
        <v>97</v>
      </c>
      <c r="DX59" s="302">
        <f>Table9[[#This Row],[Level 1 Score]]+Table9[[#This Row],[Level 2 Score]]</f>
        <v>0.76800000000000002</v>
      </c>
      <c r="DY59" s="294">
        <f>_xlfn.RANK.EQ(Table9[[#This Row],[Total Score]],$DX$3:$DX$103)</f>
        <v>57</v>
      </c>
      <c r="DZ59" s="237" t="str">
        <f>IF(Table9[[#This Row],[Count of Blanks]]&lt;=2, "Yes", "No")</f>
        <v>No</v>
      </c>
      <c r="EA59" s="237">
        <f>COUNTBLANK(Table9[[#This Row],[Name]:[Total Score Rank]])</f>
        <v>23</v>
      </c>
      <c r="EB59" s="237"/>
    </row>
    <row r="60" spans="2:132" ht="40.5" x14ac:dyDescent="0.25">
      <c r="B60" s="220">
        <v>11</v>
      </c>
      <c r="C60" s="221" t="s">
        <v>157</v>
      </c>
      <c r="D60" s="220" t="s">
        <v>68</v>
      </c>
      <c r="E60" s="220" t="s">
        <v>74</v>
      </c>
      <c r="F60" s="220" t="s">
        <v>88</v>
      </c>
      <c r="G60" s="220" t="s">
        <v>70</v>
      </c>
      <c r="H60" s="525" t="s">
        <v>430</v>
      </c>
      <c r="I60" s="70" t="s">
        <v>465</v>
      </c>
      <c r="J60" s="227" t="s">
        <v>412</v>
      </c>
      <c r="K60" s="220">
        <f>IFERROR(VLOOKUP(Table9[[#This Row],[Land Availability (Grade)​
(50%)]],'Detailed Rubric V3'!$B$8:$C$11,2), 0)</f>
        <v>4</v>
      </c>
      <c r="L60" s="220">
        <f>IFERROR(Table9[[#This Row],[Land Availability (Grade)​ Score]]*'Detailed Rubric V3'!$C$6, "")</f>
        <v>2</v>
      </c>
      <c r="M60" s="222">
        <v>8784.77</v>
      </c>
      <c r="N60" s="222" cm="1">
        <f t="array" ref="N60">_xlfn.IFS(Table9[[#This Row],[Land Size (Acres)
(15%)]]&lt;100,0,Table9[[#This Row],[Land Size (Acres)
(15%)]]&gt;500,4,TRUE,2)</f>
        <v>4</v>
      </c>
      <c r="O60" s="222">
        <f>Table9[[#This Row],[Land Size (Acres) Score]]*'Detailed Rubric V3'!$G$6</f>
        <v>0.6</v>
      </c>
      <c r="P60" s="526"/>
      <c r="Q60" s="526">
        <f>IFERROR(Table9[[#This Row],[Site Filling Cost (Mn BDT)]]/Table9[[#This Row],[Land Size (Acres)
(15%)]],"")</f>
        <v>0</v>
      </c>
      <c r="R60" s="526" cm="1">
        <f t="array" ref="R60">IF(Table9[[#This Row],[Name]]="Sitakundo Economic Zone", 4, _xlfn.IFS(Table9[[#This Row],[Site Filling Cost (Mn BDT)]]="",0,Table9[[#This Row],[Land Suitability
(Cost of Land Filling in Million BDT per acre)
(25%)]]&gt;5,0,Table9[[#This Row],[Land Suitability
(Cost of Land Filling in Million BDT per acre)
(25%)]]&lt;2,4,TRUE,2))</f>
        <v>0</v>
      </c>
      <c r="S60" s="526">
        <f>Table9[[#This Row],[Land Suitability for Construction Score]]*'Detailed Rubric V3'!$J$6</f>
        <v>0</v>
      </c>
      <c r="T60" s="526"/>
      <c r="U60" s="526">
        <f>IFERROR(Table9[[#This Row],[Embankment/Dyke Cost (Mn BDT)]]/Table9[[#This Row],[Land Size (Acres)
(15%)]], 0)</f>
        <v>0</v>
      </c>
      <c r="V60" s="526" cm="1">
        <f t="array" ref="V60">IF(Table9[[#This Row],[Name]]="Sitakundo Economic Zone", 2, _xlfn.IFS(Table9[[#This Row],[Embankment/Dyke Cost (Mn BDT)]]="",0,Table9[[#This Row],[Cost of DRRI Infrastructure in million BDT per acre
(10%)]]&gt;5,0,Table9[[#This Row],[Cost of DRRI Infrastructure in million BDT per acre
(10%)]]&lt;2,4,TRUE,2))</f>
        <v>0</v>
      </c>
      <c r="W60" s="526">
        <f>Table9[[#This Row],[Requirement for Distaster Risk Reduction &amp; Resilience Infrastructure Score]]*'Detailed Rubric V3'!$M$6</f>
        <v>0</v>
      </c>
      <c r="X60"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0.52</v>
      </c>
      <c r="Y60" s="452" t="s">
        <v>436</v>
      </c>
      <c r="Z60" s="210">
        <f>IFERROR(VLOOKUP(Table9[[#This Row],[Zone Priority
(40%)]],'Detailed Rubric V3'!$B$18:$C$21, 2,FALSE), 0)</f>
        <v>0</v>
      </c>
      <c r="AA60" s="210">
        <f>IFERROR(Table9[[#This Row],[Zone Priority Score]]*'Detailed Rubric V3'!$C$16, 0)</f>
        <v>0</v>
      </c>
      <c r="AB60" s="237" t="s">
        <v>441</v>
      </c>
      <c r="AC60" s="237">
        <f>VLOOKUP(Table9[[#This Row],[Existing BEZA Report
(60%)]],'Detailed Rubric V3'!$E$18:$F$20,2,FALSE)</f>
        <v>0</v>
      </c>
      <c r="AD60" s="237">
        <f>Table9[[#This Row],[Existing BEZA Report Score]]*'Detailed Rubric V3'!F$16</f>
        <v>0</v>
      </c>
      <c r="AE60" s="237">
        <f>(Table9[[#This Row],[Zone Priority Weighted Score]]+Table9[[#This Row],[Existing BEZA Report Weighted Score]])*'Detailed Rubric V3'!$C$14</f>
        <v>0</v>
      </c>
      <c r="AF60" s="528">
        <v>1</v>
      </c>
      <c r="AG60" s="529" cm="1">
        <f t="array" ref="AG60">_xlfn.IFS(Table9[[#This Row],[Existing Sectors
(50%)]]&gt;10, 4,Table9[[#This Row],[Existing Sectors
(50%)]]&lt;5, 0, TRUE, 2)</f>
        <v>0</v>
      </c>
      <c r="AH60" s="529">
        <f>Table9[[#This Row],[Existing Sectors Score]]*'Detailed Rubric V3'!$C$25</f>
        <v>0</v>
      </c>
      <c r="AI60" s="529">
        <v>4</v>
      </c>
      <c r="AJ60" s="529">
        <v>3</v>
      </c>
      <c r="AK60" s="529" cm="1">
        <f t="array" ref="AK60">_xlfn.IFS(Table9[[#This Row],[Potential New Sectors
(50%)]]&gt;5, 4, Table9[[#This Row],[Potential New Sectors
(50%)]]&lt;2,0, TRUE, 2)</f>
        <v>2</v>
      </c>
      <c r="AL60" s="529">
        <f>Table9[[#This Row],[Potential New Sectors Score]]*'Detailed Rubric V3'!$F$25</f>
        <v>1</v>
      </c>
      <c r="AM60" s="232">
        <f>(Table9[[#This Row],[Existing Sectors Weighted Score]]+Table9[[#This Row],[Potential New Sectors Weighted Score]])*'Detailed Rubric V3'!$C$23</f>
        <v>0.15</v>
      </c>
      <c r="AN60" s="530">
        <f>SUM(Table9[[#This Row],[1.1. Land Details (20% weightage)]],Table9[[#This Row],[1.2. BEZA Existing plans (15% weightage)]],Table9[[#This Row],[1.3. Sector Demand (15% weightage):]])</f>
        <v>0.67</v>
      </c>
      <c r="AO60" s="531">
        <f>_xlfn.RANK.EQ(Table9[[#This Row],[Level 1 Score]],$AN$3:$AN$103)</f>
        <v>47</v>
      </c>
      <c r="AP60" s="280"/>
      <c r="AQ60" s="280" cm="1">
        <f t="array" ref="AQ60">_xlfn.IFS(Table9[[#This Row],[National Highway Connectivity (km)
(15%)]]="", 0, Table9[[#This Row],[National Highway Connectivity (km)
(15%)]]&gt;50, 0, Table9[[#This Row],[National Highway Connectivity (km)
(15%)]]&lt;=25, 4, TRUE, 2)</f>
        <v>0</v>
      </c>
      <c r="AR60" s="280">
        <f>Table9[[#This Row],[National Highway Connectivity Score]]*'Detailed Rubric V3'!$C$35</f>
        <v>0</v>
      </c>
      <c r="AS60" s="280"/>
      <c r="AT60" s="280" cm="1">
        <f t="array" ref="AT60">_xlfn.IFS(Table9[[#This Row],[Connecting Road to Highway (km)
(15%)]]="", 0, Table9[[#This Row],[Connecting Road to Highway (km)
(15%)]]="Yes", 4, TRUE, 0)</f>
        <v>0</v>
      </c>
      <c r="AU60" s="280">
        <f>Table9[[#This Row],[Connecting Road to Highway Score]]*'Detailed Rubric V3'!$F$35</f>
        <v>0</v>
      </c>
      <c r="AV60" s="280"/>
      <c r="AW60" s="280" cm="1">
        <f t="array" ref="AW60">_xlfn.IFS(Table9[[#This Row],[Seaport Connectivity (km)
(30%)]]="",0, Table9[[#This Row],[Seaport Connectivity (km)
(30%)]]&gt;400, 0,Table9[[#This Row],[Seaport Connectivity (km)
(30%)]]&lt;=200,4, TRUE, 2)</f>
        <v>0</v>
      </c>
      <c r="AX60" s="280">
        <f>Table9[[#This Row],[Seaport Connectivity Score]]*'Detailed Rubric V3'!$I$35</f>
        <v>0</v>
      </c>
      <c r="AY60" s="280"/>
      <c r="AZ60" s="280" cm="1">
        <f t="array" ref="AZ60">_xlfn.IFS(Table9[[#This Row],[Airport Connectivity (km)
(10%)]]="", 0, Table9[[#This Row],[Airport Connectivity (km)
(10%)]]&gt;200, 0, Table9[[#This Row],[Airport Connectivity (km)
(10%)]]&lt;=100,4,TRUE, 2)</f>
        <v>0</v>
      </c>
      <c r="BA60" s="280">
        <f>Table9[[#This Row],[Airport Connectivity Score]]*'Detailed Rubric V3'!$C$41</f>
        <v>0</v>
      </c>
      <c r="BB60" s="280"/>
      <c r="BC60" s="280" cm="1">
        <f t="array" ref="BC60">_xlfn.IFS(Table9[[#This Row],[Railway Station (km)
(10%)]]="", 0, Table9[[#This Row],[Railway Station (km)
(10%)]]&gt;150, 0,Table9[[#This Row],[Railway Station (km)
(10%)]]&lt;=50,4, TRUE, 2)</f>
        <v>0</v>
      </c>
      <c r="BD60" s="280">
        <f>Table9[[#This Row],[Railway Station Score]]*'Detailed Rubric V3'!$F$41</f>
        <v>0</v>
      </c>
      <c r="BE60" s="280"/>
      <c r="BF60" s="280" cm="1">
        <f t="array" ref="BF60">_xlfn.IFS(Table9[[#This Row],[Inland waterway/ Land port (km)
(20%)]]="", 0, Table9[[#This Row],[Inland waterway/ Land port (km)
(20%)]]&gt;200, 0,Table9[[#This Row],[Inland waterway/ Land port (km)
(20%)]]&lt;=50,4, TRUE, 2)</f>
        <v>0</v>
      </c>
      <c r="BG60" s="280">
        <f>Table9[[#This Row],[Inland waterway/ Land port Score]]*'Detailed Rubric V3'!$I$41</f>
        <v>0</v>
      </c>
      <c r="BH60"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60" s="280"/>
      <c r="BJ60" s="280" cm="1">
        <f t="array" ref="BJ60">_xlfn.IFS(Table9[[#This Row],[Power Station (40%)]]="",0, Table9[[#This Row],[Power Station (40%)]]&gt;100, 0,Table9[[#This Row],[Power Station (40%)]]&lt;=50,4, TRUE, 2)</f>
        <v>0</v>
      </c>
      <c r="BK60" s="280">
        <f>Table9[[#This Row],[Power Station Score]]*'Detailed Rubric V3'!$C$53</f>
        <v>0</v>
      </c>
      <c r="BL60" s="280"/>
      <c r="BM60" s="280" cm="1">
        <f t="array" ref="BM60">IF(ISNUMBER(Table9[[#This Row],[Gas Station (20%)]]), _xlfn.IFS(Table9[[#This Row],[Gas Station (20%)]]="", 0, Table9[[#This Row],[Gas Station (20%)]]&gt;100, 0,Table9[[#This Row],[Gas Station (20%)]]&lt;=50,4, TRUE, 2), 0)</f>
        <v>0</v>
      </c>
      <c r="BN60" s="280">
        <f>Table9[[#This Row],[Gas Station Score]]*'Detailed Rubric V3'!$F$53</f>
        <v>0</v>
      </c>
      <c r="BO60" s="280"/>
      <c r="BP60" s="280" cm="1">
        <f t="array" ref="BP60">IF(ISNUMBER(Table9[[#This Row],[Source of Surface Water (40%)]]), _xlfn.IFS(Table9[[#This Row],[Source of Surface Water (40%)]]="", 0, Table9[[#This Row],[Source of Surface Water (40%)]]&gt;50, 0,Table9[[#This Row],[Source of Surface Water (40%)]]&lt;=20,4, TRUE, 2), 0)</f>
        <v>0</v>
      </c>
      <c r="BQ60" s="280">
        <f>Table9[[#This Row],[Source of Surface Water Score]]*'Detailed Rubric V3'!$I$53</f>
        <v>0</v>
      </c>
      <c r="BR60" s="280">
        <f>SUM(Table9[[#This Row],[Power Station Weighted Score]],Table9[[#This Row],[Gas Station Weighted Score]],Table9[[#This Row],[Source of Surface Water Weighted Score]])*'Detailed Rubric V3'!$C$51</f>
        <v>0</v>
      </c>
      <c r="BS60" s="280"/>
      <c r="BT60" s="280" cm="1">
        <f t="array" ref="BT60">_xlfn.IFS(Table9[[#This Row],[Other BEZA EZ (20%)]]="", 0, Table9[[#This Row],[Other BEZA EZ (20%)]]="Yes", 4, TRUE, 0)</f>
        <v>0</v>
      </c>
      <c r="BU60" s="280">
        <f>Table9[[#This Row],[Other BEZA EZ Score]]*'Detailed Rubric V3'!$C$66</f>
        <v>0</v>
      </c>
      <c r="BV60" s="280"/>
      <c r="BW60" s="280" cm="1">
        <f t="array" ref="BW60">_xlfn.IFS(Table9[[#This Row],[BEPZA/ BHPTA/ BSCIC (20%)]]="", 0, Table9[[#This Row],[BEPZA/ BHPTA/ BSCIC (20%)]]="Yes", 4, TRUE, 0)</f>
        <v>0</v>
      </c>
      <c r="BX60" s="280">
        <f>Table9[[#This Row],[BEPZA/ BHPTA/ BSCIC Score]]*'Detailed Rubric V3'!$F$66</f>
        <v>0</v>
      </c>
      <c r="BY60" s="280"/>
      <c r="BZ60" s="280" cm="1">
        <f t="array" ref="BZ60">_xlfn.IFS(Table9[[#This Row],[Cluster Industries (from SMI) (20%)]]="", 0, Table9[[#This Row],[Cluster Industries (from SMI) (20%)]]&gt;100, 4, Table9[[#This Row],[Cluster Industries (from SMI) (20%)]]&lt;50, 0, TRUE, 2)</f>
        <v>0</v>
      </c>
      <c r="CA60" s="280">
        <f>Table9[[#This Row],[Cluster Industries (from SMI) Score]]*'Detailed Rubric V3'!$I$66</f>
        <v>0</v>
      </c>
      <c r="CB60" s="280"/>
      <c r="CC60" s="280" cm="1">
        <f t="array" ref="CC60">_xlfn.IFS(Table9[[#This Row],[Located on Industrial corridor (40%)]]="", 0, Table9[[#This Row],[Located on Industrial corridor (40%)]]="Yes", 4, TRUE, 0)</f>
        <v>0</v>
      </c>
      <c r="CD60" s="280">
        <f>Table9[[#This Row],[Located on Industrial corridor Score]]*'Detailed Rubric V3'!$L$66</f>
        <v>0</v>
      </c>
      <c r="CE60" s="280">
        <f>SUM(Table9[[#This Row],[Other BEZA EZ Weighted Score]],Table9[[#This Row],[BEPZA/ BHPTA/ BSCIC Weighted Score]],Table9[[#This Row],[Unorganized (from SMI) Weighted Score]],Table9[[#This Row],[Located on Industrial corridor Weighted Score]])*'Detailed Rubric V3'!$C$64</f>
        <v>0</v>
      </c>
      <c r="CF60" s="280"/>
      <c r="CG60" s="280" cm="1">
        <f t="array" ref="CG60">_xlfn.IFS(Table9[[#This Row],[Economic/ Social priority (laggered area) (100%)]]="", 0, Table9[[#This Row],[Economic/ Social priority (laggered area) (100%)]]="Yes", 4, TRUE, 0)</f>
        <v>0</v>
      </c>
      <c r="CH60" s="280">
        <f>Table9[[#This Row],[Economic/ Social priority (laggered area) Score]]*'Detailed Rubric V3'!$C$82</f>
        <v>0</v>
      </c>
      <c r="CI60" s="280"/>
      <c r="CJ60" s="280" cm="1">
        <f t="array" ref="CJ60">_xlfn.IFS(Table9[[#This Row],[Regional Tax incentive  (0%)]]="", 0, Table9[[#This Row],[Regional Tax incentive  (0%)]]="Yes", 4, TRUE, 0)</f>
        <v>0</v>
      </c>
      <c r="CK60" s="280">
        <f>Table9[[#This Row],[Regional Tax incentive Score]]*'Detailed Rubric V3'!$F$82</f>
        <v>0</v>
      </c>
      <c r="CL60" s="280">
        <f>SUM(Table9[[#This Row],[Economic/ Social priority (laagered area) Weighted Score]],Table9[[#This Row],[Regional Tax incentive  Weighted Score]])*'Detailed Rubric V3'!$C$80</f>
        <v>0</v>
      </c>
      <c r="CM60" s="280"/>
      <c r="CN60" s="280" cm="1">
        <f t="array" ref="CN60">_xlfn.IFS(Table9[[#This Row],[Employable population (40%) 2013]]="", 0, Table9[[#This Row],[Employable population (40%) 2013]]&gt;200000, 4, Table9[[#This Row],[Employable population (40%) 2013]]&lt;100000,0, TRUE, 2)</f>
        <v>0</v>
      </c>
      <c r="CO60" s="280">
        <f>Table9[[#This Row],[Employable population Score]]*'Detailed Rubric V3'!$C$92</f>
        <v>0</v>
      </c>
      <c r="CP60" s="280"/>
      <c r="CQ60" s="280" cm="1">
        <f t="array" ref="CQ60">_xlfn.IFS(Table9[[#This Row],[Housing (20%)]]="", 0, Table9[[#This Row],[Housing (20%)]]&gt;50, 0, Table9[[#This Row],[Housing (20%)]]&lt;25, 4, TRUE, 2)</f>
        <v>0</v>
      </c>
      <c r="CR60" s="280">
        <f>Table9[[#This Row],[Housing Score]]*'Detailed Rubric V3'!$F$92</f>
        <v>0</v>
      </c>
      <c r="CS60" s="280"/>
      <c r="CT60" s="280" cm="1">
        <f t="array" ref="CT60">_xlfn.IFS(Table9[[#This Row],[Hotels (10%)]]="", 0, Table9[[#This Row],[Hotels (10%)]]&gt;25, 4, Table9[[#This Row],[Hotels (10%)]]&lt;5, 0, TRUE, 2)</f>
        <v>0</v>
      </c>
      <c r="CU60" s="280">
        <f>Table9[[#This Row],[Hotels Score]]*'Detailed Rubric V3'!$I$92</f>
        <v>0</v>
      </c>
      <c r="CV60" s="280"/>
      <c r="CW60" s="280" cm="1">
        <f t="array" ref="CW60">_xlfn.IFS(Table9[[#This Row],[Health (Hospital) (15%)]]="", 0, Table9[[#This Row],[Health (Hospital) (15%)]]&gt;10, 4, Table9[[#This Row],[Health (Hospital) (15%)]]&lt;5, 0, TRUE, 2)</f>
        <v>0</v>
      </c>
      <c r="CX60" s="280">
        <f>Table9[[#This Row],[Health (Hospital) Score]]*'Detailed Rubric V3'!$L$92</f>
        <v>0</v>
      </c>
      <c r="CY60" s="280"/>
      <c r="CZ60" s="280" cm="1">
        <f t="array" ref="CZ60">_xlfn.IFS(Table9[[#This Row],[University/ Technical &amp; Vocational Institutions (15%)]]="", 0, Table9[[#This Row],[University/ Technical &amp; Vocational Institutions (15%)]]&gt;3, 4, Table9[[#This Row],[University/ Technical &amp; Vocational Institutions (15%)]]&lt;1, 0, TRUE, 2)</f>
        <v>0</v>
      </c>
      <c r="DA60" s="280">
        <f>Table9[[#This Row],[University/ Technical &amp; Vocational Institutions Score]]*'Detailed Rubric V3'!$O$92</f>
        <v>0</v>
      </c>
      <c r="DB60"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60" s="280"/>
      <c r="DD60" s="280" cm="1">
        <f t="array" ref="DD60">_xlfn.IFS(Table9[[#This Row],[Environment compliance (30%)]]="", 0, Table9[[#This Row],[Environment compliance (30%)]]="Yes", 4, TRUE, 0)</f>
        <v>0</v>
      </c>
      <c r="DE60" s="280">
        <f>Table9[[#This Row],[Environment compliance Score]]*'Detailed Rubric V3'!$C$104</f>
        <v>0</v>
      </c>
      <c r="DF60" s="280" t="s">
        <v>419</v>
      </c>
      <c r="DG60" s="280" cm="1">
        <f t="array" ref="DG60">_xlfn.IFS(Table9[[#This Row],[Flood Risk Index (30%)]]="", 0, Table9[[#This Row],[Flood Risk Index (30%)]]="Very Low", 4, Table9[[#This Row],[Flood Risk Index (30%)]]="Moderate &amp; Low", 2, TRUE, 0)</f>
        <v>2</v>
      </c>
      <c r="DH60" s="280">
        <f>Table9[[#This Row],[Flood Risk Index Score]]*'Detailed Rubric V3'!$F$104</f>
        <v>0.6</v>
      </c>
      <c r="DI60" s="280" t="s">
        <v>419</v>
      </c>
      <c r="DJ60" s="280" cm="1">
        <f t="array" ref="DJ60">_xlfn.IFS(Table9[[#This Row],[Earth Quake Risk Index (10%)]]="", 0, Table9[[#This Row],[Earth Quake Risk Index (10%)]]="Very Low", 4, Table9[[#This Row],[Earth Quake Risk Index (10%)]]="Moderate &amp; Low", 2, TRUE, 0)</f>
        <v>2</v>
      </c>
      <c r="DK60" s="280">
        <f>Table9[[#This Row],[Earth Quake Risk Index Score]]*'Detailed Rubric V3'!$I$104</f>
        <v>0.2</v>
      </c>
      <c r="DL60" s="280" t="s">
        <v>419</v>
      </c>
      <c r="DM60" s="280" cm="1">
        <f t="array" ref="DM60">_xlfn.IFS(Table9[[#This Row],[Sea Level Rise Risk Index (10%)]]="", 0, Table9[[#This Row],[Sea Level Rise Risk Index (10%)]]="Very Low", 4, Table9[[#This Row],[Sea Level Rise Risk Index (10%)]]="Moderate &amp; Low", 2, TRUE, 0)</f>
        <v>2</v>
      </c>
      <c r="DN60" s="280">
        <f>Table9[[#This Row],[Sea Level Rise  Risk Index Score]]*'Detailed Rubric V3'!$L$104</f>
        <v>0.2</v>
      </c>
      <c r="DO60" s="280" t="s">
        <v>420</v>
      </c>
      <c r="DP60" s="280" cm="1">
        <f t="array" ref="DP60">_xlfn.IFS(Table9[[#This Row],[Cyclone Risk Index (10%)]]="", 0, Table9[[#This Row],[Cyclone Risk Index (10%)]]="Very Low", 4, Table9[[#This Row],[Cyclone Risk Index (10%)]]="Moderate &amp; Low", 2, TRUE, 0)</f>
        <v>0</v>
      </c>
      <c r="DQ60" s="280">
        <f>Table9[[#This Row],[Cyclone Risk Index Score]]*'Detailed Rubric V3'!$O$104</f>
        <v>0</v>
      </c>
      <c r="DR60" s="280" t="s">
        <v>419</v>
      </c>
      <c r="DS60" s="280" cm="1">
        <f t="array" ref="DS60">_xlfn.IFS(Table9[[#This Row],[Storm Surge Risk Index (10%)]]="", 0, Table9[[#This Row],[Storm Surge Risk Index (10%)]]="Very Low", 4, Table9[[#This Row],[Storm Surge Risk Index (10%)]]="Moderate &amp; Low", 2, TRUE, 0)</f>
        <v>2</v>
      </c>
      <c r="DT60" s="280">
        <f>Table9[[#This Row],[Storm Surge Risk Index Score]]*'Detailed Rubric V3'!$R$104</f>
        <v>0.2</v>
      </c>
      <c r="DU60"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7.1999999999999995E-2</v>
      </c>
      <c r="DV60" s="309">
        <f>SUM(Table9[[#This Row],[2.1. Connectivity/ Logistics (10% weightage)]],Table9[[#This Row],[2.2. Utility (12% weightage)]],Table9[[#This Row],[2.3. Agglomeration effects (10% weightage)]],Table9[[#This Row],[2.4. Regional Policy (4% weightage)]],Table9[[#This Row],[2.5. Social (8% weightage)]],Table9[[#This Row],[2.6. Environment (6% weightage)]])</f>
        <v>7.1999999999999995E-2</v>
      </c>
      <c r="DW60" s="280">
        <f>_xlfn.RANK.EQ(Table9[[#This Row],[Level 2 Score]],$DV$3:$DV$103)</f>
        <v>83</v>
      </c>
      <c r="DX60" s="302">
        <f>Table9[[#This Row],[Level 1 Score]]+Table9[[#This Row],[Level 2 Score]]</f>
        <v>0.74199999999999999</v>
      </c>
      <c r="DY60" s="294">
        <f>_xlfn.RANK.EQ(Table9[[#This Row],[Total Score]],$DX$3:$DX$103)</f>
        <v>58</v>
      </c>
      <c r="DZ60" s="237" t="str">
        <f>IF(Table9[[#This Row],[Count of Blanks]]&lt;=2, "Yes", "No")</f>
        <v>No</v>
      </c>
      <c r="EA60" s="237">
        <f>COUNTBLANK(Table9[[#This Row],[Name]:[Total Score Rank]])</f>
        <v>23</v>
      </c>
      <c r="EB60" s="237"/>
    </row>
    <row r="61" spans="2:132" ht="40.5" x14ac:dyDescent="0.25">
      <c r="B61" s="220">
        <v>32</v>
      </c>
      <c r="C61" s="221" t="s">
        <v>158</v>
      </c>
      <c r="D61" s="220" t="s">
        <v>68</v>
      </c>
      <c r="E61" s="220" t="s">
        <v>74</v>
      </c>
      <c r="F61" s="220" t="s">
        <v>88</v>
      </c>
      <c r="G61" s="220" t="s">
        <v>70</v>
      </c>
      <c r="H61" s="525" t="s">
        <v>430</v>
      </c>
      <c r="I61" s="70" t="s">
        <v>453</v>
      </c>
      <c r="J61" s="227" t="s">
        <v>412</v>
      </c>
      <c r="K61" s="220">
        <f>IFERROR(VLOOKUP(Table9[[#This Row],[Land Availability (Grade)​
(50%)]],'Detailed Rubric V3'!$B$8:$C$11,2), 0)</f>
        <v>4</v>
      </c>
      <c r="L61" s="220">
        <f>IFERROR(Table9[[#This Row],[Land Availability (Grade)​ Score]]*'Detailed Rubric V3'!$C$6, "")</f>
        <v>2</v>
      </c>
      <c r="M61" s="222">
        <v>1000</v>
      </c>
      <c r="N61" s="222" cm="1">
        <f t="array" ref="N61">_xlfn.IFS(Table9[[#This Row],[Land Size (Acres)
(15%)]]&lt;100,0,Table9[[#This Row],[Land Size (Acres)
(15%)]]&gt;500,4,TRUE,2)</f>
        <v>4</v>
      </c>
      <c r="O61" s="222">
        <f>Table9[[#This Row],[Land Size (Acres) Score]]*'Detailed Rubric V3'!$G$6</f>
        <v>0.6</v>
      </c>
      <c r="P61" s="526"/>
      <c r="Q61" s="526">
        <f>IFERROR(Table9[[#This Row],[Site Filling Cost (Mn BDT)]]/Table9[[#This Row],[Land Size (Acres)
(15%)]],"")</f>
        <v>0</v>
      </c>
      <c r="R61" s="526" cm="1">
        <f t="array" ref="R61">IF(Table9[[#This Row],[Name]]="Sitakundo Economic Zone", 4, _xlfn.IFS(Table9[[#This Row],[Site Filling Cost (Mn BDT)]]="",0,Table9[[#This Row],[Land Suitability
(Cost of Land Filling in Million BDT per acre)
(25%)]]&gt;5,0,Table9[[#This Row],[Land Suitability
(Cost of Land Filling in Million BDT per acre)
(25%)]]&lt;2,4,TRUE,2))</f>
        <v>0</v>
      </c>
      <c r="S61" s="526">
        <f>Table9[[#This Row],[Land Suitability for Construction Score]]*'Detailed Rubric V3'!$J$6</f>
        <v>0</v>
      </c>
      <c r="T61" s="526"/>
      <c r="U61" s="526">
        <f>IFERROR(Table9[[#This Row],[Embankment/Dyke Cost (Mn BDT)]]/Table9[[#This Row],[Land Size (Acres)
(15%)]], 0)</f>
        <v>0</v>
      </c>
      <c r="V61" s="526" cm="1">
        <f t="array" ref="V61">IF(Table9[[#This Row],[Name]]="Sitakundo Economic Zone", 2, _xlfn.IFS(Table9[[#This Row],[Embankment/Dyke Cost (Mn BDT)]]="",0,Table9[[#This Row],[Cost of DRRI Infrastructure in million BDT per acre
(10%)]]&gt;5,0,Table9[[#This Row],[Cost of DRRI Infrastructure in million BDT per acre
(10%)]]&lt;2,4,TRUE,2))</f>
        <v>0</v>
      </c>
      <c r="W61" s="526">
        <f>Table9[[#This Row],[Requirement for Distaster Risk Reduction &amp; Resilience Infrastructure Score]]*'Detailed Rubric V3'!$M$6</f>
        <v>0</v>
      </c>
      <c r="X61"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0.52</v>
      </c>
      <c r="Y61" s="452" t="s">
        <v>436</v>
      </c>
      <c r="Z61" s="210">
        <f>IFERROR(VLOOKUP(Table9[[#This Row],[Zone Priority
(40%)]],'Detailed Rubric V3'!$B$18:$C$21, 2,FALSE), 0)</f>
        <v>0</v>
      </c>
      <c r="AA61" s="210">
        <f>IFERROR(Table9[[#This Row],[Zone Priority Score]]*'Detailed Rubric V3'!$C$16, 0)</f>
        <v>0</v>
      </c>
      <c r="AB61" s="237" t="s">
        <v>441</v>
      </c>
      <c r="AC61" s="237">
        <f>VLOOKUP(Table9[[#This Row],[Existing BEZA Report
(60%)]],'Detailed Rubric V3'!$E$18:$F$20,2,FALSE)</f>
        <v>0</v>
      </c>
      <c r="AD61" s="237">
        <f>Table9[[#This Row],[Existing BEZA Report Score]]*'Detailed Rubric V3'!F$16</f>
        <v>0</v>
      </c>
      <c r="AE61" s="237">
        <f>(Table9[[#This Row],[Zone Priority Weighted Score]]+Table9[[#This Row],[Existing BEZA Report Weighted Score]])*'Detailed Rubric V3'!$C$14</f>
        <v>0</v>
      </c>
      <c r="AF61" s="528">
        <v>1</v>
      </c>
      <c r="AG61" s="529" cm="1">
        <f t="array" ref="AG61">_xlfn.IFS(Table9[[#This Row],[Existing Sectors
(50%)]]&gt;10, 4,Table9[[#This Row],[Existing Sectors
(50%)]]&lt;5, 0, TRUE, 2)</f>
        <v>0</v>
      </c>
      <c r="AH61" s="529">
        <f>Table9[[#This Row],[Existing Sectors Score]]*'Detailed Rubric V3'!$C$25</f>
        <v>0</v>
      </c>
      <c r="AI61" s="529">
        <v>4</v>
      </c>
      <c r="AJ61" s="529">
        <v>3</v>
      </c>
      <c r="AK61" s="529" cm="1">
        <f t="array" ref="AK61">_xlfn.IFS(Table9[[#This Row],[Potential New Sectors
(50%)]]&gt;5, 4, Table9[[#This Row],[Potential New Sectors
(50%)]]&lt;2,0, TRUE, 2)</f>
        <v>2</v>
      </c>
      <c r="AL61" s="529">
        <f>Table9[[#This Row],[Potential New Sectors Score]]*'Detailed Rubric V3'!$F$25</f>
        <v>1</v>
      </c>
      <c r="AM61" s="232">
        <f>(Table9[[#This Row],[Existing Sectors Weighted Score]]+Table9[[#This Row],[Potential New Sectors Weighted Score]])*'Detailed Rubric V3'!$C$23</f>
        <v>0.15</v>
      </c>
      <c r="AN61" s="530">
        <f>SUM(Table9[[#This Row],[1.1. Land Details (20% weightage)]],Table9[[#This Row],[1.2. BEZA Existing plans (15% weightage)]],Table9[[#This Row],[1.3. Sector Demand (15% weightage):]])</f>
        <v>0.67</v>
      </c>
      <c r="AO61" s="531">
        <f>_xlfn.RANK.EQ(Table9[[#This Row],[Level 1 Score]],$AN$3:$AN$103)</f>
        <v>47</v>
      </c>
      <c r="AP61" s="280"/>
      <c r="AQ61" s="280" cm="1">
        <f t="array" ref="AQ61">_xlfn.IFS(Table9[[#This Row],[National Highway Connectivity (km)
(15%)]]="", 0, Table9[[#This Row],[National Highway Connectivity (km)
(15%)]]&gt;50, 0, Table9[[#This Row],[National Highway Connectivity (km)
(15%)]]&lt;=25, 4, TRUE, 2)</f>
        <v>0</v>
      </c>
      <c r="AR61" s="280">
        <f>Table9[[#This Row],[National Highway Connectivity Score]]*'Detailed Rubric V3'!$C$35</f>
        <v>0</v>
      </c>
      <c r="AS61" s="280"/>
      <c r="AT61" s="280" cm="1">
        <f t="array" ref="AT61">_xlfn.IFS(Table9[[#This Row],[Connecting Road to Highway (km)
(15%)]]="", 0, Table9[[#This Row],[Connecting Road to Highway (km)
(15%)]]="Yes", 4, TRUE, 0)</f>
        <v>0</v>
      </c>
      <c r="AU61" s="280">
        <f>Table9[[#This Row],[Connecting Road to Highway Score]]*'Detailed Rubric V3'!$F$35</f>
        <v>0</v>
      </c>
      <c r="AV61" s="280"/>
      <c r="AW61" s="280" cm="1">
        <f t="array" ref="AW61">_xlfn.IFS(Table9[[#This Row],[Seaport Connectivity (km)
(30%)]]="",0, Table9[[#This Row],[Seaport Connectivity (km)
(30%)]]&gt;400, 0,Table9[[#This Row],[Seaport Connectivity (km)
(30%)]]&lt;=200,4, TRUE, 2)</f>
        <v>0</v>
      </c>
      <c r="AX61" s="280">
        <f>Table9[[#This Row],[Seaport Connectivity Score]]*'Detailed Rubric V3'!$I$35</f>
        <v>0</v>
      </c>
      <c r="AY61" s="280"/>
      <c r="AZ61" s="280" cm="1">
        <f t="array" ref="AZ61">_xlfn.IFS(Table9[[#This Row],[Airport Connectivity (km)
(10%)]]="", 0, Table9[[#This Row],[Airport Connectivity (km)
(10%)]]&gt;200, 0, Table9[[#This Row],[Airport Connectivity (km)
(10%)]]&lt;=100,4,TRUE, 2)</f>
        <v>0</v>
      </c>
      <c r="BA61" s="280">
        <f>Table9[[#This Row],[Airport Connectivity Score]]*'Detailed Rubric V3'!$C$41</f>
        <v>0</v>
      </c>
      <c r="BB61" s="280"/>
      <c r="BC61" s="280" cm="1">
        <f t="array" ref="BC61">_xlfn.IFS(Table9[[#This Row],[Railway Station (km)
(10%)]]="", 0, Table9[[#This Row],[Railway Station (km)
(10%)]]&gt;150, 0,Table9[[#This Row],[Railway Station (km)
(10%)]]&lt;=50,4, TRUE, 2)</f>
        <v>0</v>
      </c>
      <c r="BD61" s="280">
        <f>Table9[[#This Row],[Railway Station Score]]*'Detailed Rubric V3'!$F$41</f>
        <v>0</v>
      </c>
      <c r="BE61" s="280"/>
      <c r="BF61" s="280" cm="1">
        <f t="array" ref="BF61">_xlfn.IFS(Table9[[#This Row],[Inland waterway/ Land port (km)
(20%)]]="", 0, Table9[[#This Row],[Inland waterway/ Land port (km)
(20%)]]&gt;200, 0,Table9[[#This Row],[Inland waterway/ Land port (km)
(20%)]]&lt;=50,4, TRUE, 2)</f>
        <v>0</v>
      </c>
      <c r="BG61" s="280">
        <f>Table9[[#This Row],[Inland waterway/ Land port Score]]*'Detailed Rubric V3'!$I$41</f>
        <v>0</v>
      </c>
      <c r="BH61"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61" s="280"/>
      <c r="BJ61" s="280" cm="1">
        <f t="array" ref="BJ61">_xlfn.IFS(Table9[[#This Row],[Power Station (40%)]]="",0, Table9[[#This Row],[Power Station (40%)]]&gt;100, 0,Table9[[#This Row],[Power Station (40%)]]&lt;=50,4, TRUE, 2)</f>
        <v>0</v>
      </c>
      <c r="BK61" s="280">
        <f>Table9[[#This Row],[Power Station Score]]*'Detailed Rubric V3'!$C$53</f>
        <v>0</v>
      </c>
      <c r="BL61" s="280"/>
      <c r="BM61" s="280" cm="1">
        <f t="array" ref="BM61">IF(ISNUMBER(Table9[[#This Row],[Gas Station (20%)]]), _xlfn.IFS(Table9[[#This Row],[Gas Station (20%)]]="", 0, Table9[[#This Row],[Gas Station (20%)]]&gt;100, 0,Table9[[#This Row],[Gas Station (20%)]]&lt;=50,4, TRUE, 2), 0)</f>
        <v>0</v>
      </c>
      <c r="BN61" s="280">
        <f>Table9[[#This Row],[Gas Station Score]]*'Detailed Rubric V3'!$F$53</f>
        <v>0</v>
      </c>
      <c r="BO61" s="280"/>
      <c r="BP61" s="280" cm="1">
        <f t="array" ref="BP61">IF(ISNUMBER(Table9[[#This Row],[Source of Surface Water (40%)]]), _xlfn.IFS(Table9[[#This Row],[Source of Surface Water (40%)]]="", 0, Table9[[#This Row],[Source of Surface Water (40%)]]&gt;50, 0,Table9[[#This Row],[Source of Surface Water (40%)]]&lt;=20,4, TRUE, 2), 0)</f>
        <v>0</v>
      </c>
      <c r="BQ61" s="280">
        <f>Table9[[#This Row],[Source of Surface Water Score]]*'Detailed Rubric V3'!$I$53</f>
        <v>0</v>
      </c>
      <c r="BR61" s="280">
        <f>SUM(Table9[[#This Row],[Power Station Weighted Score]],Table9[[#This Row],[Gas Station Weighted Score]],Table9[[#This Row],[Source of Surface Water Weighted Score]])*'Detailed Rubric V3'!$C$51</f>
        <v>0</v>
      </c>
      <c r="BS61" s="280"/>
      <c r="BT61" s="280" cm="1">
        <f t="array" ref="BT61">_xlfn.IFS(Table9[[#This Row],[Other BEZA EZ (20%)]]="", 0, Table9[[#This Row],[Other BEZA EZ (20%)]]="Yes", 4, TRUE, 0)</f>
        <v>0</v>
      </c>
      <c r="BU61" s="280">
        <f>Table9[[#This Row],[Other BEZA EZ Score]]*'Detailed Rubric V3'!$C$66</f>
        <v>0</v>
      </c>
      <c r="BV61" s="280"/>
      <c r="BW61" s="280" cm="1">
        <f t="array" ref="BW61">_xlfn.IFS(Table9[[#This Row],[BEPZA/ BHPTA/ BSCIC (20%)]]="", 0, Table9[[#This Row],[BEPZA/ BHPTA/ BSCIC (20%)]]="Yes", 4, TRUE, 0)</f>
        <v>0</v>
      </c>
      <c r="BX61" s="280">
        <f>Table9[[#This Row],[BEPZA/ BHPTA/ BSCIC Score]]*'Detailed Rubric V3'!$F$66</f>
        <v>0</v>
      </c>
      <c r="BY61" s="280"/>
      <c r="BZ61" s="280" cm="1">
        <f t="array" ref="BZ61">_xlfn.IFS(Table9[[#This Row],[Cluster Industries (from SMI) (20%)]]="", 0, Table9[[#This Row],[Cluster Industries (from SMI) (20%)]]&gt;100, 4, Table9[[#This Row],[Cluster Industries (from SMI) (20%)]]&lt;50, 0, TRUE, 2)</f>
        <v>0</v>
      </c>
      <c r="CA61" s="280">
        <f>Table9[[#This Row],[Cluster Industries (from SMI) Score]]*'Detailed Rubric V3'!$I$66</f>
        <v>0</v>
      </c>
      <c r="CB61" s="280"/>
      <c r="CC61" s="280" cm="1">
        <f t="array" ref="CC61">_xlfn.IFS(Table9[[#This Row],[Located on Industrial corridor (40%)]]="", 0, Table9[[#This Row],[Located on Industrial corridor (40%)]]="Yes", 4, TRUE, 0)</f>
        <v>0</v>
      </c>
      <c r="CD61" s="280">
        <f>Table9[[#This Row],[Located on Industrial corridor Score]]*'Detailed Rubric V3'!$L$66</f>
        <v>0</v>
      </c>
      <c r="CE61" s="280">
        <f>SUM(Table9[[#This Row],[Other BEZA EZ Weighted Score]],Table9[[#This Row],[BEPZA/ BHPTA/ BSCIC Weighted Score]],Table9[[#This Row],[Unorganized (from SMI) Weighted Score]],Table9[[#This Row],[Located on Industrial corridor Weighted Score]])*'Detailed Rubric V3'!$C$64</f>
        <v>0</v>
      </c>
      <c r="CF61" s="280"/>
      <c r="CG61" s="280" cm="1">
        <f t="array" ref="CG61">_xlfn.IFS(Table9[[#This Row],[Economic/ Social priority (laggered area) (100%)]]="", 0, Table9[[#This Row],[Economic/ Social priority (laggered area) (100%)]]="Yes", 4, TRUE, 0)</f>
        <v>0</v>
      </c>
      <c r="CH61" s="280">
        <f>Table9[[#This Row],[Economic/ Social priority (laggered area) Score]]*'Detailed Rubric V3'!$C$82</f>
        <v>0</v>
      </c>
      <c r="CI61" s="280"/>
      <c r="CJ61" s="280" cm="1">
        <f t="array" ref="CJ61">_xlfn.IFS(Table9[[#This Row],[Regional Tax incentive  (0%)]]="", 0, Table9[[#This Row],[Regional Tax incentive  (0%)]]="Yes", 4, TRUE, 0)</f>
        <v>0</v>
      </c>
      <c r="CK61" s="280">
        <f>Table9[[#This Row],[Regional Tax incentive Score]]*'Detailed Rubric V3'!$F$82</f>
        <v>0</v>
      </c>
      <c r="CL61" s="280">
        <f>SUM(Table9[[#This Row],[Economic/ Social priority (laagered area) Weighted Score]],Table9[[#This Row],[Regional Tax incentive  Weighted Score]])*'Detailed Rubric V3'!$C$80</f>
        <v>0</v>
      </c>
      <c r="CM61" s="280"/>
      <c r="CN61" s="280" cm="1">
        <f t="array" ref="CN61">_xlfn.IFS(Table9[[#This Row],[Employable population (40%) 2013]]="", 0, Table9[[#This Row],[Employable population (40%) 2013]]&gt;200000, 4, Table9[[#This Row],[Employable population (40%) 2013]]&lt;100000,0, TRUE, 2)</f>
        <v>0</v>
      </c>
      <c r="CO61" s="280">
        <f>Table9[[#This Row],[Employable population Score]]*'Detailed Rubric V3'!$C$92</f>
        <v>0</v>
      </c>
      <c r="CP61" s="280"/>
      <c r="CQ61" s="280" cm="1">
        <f t="array" ref="CQ61">_xlfn.IFS(Table9[[#This Row],[Housing (20%)]]="", 0, Table9[[#This Row],[Housing (20%)]]&gt;50, 0, Table9[[#This Row],[Housing (20%)]]&lt;25, 4, TRUE, 2)</f>
        <v>0</v>
      </c>
      <c r="CR61" s="280">
        <f>Table9[[#This Row],[Housing Score]]*'Detailed Rubric V3'!$F$92</f>
        <v>0</v>
      </c>
      <c r="CS61" s="280"/>
      <c r="CT61" s="280" cm="1">
        <f t="array" ref="CT61">_xlfn.IFS(Table9[[#This Row],[Hotels (10%)]]="", 0, Table9[[#This Row],[Hotels (10%)]]&gt;25, 4, Table9[[#This Row],[Hotels (10%)]]&lt;5, 0, TRUE, 2)</f>
        <v>0</v>
      </c>
      <c r="CU61" s="280">
        <f>Table9[[#This Row],[Hotels Score]]*'Detailed Rubric V3'!$I$92</f>
        <v>0</v>
      </c>
      <c r="CV61" s="280"/>
      <c r="CW61" s="280" cm="1">
        <f t="array" ref="CW61">_xlfn.IFS(Table9[[#This Row],[Health (Hospital) (15%)]]="", 0, Table9[[#This Row],[Health (Hospital) (15%)]]&gt;10, 4, Table9[[#This Row],[Health (Hospital) (15%)]]&lt;5, 0, TRUE, 2)</f>
        <v>0</v>
      </c>
      <c r="CX61" s="280">
        <f>Table9[[#This Row],[Health (Hospital) Score]]*'Detailed Rubric V3'!$L$92</f>
        <v>0</v>
      </c>
      <c r="CY61" s="280"/>
      <c r="CZ61" s="280" cm="1">
        <f t="array" ref="CZ61">_xlfn.IFS(Table9[[#This Row],[University/ Technical &amp; Vocational Institutions (15%)]]="", 0, Table9[[#This Row],[University/ Technical &amp; Vocational Institutions (15%)]]&gt;3, 4, Table9[[#This Row],[University/ Technical &amp; Vocational Institutions (15%)]]&lt;1, 0, TRUE, 2)</f>
        <v>0</v>
      </c>
      <c r="DA61" s="280">
        <f>Table9[[#This Row],[University/ Technical &amp; Vocational Institutions Score]]*'Detailed Rubric V3'!$O$92</f>
        <v>0</v>
      </c>
      <c r="DB61"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61" s="280"/>
      <c r="DD61" s="280" cm="1">
        <f t="array" ref="DD61">_xlfn.IFS(Table9[[#This Row],[Environment compliance (30%)]]="", 0, Table9[[#This Row],[Environment compliance (30%)]]="Yes", 4, TRUE, 0)</f>
        <v>0</v>
      </c>
      <c r="DE61" s="280">
        <f>Table9[[#This Row],[Environment compliance Score]]*'Detailed Rubric V3'!$C$104</f>
        <v>0</v>
      </c>
      <c r="DF61" s="280" t="s">
        <v>419</v>
      </c>
      <c r="DG61" s="280" cm="1">
        <f t="array" ref="DG61">_xlfn.IFS(Table9[[#This Row],[Flood Risk Index (30%)]]="", 0, Table9[[#This Row],[Flood Risk Index (30%)]]="Very Low", 4, Table9[[#This Row],[Flood Risk Index (30%)]]="Moderate &amp; Low", 2, TRUE, 0)</f>
        <v>2</v>
      </c>
      <c r="DH61" s="280">
        <f>Table9[[#This Row],[Flood Risk Index Score]]*'Detailed Rubric V3'!$F$104</f>
        <v>0.6</v>
      </c>
      <c r="DI61" s="280" t="s">
        <v>419</v>
      </c>
      <c r="DJ61" s="280" cm="1">
        <f t="array" ref="DJ61">_xlfn.IFS(Table9[[#This Row],[Earth Quake Risk Index (10%)]]="", 0, Table9[[#This Row],[Earth Quake Risk Index (10%)]]="Very Low", 4, Table9[[#This Row],[Earth Quake Risk Index (10%)]]="Moderate &amp; Low", 2, TRUE, 0)</f>
        <v>2</v>
      </c>
      <c r="DK61" s="280">
        <f>Table9[[#This Row],[Earth Quake Risk Index Score]]*'Detailed Rubric V3'!$I$104</f>
        <v>0.2</v>
      </c>
      <c r="DL61" s="280" t="s">
        <v>419</v>
      </c>
      <c r="DM61" s="280" cm="1">
        <f t="array" ref="DM61">_xlfn.IFS(Table9[[#This Row],[Sea Level Rise Risk Index (10%)]]="", 0, Table9[[#This Row],[Sea Level Rise Risk Index (10%)]]="Very Low", 4, Table9[[#This Row],[Sea Level Rise Risk Index (10%)]]="Moderate &amp; Low", 2, TRUE, 0)</f>
        <v>2</v>
      </c>
      <c r="DN61" s="280">
        <f>Table9[[#This Row],[Sea Level Rise  Risk Index Score]]*'Detailed Rubric V3'!$L$104</f>
        <v>0.2</v>
      </c>
      <c r="DO61" s="280" t="s">
        <v>420</v>
      </c>
      <c r="DP61" s="280" cm="1">
        <f t="array" ref="DP61">_xlfn.IFS(Table9[[#This Row],[Cyclone Risk Index (10%)]]="", 0, Table9[[#This Row],[Cyclone Risk Index (10%)]]="Very Low", 4, Table9[[#This Row],[Cyclone Risk Index (10%)]]="Moderate &amp; Low", 2, TRUE, 0)</f>
        <v>0</v>
      </c>
      <c r="DQ61" s="280">
        <f>Table9[[#This Row],[Cyclone Risk Index Score]]*'Detailed Rubric V3'!$O$104</f>
        <v>0</v>
      </c>
      <c r="DR61" s="280" t="s">
        <v>419</v>
      </c>
      <c r="DS61" s="280" cm="1">
        <f t="array" ref="DS61">_xlfn.IFS(Table9[[#This Row],[Storm Surge Risk Index (10%)]]="", 0, Table9[[#This Row],[Storm Surge Risk Index (10%)]]="Very Low", 4, Table9[[#This Row],[Storm Surge Risk Index (10%)]]="Moderate &amp; Low", 2, TRUE, 0)</f>
        <v>2</v>
      </c>
      <c r="DT61" s="280">
        <f>Table9[[#This Row],[Storm Surge Risk Index Score]]*'Detailed Rubric V3'!$R$104</f>
        <v>0.2</v>
      </c>
      <c r="DU61"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7.1999999999999995E-2</v>
      </c>
      <c r="DV61" s="309">
        <f>SUM(Table9[[#This Row],[2.1. Connectivity/ Logistics (10% weightage)]],Table9[[#This Row],[2.2. Utility (12% weightage)]],Table9[[#This Row],[2.3. Agglomeration effects (10% weightage)]],Table9[[#This Row],[2.4. Regional Policy (4% weightage)]],Table9[[#This Row],[2.5. Social (8% weightage)]],Table9[[#This Row],[2.6. Environment (6% weightage)]])</f>
        <v>7.1999999999999995E-2</v>
      </c>
      <c r="DW61" s="280">
        <f>_xlfn.RANK.EQ(Table9[[#This Row],[Level 2 Score]],$DV$3:$DV$103)</f>
        <v>83</v>
      </c>
      <c r="DX61" s="302">
        <f>Table9[[#This Row],[Level 1 Score]]+Table9[[#This Row],[Level 2 Score]]</f>
        <v>0.74199999999999999</v>
      </c>
      <c r="DY61" s="294">
        <f>_xlfn.RANK.EQ(Table9[[#This Row],[Total Score]],$DX$3:$DX$103)</f>
        <v>58</v>
      </c>
      <c r="DZ61" s="237" t="str">
        <f>IF(Table9[[#This Row],[Count of Blanks]]&lt;=2, "Yes", "No")</f>
        <v>No</v>
      </c>
      <c r="EA61" s="237">
        <f>COUNTBLANK(Table9[[#This Row],[Name]:[Total Score Rank]])</f>
        <v>23</v>
      </c>
      <c r="EB61" s="237"/>
    </row>
    <row r="62" spans="2:132" ht="27" x14ac:dyDescent="0.25">
      <c r="B62" s="220">
        <v>35</v>
      </c>
      <c r="C62" s="221" t="s">
        <v>167</v>
      </c>
      <c r="D62" s="220" t="s">
        <v>104</v>
      </c>
      <c r="E62" s="220" t="s">
        <v>104</v>
      </c>
      <c r="F62" s="220" t="s">
        <v>168</v>
      </c>
      <c r="G62" s="220" t="s">
        <v>70</v>
      </c>
      <c r="H62" s="525" t="s">
        <v>431</v>
      </c>
      <c r="I62" s="70" t="s">
        <v>457</v>
      </c>
      <c r="J62" s="227" t="s">
        <v>444</v>
      </c>
      <c r="K62" s="220">
        <f>IFERROR(VLOOKUP(Table9[[#This Row],[Land Availability (Grade)​
(50%)]],'Detailed Rubric V3'!$B$8:$C$11,2), 0)</f>
        <v>0</v>
      </c>
      <c r="L62" s="220">
        <f>IFERROR(Table9[[#This Row],[Land Availability (Grade)​ Score]]*'Detailed Rubric V3'!$C$6, "")</f>
        <v>0</v>
      </c>
      <c r="M62" s="222">
        <v>494</v>
      </c>
      <c r="N62" s="222" cm="1">
        <f t="array" ref="N62">_xlfn.IFS(Table9[[#This Row],[Land Size (Acres)
(15%)]]&lt;100,0,Table9[[#This Row],[Land Size (Acres)
(15%)]]&gt;500,4,TRUE,2)</f>
        <v>2</v>
      </c>
      <c r="O62" s="222">
        <f>Table9[[#This Row],[Land Size (Acres) Score]]*'Detailed Rubric V3'!$G$6</f>
        <v>0.3</v>
      </c>
      <c r="P62" s="526"/>
      <c r="Q62" s="526">
        <f>IFERROR(Table9[[#This Row],[Site Filling Cost (Mn BDT)]]/Table9[[#This Row],[Land Size (Acres)
(15%)]],"")</f>
        <v>0</v>
      </c>
      <c r="R62" s="526" cm="1">
        <f t="array" ref="R62">IF(Table9[[#This Row],[Name]]="Sitakundo Economic Zone", 4, _xlfn.IFS(Table9[[#This Row],[Site Filling Cost (Mn BDT)]]="",0,Table9[[#This Row],[Land Suitability
(Cost of Land Filling in Million BDT per acre)
(25%)]]&gt;5,0,Table9[[#This Row],[Land Suitability
(Cost of Land Filling in Million BDT per acre)
(25%)]]&lt;2,4,TRUE,2))</f>
        <v>0</v>
      </c>
      <c r="S62" s="526">
        <f>Table9[[#This Row],[Land Suitability for Construction Score]]*'Detailed Rubric V3'!$J$6</f>
        <v>0</v>
      </c>
      <c r="T62" s="526"/>
      <c r="U62" s="526">
        <f>IFERROR(Table9[[#This Row],[Embankment/Dyke Cost (Mn BDT)]]/Table9[[#This Row],[Land Size (Acres)
(15%)]], 0)</f>
        <v>0</v>
      </c>
      <c r="V62" s="526" cm="1">
        <f t="array" ref="V62">IF(Table9[[#This Row],[Name]]="Sitakundo Economic Zone", 2, _xlfn.IFS(Table9[[#This Row],[Embankment/Dyke Cost (Mn BDT)]]="",0,Table9[[#This Row],[Cost of DRRI Infrastructure in million BDT per acre
(10%)]]&gt;5,0,Table9[[#This Row],[Cost of DRRI Infrastructure in million BDT per acre
(10%)]]&lt;2,4,TRUE,2))</f>
        <v>0</v>
      </c>
      <c r="W62" s="526">
        <f>Table9[[#This Row],[Requirement for Distaster Risk Reduction &amp; Resilience Infrastructure Score]]*'Detailed Rubric V3'!$M$6</f>
        <v>0</v>
      </c>
      <c r="X62"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62" s="452" t="s">
        <v>436</v>
      </c>
      <c r="Z62" s="210">
        <f>IFERROR(VLOOKUP(Table9[[#This Row],[Zone Priority
(40%)]],'Detailed Rubric V3'!$B$18:$C$21, 2,FALSE), 0)</f>
        <v>0</v>
      </c>
      <c r="AA62" s="210">
        <f>IFERROR(Table9[[#This Row],[Zone Priority Score]]*'Detailed Rubric V3'!$C$16, 0)</f>
        <v>0</v>
      </c>
      <c r="AB62" s="237" t="s">
        <v>446</v>
      </c>
      <c r="AC62" s="237">
        <f>VLOOKUP(Table9[[#This Row],[Existing BEZA Report
(60%)]],'Detailed Rubric V3'!$E$18:$F$20,2,FALSE)</f>
        <v>2</v>
      </c>
      <c r="AD62" s="237">
        <f>Table9[[#This Row],[Existing BEZA Report Score]]*'Detailed Rubric V3'!F$16</f>
        <v>2</v>
      </c>
      <c r="AE62" s="237">
        <f>(Table9[[#This Row],[Zone Priority Weighted Score]]+Table9[[#This Row],[Existing BEZA Report Weighted Score]])*'Detailed Rubric V3'!$C$14</f>
        <v>0.3</v>
      </c>
      <c r="AF62" s="528">
        <v>5</v>
      </c>
      <c r="AG62" s="529" cm="1">
        <f t="array" ref="AG62">_xlfn.IFS(Table9[[#This Row],[Existing Sectors
(50%)]]&gt;10, 4,Table9[[#This Row],[Existing Sectors
(50%)]]&lt;5, 0, TRUE, 2)</f>
        <v>2</v>
      </c>
      <c r="AH62" s="529">
        <f>Table9[[#This Row],[Existing Sectors Score]]*'Detailed Rubric V3'!$C$25</f>
        <v>1</v>
      </c>
      <c r="AI62" s="529">
        <v>8</v>
      </c>
      <c r="AJ62" s="529">
        <v>3</v>
      </c>
      <c r="AK62" s="529" cm="1">
        <f t="array" ref="AK62">_xlfn.IFS(Table9[[#This Row],[Potential New Sectors
(50%)]]&gt;5, 4, Table9[[#This Row],[Potential New Sectors
(50%)]]&lt;2,0, TRUE, 2)</f>
        <v>2</v>
      </c>
      <c r="AL62" s="529">
        <f>Table9[[#This Row],[Potential New Sectors Score]]*'Detailed Rubric V3'!$F$25</f>
        <v>1</v>
      </c>
      <c r="AM62" s="232">
        <f>(Table9[[#This Row],[Existing Sectors Weighted Score]]+Table9[[#This Row],[Potential New Sectors Weighted Score]])*'Detailed Rubric V3'!$C$23</f>
        <v>0.3</v>
      </c>
      <c r="AN62" s="530">
        <f>SUM(Table9[[#This Row],[1.1. Land Details (20% weightage)]],Table9[[#This Row],[1.2. BEZA Existing plans (15% weightage)]],Table9[[#This Row],[1.3. Sector Demand (15% weightage):]])</f>
        <v>0.65999999999999992</v>
      </c>
      <c r="AO62" s="531">
        <f>_xlfn.RANK.EQ(Table9[[#This Row],[Level 1 Score]],$AN$3:$AN$103)</f>
        <v>50</v>
      </c>
      <c r="AP62" s="280"/>
      <c r="AQ62" s="280" cm="1">
        <f t="array" ref="AQ62">_xlfn.IFS(Table9[[#This Row],[National Highway Connectivity (km)
(15%)]]="", 0, Table9[[#This Row],[National Highway Connectivity (km)
(15%)]]&gt;50, 0, Table9[[#This Row],[National Highway Connectivity (km)
(15%)]]&lt;=25, 4, TRUE, 2)</f>
        <v>0</v>
      </c>
      <c r="AR62" s="280">
        <f>Table9[[#This Row],[National Highway Connectivity Score]]*'Detailed Rubric V3'!$C$35</f>
        <v>0</v>
      </c>
      <c r="AS62" s="280"/>
      <c r="AT62" s="280" cm="1">
        <f t="array" ref="AT62">_xlfn.IFS(Table9[[#This Row],[Connecting Road to Highway (km)
(15%)]]="", 0, Table9[[#This Row],[Connecting Road to Highway (km)
(15%)]]="Yes", 4, TRUE, 0)</f>
        <v>0</v>
      </c>
      <c r="AU62" s="280">
        <f>Table9[[#This Row],[Connecting Road to Highway Score]]*'Detailed Rubric V3'!$F$35</f>
        <v>0</v>
      </c>
      <c r="AV62" s="280"/>
      <c r="AW62" s="280" cm="1">
        <f t="array" ref="AW62">_xlfn.IFS(Table9[[#This Row],[Seaport Connectivity (km)
(30%)]]="",0, Table9[[#This Row],[Seaport Connectivity (km)
(30%)]]&gt;400, 0,Table9[[#This Row],[Seaport Connectivity (km)
(30%)]]&lt;=200,4, TRUE, 2)</f>
        <v>0</v>
      </c>
      <c r="AX62" s="280">
        <f>Table9[[#This Row],[Seaport Connectivity Score]]*'Detailed Rubric V3'!$I$35</f>
        <v>0</v>
      </c>
      <c r="AY62" s="280"/>
      <c r="AZ62" s="280" cm="1">
        <f t="array" ref="AZ62">_xlfn.IFS(Table9[[#This Row],[Airport Connectivity (km)
(10%)]]="", 0, Table9[[#This Row],[Airport Connectivity (km)
(10%)]]&gt;200, 0, Table9[[#This Row],[Airport Connectivity (km)
(10%)]]&lt;=100,4,TRUE, 2)</f>
        <v>0</v>
      </c>
      <c r="BA62" s="280">
        <f>Table9[[#This Row],[Airport Connectivity Score]]*'Detailed Rubric V3'!$C$41</f>
        <v>0</v>
      </c>
      <c r="BB62" s="280"/>
      <c r="BC62" s="280" cm="1">
        <f t="array" ref="BC62">_xlfn.IFS(Table9[[#This Row],[Railway Station (km)
(10%)]]="", 0, Table9[[#This Row],[Railway Station (km)
(10%)]]&gt;150, 0,Table9[[#This Row],[Railway Station (km)
(10%)]]&lt;=50,4, TRUE, 2)</f>
        <v>0</v>
      </c>
      <c r="BD62" s="280">
        <f>Table9[[#This Row],[Railway Station Score]]*'Detailed Rubric V3'!$F$41</f>
        <v>0</v>
      </c>
      <c r="BE62" s="280"/>
      <c r="BF62" s="280" cm="1">
        <f t="array" ref="BF62">_xlfn.IFS(Table9[[#This Row],[Inland waterway/ Land port (km)
(20%)]]="", 0, Table9[[#This Row],[Inland waterway/ Land port (km)
(20%)]]&gt;200, 0,Table9[[#This Row],[Inland waterway/ Land port (km)
(20%)]]&lt;=50,4, TRUE, 2)</f>
        <v>0</v>
      </c>
      <c r="BG62" s="280">
        <f>Table9[[#This Row],[Inland waterway/ Land port Score]]*'Detailed Rubric V3'!$I$41</f>
        <v>0</v>
      </c>
      <c r="BH62"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62" s="280"/>
      <c r="BJ62" s="280" cm="1">
        <f t="array" ref="BJ62">_xlfn.IFS(Table9[[#This Row],[Power Station (40%)]]="",0, Table9[[#This Row],[Power Station (40%)]]&gt;100, 0,Table9[[#This Row],[Power Station (40%)]]&lt;=50,4, TRUE, 2)</f>
        <v>0</v>
      </c>
      <c r="BK62" s="280">
        <f>Table9[[#This Row],[Power Station Score]]*'Detailed Rubric V3'!$C$53</f>
        <v>0</v>
      </c>
      <c r="BL62" s="280"/>
      <c r="BM62" s="280" cm="1">
        <f t="array" ref="BM62">IF(ISNUMBER(Table9[[#This Row],[Gas Station (20%)]]), _xlfn.IFS(Table9[[#This Row],[Gas Station (20%)]]="", 0, Table9[[#This Row],[Gas Station (20%)]]&gt;100, 0,Table9[[#This Row],[Gas Station (20%)]]&lt;=50,4, TRUE, 2), 0)</f>
        <v>0</v>
      </c>
      <c r="BN62" s="280">
        <f>Table9[[#This Row],[Gas Station Score]]*'Detailed Rubric V3'!$F$53</f>
        <v>0</v>
      </c>
      <c r="BO62" s="280"/>
      <c r="BP62" s="280" cm="1">
        <f t="array" ref="BP62">IF(ISNUMBER(Table9[[#This Row],[Source of Surface Water (40%)]]), _xlfn.IFS(Table9[[#This Row],[Source of Surface Water (40%)]]="", 0, Table9[[#This Row],[Source of Surface Water (40%)]]&gt;50, 0,Table9[[#This Row],[Source of Surface Water (40%)]]&lt;=20,4, TRUE, 2), 0)</f>
        <v>0</v>
      </c>
      <c r="BQ62" s="280">
        <f>Table9[[#This Row],[Source of Surface Water Score]]*'Detailed Rubric V3'!$I$53</f>
        <v>0</v>
      </c>
      <c r="BR62" s="280">
        <f>SUM(Table9[[#This Row],[Power Station Weighted Score]],Table9[[#This Row],[Gas Station Weighted Score]],Table9[[#This Row],[Source of Surface Water Weighted Score]])*'Detailed Rubric V3'!$C$51</f>
        <v>0</v>
      </c>
      <c r="BS62" s="280"/>
      <c r="BT62" s="280" cm="1">
        <f t="array" ref="BT62">_xlfn.IFS(Table9[[#This Row],[Other BEZA EZ (20%)]]="", 0, Table9[[#This Row],[Other BEZA EZ (20%)]]="Yes", 4, TRUE, 0)</f>
        <v>0</v>
      </c>
      <c r="BU62" s="280">
        <f>Table9[[#This Row],[Other BEZA EZ Score]]*'Detailed Rubric V3'!$C$66</f>
        <v>0</v>
      </c>
      <c r="BV62" s="280"/>
      <c r="BW62" s="280" cm="1">
        <f t="array" ref="BW62">_xlfn.IFS(Table9[[#This Row],[BEPZA/ BHPTA/ BSCIC (20%)]]="", 0, Table9[[#This Row],[BEPZA/ BHPTA/ BSCIC (20%)]]="Yes", 4, TRUE, 0)</f>
        <v>0</v>
      </c>
      <c r="BX62" s="280">
        <f>Table9[[#This Row],[BEPZA/ BHPTA/ BSCIC Score]]*'Detailed Rubric V3'!$F$66</f>
        <v>0</v>
      </c>
      <c r="BY62" s="280"/>
      <c r="BZ62" s="280" cm="1">
        <f t="array" ref="BZ62">_xlfn.IFS(Table9[[#This Row],[Cluster Industries (from SMI) (20%)]]="", 0, Table9[[#This Row],[Cluster Industries (from SMI) (20%)]]&gt;100, 4, Table9[[#This Row],[Cluster Industries (from SMI) (20%)]]&lt;50, 0, TRUE, 2)</f>
        <v>0</v>
      </c>
      <c r="CA62" s="280">
        <f>Table9[[#This Row],[Cluster Industries (from SMI) Score]]*'Detailed Rubric V3'!$I$66</f>
        <v>0</v>
      </c>
      <c r="CB62" s="280"/>
      <c r="CC62" s="280" cm="1">
        <f t="array" ref="CC62">_xlfn.IFS(Table9[[#This Row],[Located on Industrial corridor (40%)]]="", 0, Table9[[#This Row],[Located on Industrial corridor (40%)]]="Yes", 4, TRUE, 0)</f>
        <v>0</v>
      </c>
      <c r="CD62" s="280">
        <f>Table9[[#This Row],[Located on Industrial corridor Score]]*'Detailed Rubric V3'!$L$66</f>
        <v>0</v>
      </c>
      <c r="CE62" s="280">
        <f>SUM(Table9[[#This Row],[Other BEZA EZ Weighted Score]],Table9[[#This Row],[BEPZA/ BHPTA/ BSCIC Weighted Score]],Table9[[#This Row],[Unorganized (from SMI) Weighted Score]],Table9[[#This Row],[Located on Industrial corridor Weighted Score]])*'Detailed Rubric V3'!$C$64</f>
        <v>0</v>
      </c>
      <c r="CF62" s="280"/>
      <c r="CG62" s="280" cm="1">
        <f t="array" ref="CG62">_xlfn.IFS(Table9[[#This Row],[Economic/ Social priority (laggered area) (100%)]]="", 0, Table9[[#This Row],[Economic/ Social priority (laggered area) (100%)]]="Yes", 4, TRUE, 0)</f>
        <v>0</v>
      </c>
      <c r="CH62" s="280">
        <f>Table9[[#This Row],[Economic/ Social priority (laggered area) Score]]*'Detailed Rubric V3'!$C$82</f>
        <v>0</v>
      </c>
      <c r="CI62" s="280"/>
      <c r="CJ62" s="280" cm="1">
        <f t="array" ref="CJ62">_xlfn.IFS(Table9[[#This Row],[Regional Tax incentive  (0%)]]="", 0, Table9[[#This Row],[Regional Tax incentive  (0%)]]="Yes", 4, TRUE, 0)</f>
        <v>0</v>
      </c>
      <c r="CK62" s="280">
        <f>Table9[[#This Row],[Regional Tax incentive Score]]*'Detailed Rubric V3'!$F$82</f>
        <v>0</v>
      </c>
      <c r="CL62" s="280">
        <f>SUM(Table9[[#This Row],[Economic/ Social priority (laagered area) Weighted Score]],Table9[[#This Row],[Regional Tax incentive  Weighted Score]])*'Detailed Rubric V3'!$C$80</f>
        <v>0</v>
      </c>
      <c r="CM62" s="280"/>
      <c r="CN62" s="280" cm="1">
        <f t="array" ref="CN62">_xlfn.IFS(Table9[[#This Row],[Employable population (40%) 2013]]="", 0, Table9[[#This Row],[Employable population (40%) 2013]]&gt;200000, 4, Table9[[#This Row],[Employable population (40%) 2013]]&lt;100000,0, TRUE, 2)</f>
        <v>0</v>
      </c>
      <c r="CO62" s="280">
        <f>Table9[[#This Row],[Employable population Score]]*'Detailed Rubric V3'!$C$92</f>
        <v>0</v>
      </c>
      <c r="CP62" s="280"/>
      <c r="CQ62" s="280" cm="1">
        <f t="array" ref="CQ62">_xlfn.IFS(Table9[[#This Row],[Housing (20%)]]="", 0, Table9[[#This Row],[Housing (20%)]]&gt;50, 0, Table9[[#This Row],[Housing (20%)]]&lt;25, 4, TRUE, 2)</f>
        <v>0</v>
      </c>
      <c r="CR62" s="280">
        <f>Table9[[#This Row],[Housing Score]]*'Detailed Rubric V3'!$F$92</f>
        <v>0</v>
      </c>
      <c r="CS62" s="280"/>
      <c r="CT62" s="280" cm="1">
        <f t="array" ref="CT62">_xlfn.IFS(Table9[[#This Row],[Hotels (10%)]]="", 0, Table9[[#This Row],[Hotels (10%)]]&gt;25, 4, Table9[[#This Row],[Hotels (10%)]]&lt;5, 0, TRUE, 2)</f>
        <v>0</v>
      </c>
      <c r="CU62" s="280">
        <f>Table9[[#This Row],[Hotels Score]]*'Detailed Rubric V3'!$I$92</f>
        <v>0</v>
      </c>
      <c r="CV62" s="280"/>
      <c r="CW62" s="280" cm="1">
        <f t="array" ref="CW62">_xlfn.IFS(Table9[[#This Row],[Health (Hospital) (15%)]]="", 0, Table9[[#This Row],[Health (Hospital) (15%)]]&gt;10, 4, Table9[[#This Row],[Health (Hospital) (15%)]]&lt;5, 0, TRUE, 2)</f>
        <v>0</v>
      </c>
      <c r="CX62" s="280">
        <f>Table9[[#This Row],[Health (Hospital) Score]]*'Detailed Rubric V3'!$L$92</f>
        <v>0</v>
      </c>
      <c r="CY62" s="280"/>
      <c r="CZ62" s="280" cm="1">
        <f t="array" ref="CZ62">_xlfn.IFS(Table9[[#This Row],[University/ Technical &amp; Vocational Institutions (15%)]]="", 0, Table9[[#This Row],[University/ Technical &amp; Vocational Institutions (15%)]]&gt;3, 4, Table9[[#This Row],[University/ Technical &amp; Vocational Institutions (15%)]]&lt;1, 0, TRUE, 2)</f>
        <v>0</v>
      </c>
      <c r="DA62" s="280">
        <f>Table9[[#This Row],[University/ Technical &amp; Vocational Institutions Score]]*'Detailed Rubric V3'!$O$92</f>
        <v>0</v>
      </c>
      <c r="DB62"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62" s="280"/>
      <c r="DD62" s="280" cm="1">
        <f t="array" ref="DD62">_xlfn.IFS(Table9[[#This Row],[Environment compliance (30%)]]="", 0, Table9[[#This Row],[Environment compliance (30%)]]="Yes", 4, TRUE, 0)</f>
        <v>0</v>
      </c>
      <c r="DE62" s="280">
        <f>Table9[[#This Row],[Environment compliance Score]]*'Detailed Rubric V3'!$C$104</f>
        <v>0</v>
      </c>
      <c r="DF62" s="280" t="s">
        <v>419</v>
      </c>
      <c r="DG62" s="280" cm="1">
        <f t="array" ref="DG62">_xlfn.IFS(Table9[[#This Row],[Flood Risk Index (30%)]]="", 0, Table9[[#This Row],[Flood Risk Index (30%)]]="Very Low", 4, Table9[[#This Row],[Flood Risk Index (30%)]]="Moderate &amp; Low", 2, TRUE, 0)</f>
        <v>2</v>
      </c>
      <c r="DH62" s="280">
        <f>Table9[[#This Row],[Flood Risk Index Score]]*'Detailed Rubric V3'!$F$104</f>
        <v>0.6</v>
      </c>
      <c r="DI62" s="280" t="s">
        <v>421</v>
      </c>
      <c r="DJ62" s="280" cm="1">
        <f t="array" ref="DJ62">_xlfn.IFS(Table9[[#This Row],[Earth Quake Risk Index (10%)]]="", 0, Table9[[#This Row],[Earth Quake Risk Index (10%)]]="Very Low", 4, Table9[[#This Row],[Earth Quake Risk Index (10%)]]="Moderate &amp; Low", 2, TRUE, 0)</f>
        <v>0</v>
      </c>
      <c r="DK62" s="280">
        <f>Table9[[#This Row],[Earth Quake Risk Index Score]]*'Detailed Rubric V3'!$I$104</f>
        <v>0</v>
      </c>
      <c r="DL62" s="280"/>
      <c r="DM62" s="280" cm="1">
        <f t="array" ref="DM62">_xlfn.IFS(Table9[[#This Row],[Sea Level Rise Risk Index (10%)]]="", 0, Table9[[#This Row],[Sea Level Rise Risk Index (10%)]]="Very Low", 4, Table9[[#This Row],[Sea Level Rise Risk Index (10%)]]="Moderate &amp; Low", 2, TRUE, 0)</f>
        <v>0</v>
      </c>
      <c r="DN62" s="280">
        <f>Table9[[#This Row],[Sea Level Rise  Risk Index Score]]*'Detailed Rubric V3'!$L$104</f>
        <v>0</v>
      </c>
      <c r="DO62" s="280" t="s">
        <v>419</v>
      </c>
      <c r="DP62" s="280" cm="1">
        <f t="array" ref="DP62">_xlfn.IFS(Table9[[#This Row],[Cyclone Risk Index (10%)]]="", 0, Table9[[#This Row],[Cyclone Risk Index (10%)]]="Very Low", 4, Table9[[#This Row],[Cyclone Risk Index (10%)]]="Moderate &amp; Low", 2, TRUE, 0)</f>
        <v>2</v>
      </c>
      <c r="DQ62" s="280">
        <f>Table9[[#This Row],[Cyclone Risk Index Score]]*'Detailed Rubric V3'!$O$104</f>
        <v>0.2</v>
      </c>
      <c r="DR62" s="280" t="s">
        <v>428</v>
      </c>
      <c r="DS62" s="280" cm="1">
        <f t="array" ref="DS62">_xlfn.IFS(Table9[[#This Row],[Storm Surge Risk Index (10%)]]="", 0, Table9[[#This Row],[Storm Surge Risk Index (10%)]]="Very Low", 4, Table9[[#This Row],[Storm Surge Risk Index (10%)]]="Moderate &amp; Low", 2, TRUE, 0)</f>
        <v>4</v>
      </c>
      <c r="DT62" s="280">
        <f>Table9[[#This Row],[Storm Surge Risk Index Score]]*'Detailed Rubric V3'!$R$104</f>
        <v>0.4</v>
      </c>
      <c r="DU62"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7.2000000000000008E-2</v>
      </c>
      <c r="DV62" s="309">
        <f>SUM(Table9[[#This Row],[2.1. Connectivity/ Logistics (10% weightage)]],Table9[[#This Row],[2.2. Utility (12% weightage)]],Table9[[#This Row],[2.3. Agglomeration effects (10% weightage)]],Table9[[#This Row],[2.4. Regional Policy (4% weightage)]],Table9[[#This Row],[2.5. Social (8% weightage)]],Table9[[#This Row],[2.6. Environment (6% weightage)]])</f>
        <v>7.2000000000000008E-2</v>
      </c>
      <c r="DW62" s="280">
        <f>_xlfn.RANK.EQ(Table9[[#This Row],[Level 2 Score]],$DV$3:$DV$103)</f>
        <v>78</v>
      </c>
      <c r="DX62" s="302">
        <f>Table9[[#This Row],[Level 1 Score]]+Table9[[#This Row],[Level 2 Score]]</f>
        <v>0.73199999999999998</v>
      </c>
      <c r="DY62" s="294">
        <f>_xlfn.RANK.EQ(Table9[[#This Row],[Total Score]],$DX$3:$DX$103)</f>
        <v>60</v>
      </c>
      <c r="DZ62" s="237" t="str">
        <f>IF(Table9[[#This Row],[Count of Blanks]]&lt;=2, "Yes", "No")</f>
        <v>No</v>
      </c>
      <c r="EA62" s="237">
        <f>COUNTBLANK(Table9[[#This Row],[Name]:[Total Score Rank]])</f>
        <v>24</v>
      </c>
      <c r="EB62" s="237"/>
    </row>
    <row r="63" spans="2:132" ht="27" x14ac:dyDescent="0.25">
      <c r="B63" s="220">
        <v>77</v>
      </c>
      <c r="C63" s="221" t="s">
        <v>143</v>
      </c>
      <c r="D63" s="220" t="s">
        <v>76</v>
      </c>
      <c r="E63" s="220" t="s">
        <v>76</v>
      </c>
      <c r="F63" s="220" t="s">
        <v>144</v>
      </c>
      <c r="G63" s="220" t="s">
        <v>92</v>
      </c>
      <c r="H63" s="525" t="s">
        <v>410</v>
      </c>
      <c r="I63" s="70" t="s">
        <v>462</v>
      </c>
      <c r="J63" s="227" t="s">
        <v>435</v>
      </c>
      <c r="K63" s="220">
        <f>IFERROR(VLOOKUP(Table9[[#This Row],[Land Availability (Grade)​
(50%)]],'Detailed Rubric V3'!$B$8:$C$11,2), 0)</f>
        <v>2</v>
      </c>
      <c r="L63" s="220">
        <f>IFERROR(Table9[[#This Row],[Land Availability (Grade)​ Score]]*'Detailed Rubric V3'!$C$6, "")</f>
        <v>1</v>
      </c>
      <c r="M63" s="222">
        <v>84.95</v>
      </c>
      <c r="N63" s="222" cm="1">
        <f t="array" ref="N63">_xlfn.IFS(Table9[[#This Row],[Land Size (Acres)
(15%)]]&lt;100,0,Table9[[#This Row],[Land Size (Acres)
(15%)]]&gt;500,4,TRUE,2)</f>
        <v>0</v>
      </c>
      <c r="O63" s="222">
        <f>Table9[[#This Row],[Land Size (Acres) Score]]*'Detailed Rubric V3'!$G$6</f>
        <v>0</v>
      </c>
      <c r="P63" s="526"/>
      <c r="Q63" s="526">
        <f>IFERROR(Table9[[#This Row],[Site Filling Cost (Mn BDT)]]/Table9[[#This Row],[Land Size (Acres)
(15%)]],"")</f>
        <v>0</v>
      </c>
      <c r="R63" s="526" cm="1">
        <f t="array" ref="R63">IF(Table9[[#This Row],[Name]]="Sitakundo Economic Zone", 4, _xlfn.IFS(Table9[[#This Row],[Site Filling Cost (Mn BDT)]]="",0,Table9[[#This Row],[Land Suitability
(Cost of Land Filling in Million BDT per acre)
(25%)]]&gt;5,0,Table9[[#This Row],[Land Suitability
(Cost of Land Filling in Million BDT per acre)
(25%)]]&lt;2,4,TRUE,2))</f>
        <v>0</v>
      </c>
      <c r="S63" s="526">
        <f>Table9[[#This Row],[Land Suitability for Construction Score]]*'Detailed Rubric V3'!$J$6</f>
        <v>0</v>
      </c>
      <c r="T63" s="526"/>
      <c r="U63" s="526">
        <f>IFERROR(Table9[[#This Row],[Embankment/Dyke Cost (Mn BDT)]]/Table9[[#This Row],[Land Size (Acres)
(15%)]], 0)</f>
        <v>0</v>
      </c>
      <c r="V63" s="526" cm="1">
        <f t="array" ref="V63">IF(Table9[[#This Row],[Name]]="Sitakundo Economic Zone", 2, _xlfn.IFS(Table9[[#This Row],[Embankment/Dyke Cost (Mn BDT)]]="",0,Table9[[#This Row],[Cost of DRRI Infrastructure in million BDT per acre
(10%)]]&gt;5,0,Table9[[#This Row],[Cost of DRRI Infrastructure in million BDT per acre
(10%)]]&lt;2,4,TRUE,2))</f>
        <v>0</v>
      </c>
      <c r="W63" s="526">
        <f>Table9[[#This Row],[Requirement for Distaster Risk Reduction &amp; Resilience Infrastructure Score]]*'Detailed Rubric V3'!$M$6</f>
        <v>0</v>
      </c>
      <c r="X63"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v>
      </c>
      <c r="Y63" s="227" t="s">
        <v>440</v>
      </c>
      <c r="Z63" s="210">
        <f>IFERROR(VLOOKUP(Table9[[#This Row],[Zone Priority
(40%)]],'Detailed Rubric V3'!$B$18:$C$21, 2,FALSE), 0)</f>
        <v>4</v>
      </c>
      <c r="AA63" s="210">
        <f>IFERROR(Table9[[#This Row],[Zone Priority Score]]*'Detailed Rubric V3'!$C$16, 0)</f>
        <v>0</v>
      </c>
      <c r="AB63" s="237" t="s">
        <v>441</v>
      </c>
      <c r="AC63" s="237">
        <f>VLOOKUP(Table9[[#This Row],[Existing BEZA Report
(60%)]],'Detailed Rubric V3'!$E$18:$F$20,2,FALSE)</f>
        <v>0</v>
      </c>
      <c r="AD63" s="237">
        <f>Table9[[#This Row],[Existing BEZA Report Score]]*'Detailed Rubric V3'!F$16</f>
        <v>0</v>
      </c>
      <c r="AE63" s="237">
        <f>(Table9[[#This Row],[Zone Priority Weighted Score]]+Table9[[#This Row],[Existing BEZA Report Weighted Score]])*'Detailed Rubric V3'!$C$14</f>
        <v>0</v>
      </c>
      <c r="AF63" s="528">
        <v>15</v>
      </c>
      <c r="AG63" s="529" cm="1">
        <f t="array" ref="AG63">_xlfn.IFS(Table9[[#This Row],[Existing Sectors
(50%)]]&gt;10, 4,Table9[[#This Row],[Existing Sectors
(50%)]]&lt;5, 0, TRUE, 2)</f>
        <v>4</v>
      </c>
      <c r="AH63" s="529">
        <f>Table9[[#This Row],[Existing Sectors Score]]*'Detailed Rubric V3'!$C$25</f>
        <v>2</v>
      </c>
      <c r="AI63" s="529">
        <v>15</v>
      </c>
      <c r="AJ63" s="529">
        <v>0</v>
      </c>
      <c r="AK63" s="529" cm="1">
        <f t="array" ref="AK63">_xlfn.IFS(Table9[[#This Row],[Potential New Sectors
(50%)]]&gt;5, 4, Table9[[#This Row],[Potential New Sectors
(50%)]]&lt;2,0, TRUE, 2)</f>
        <v>0</v>
      </c>
      <c r="AL63" s="529">
        <f>Table9[[#This Row],[Potential New Sectors Score]]*'Detailed Rubric V3'!$F$25</f>
        <v>0</v>
      </c>
      <c r="AM63" s="232">
        <f>(Table9[[#This Row],[Existing Sectors Weighted Score]]+Table9[[#This Row],[Potential New Sectors Weighted Score]])*'Detailed Rubric V3'!$C$23</f>
        <v>0.3</v>
      </c>
      <c r="AN63" s="530">
        <f>SUM(Table9[[#This Row],[1.1. Land Details (20% weightage)]],Table9[[#This Row],[1.2. BEZA Existing plans (15% weightage)]],Table9[[#This Row],[1.3. Sector Demand (15% weightage):]])</f>
        <v>0.5</v>
      </c>
      <c r="AO63" s="531">
        <f>_xlfn.RANK.EQ(Table9[[#This Row],[Level 1 Score]],$AN$3:$AN$103)</f>
        <v>60</v>
      </c>
      <c r="AP63" s="280"/>
      <c r="AQ63" s="280" cm="1">
        <f t="array" ref="AQ63">_xlfn.IFS(Table9[[#This Row],[National Highway Connectivity (km)
(15%)]]="", 0, Table9[[#This Row],[National Highway Connectivity (km)
(15%)]]&gt;50, 0, Table9[[#This Row],[National Highway Connectivity (km)
(15%)]]&lt;=25, 4, TRUE, 2)</f>
        <v>0</v>
      </c>
      <c r="AR63" s="280">
        <f>Table9[[#This Row],[National Highway Connectivity Score]]*'Detailed Rubric V3'!$C$35</f>
        <v>0</v>
      </c>
      <c r="AS63" s="280"/>
      <c r="AT63" s="280" cm="1">
        <f t="array" ref="AT63">_xlfn.IFS(Table9[[#This Row],[Connecting Road to Highway (km)
(15%)]]="", 0, Table9[[#This Row],[Connecting Road to Highway (km)
(15%)]]="Yes", 4, TRUE, 0)</f>
        <v>0</v>
      </c>
      <c r="AU63" s="280">
        <f>Table9[[#This Row],[Connecting Road to Highway Score]]*'Detailed Rubric V3'!$F$35</f>
        <v>0</v>
      </c>
      <c r="AV63" s="280"/>
      <c r="AW63" s="280" cm="1">
        <f t="array" ref="AW63">_xlfn.IFS(Table9[[#This Row],[Seaport Connectivity (km)
(30%)]]="",0, Table9[[#This Row],[Seaport Connectivity (km)
(30%)]]&gt;400, 0,Table9[[#This Row],[Seaport Connectivity (km)
(30%)]]&lt;=200,4, TRUE, 2)</f>
        <v>0</v>
      </c>
      <c r="AX63" s="280">
        <f>Table9[[#This Row],[Seaport Connectivity Score]]*'Detailed Rubric V3'!$I$35</f>
        <v>0</v>
      </c>
      <c r="AY63" s="280"/>
      <c r="AZ63" s="280" cm="1">
        <f t="array" ref="AZ63">_xlfn.IFS(Table9[[#This Row],[Airport Connectivity (km)
(10%)]]="", 0, Table9[[#This Row],[Airport Connectivity (km)
(10%)]]&gt;200, 0, Table9[[#This Row],[Airport Connectivity (km)
(10%)]]&lt;=100,4,TRUE, 2)</f>
        <v>0</v>
      </c>
      <c r="BA63" s="280">
        <f>Table9[[#This Row],[Airport Connectivity Score]]*'Detailed Rubric V3'!$C$41</f>
        <v>0</v>
      </c>
      <c r="BB63" s="280"/>
      <c r="BC63" s="280" cm="1">
        <f t="array" ref="BC63">_xlfn.IFS(Table9[[#This Row],[Railway Station (km)
(10%)]]="", 0, Table9[[#This Row],[Railway Station (km)
(10%)]]&gt;150, 0,Table9[[#This Row],[Railway Station (km)
(10%)]]&lt;=50,4, TRUE, 2)</f>
        <v>0</v>
      </c>
      <c r="BD63" s="280">
        <f>Table9[[#This Row],[Railway Station Score]]*'Detailed Rubric V3'!$F$41</f>
        <v>0</v>
      </c>
      <c r="BE63" s="280"/>
      <c r="BF63" s="280" cm="1">
        <f t="array" ref="BF63">_xlfn.IFS(Table9[[#This Row],[Inland waterway/ Land port (km)
(20%)]]="", 0, Table9[[#This Row],[Inland waterway/ Land port (km)
(20%)]]&gt;200, 0,Table9[[#This Row],[Inland waterway/ Land port (km)
(20%)]]&lt;=50,4, TRUE, 2)</f>
        <v>0</v>
      </c>
      <c r="BG63" s="280">
        <f>Table9[[#This Row],[Inland waterway/ Land port Score]]*'Detailed Rubric V3'!$I$41</f>
        <v>0</v>
      </c>
      <c r="BH63"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63" s="280"/>
      <c r="BJ63" s="280" cm="1">
        <f t="array" ref="BJ63">_xlfn.IFS(Table9[[#This Row],[Power Station (40%)]]="",0, Table9[[#This Row],[Power Station (40%)]]&gt;100, 0,Table9[[#This Row],[Power Station (40%)]]&lt;=50,4, TRUE, 2)</f>
        <v>0</v>
      </c>
      <c r="BK63" s="280">
        <f>Table9[[#This Row],[Power Station Score]]*'Detailed Rubric V3'!$C$53</f>
        <v>0</v>
      </c>
      <c r="BL63" s="280"/>
      <c r="BM63" s="280" cm="1">
        <f t="array" ref="BM63">IF(ISNUMBER(Table9[[#This Row],[Gas Station (20%)]]), _xlfn.IFS(Table9[[#This Row],[Gas Station (20%)]]="", 0, Table9[[#This Row],[Gas Station (20%)]]&gt;100, 0,Table9[[#This Row],[Gas Station (20%)]]&lt;=50,4, TRUE, 2), 0)</f>
        <v>0</v>
      </c>
      <c r="BN63" s="280">
        <f>Table9[[#This Row],[Gas Station Score]]*'Detailed Rubric V3'!$F$53</f>
        <v>0</v>
      </c>
      <c r="BO63" s="280"/>
      <c r="BP63" s="280" cm="1">
        <f t="array" ref="BP63">IF(ISNUMBER(Table9[[#This Row],[Source of Surface Water (40%)]]), _xlfn.IFS(Table9[[#This Row],[Source of Surface Water (40%)]]="", 0, Table9[[#This Row],[Source of Surface Water (40%)]]&gt;50, 0,Table9[[#This Row],[Source of Surface Water (40%)]]&lt;=20,4, TRUE, 2), 0)</f>
        <v>0</v>
      </c>
      <c r="BQ63" s="280">
        <f>Table9[[#This Row],[Source of Surface Water Score]]*'Detailed Rubric V3'!$I$53</f>
        <v>0</v>
      </c>
      <c r="BR63" s="280">
        <f>SUM(Table9[[#This Row],[Power Station Weighted Score]],Table9[[#This Row],[Gas Station Weighted Score]],Table9[[#This Row],[Source of Surface Water Weighted Score]])*'Detailed Rubric V3'!$C$51</f>
        <v>0</v>
      </c>
      <c r="BS63" s="280"/>
      <c r="BT63" s="280" cm="1">
        <f t="array" ref="BT63">_xlfn.IFS(Table9[[#This Row],[Other BEZA EZ (20%)]]="", 0, Table9[[#This Row],[Other BEZA EZ (20%)]]="Yes", 4, TRUE, 0)</f>
        <v>0</v>
      </c>
      <c r="BU63" s="280">
        <f>Table9[[#This Row],[Other BEZA EZ Score]]*'Detailed Rubric V3'!$C$66</f>
        <v>0</v>
      </c>
      <c r="BV63" s="280"/>
      <c r="BW63" s="280" cm="1">
        <f t="array" ref="BW63">_xlfn.IFS(Table9[[#This Row],[BEPZA/ BHPTA/ BSCIC (20%)]]="", 0, Table9[[#This Row],[BEPZA/ BHPTA/ BSCIC (20%)]]="Yes", 4, TRUE, 0)</f>
        <v>0</v>
      </c>
      <c r="BX63" s="280">
        <f>Table9[[#This Row],[BEPZA/ BHPTA/ BSCIC Score]]*'Detailed Rubric V3'!$F$66</f>
        <v>0</v>
      </c>
      <c r="BY63" s="280"/>
      <c r="BZ63" s="280" cm="1">
        <f t="array" ref="BZ63">_xlfn.IFS(Table9[[#This Row],[Cluster Industries (from SMI) (20%)]]="", 0, Table9[[#This Row],[Cluster Industries (from SMI) (20%)]]&gt;100, 4, Table9[[#This Row],[Cluster Industries (from SMI) (20%)]]&lt;50, 0, TRUE, 2)</f>
        <v>0</v>
      </c>
      <c r="CA63" s="280">
        <f>Table9[[#This Row],[Cluster Industries (from SMI) Score]]*'Detailed Rubric V3'!$I$66</f>
        <v>0</v>
      </c>
      <c r="CB63" s="280"/>
      <c r="CC63" s="280" cm="1">
        <f t="array" ref="CC63">_xlfn.IFS(Table9[[#This Row],[Located on Industrial corridor (40%)]]="", 0, Table9[[#This Row],[Located on Industrial corridor (40%)]]="Yes", 4, TRUE, 0)</f>
        <v>0</v>
      </c>
      <c r="CD63" s="280">
        <f>Table9[[#This Row],[Located on Industrial corridor Score]]*'Detailed Rubric V3'!$L$66</f>
        <v>0</v>
      </c>
      <c r="CE63" s="280">
        <f>SUM(Table9[[#This Row],[Other BEZA EZ Weighted Score]],Table9[[#This Row],[BEPZA/ BHPTA/ BSCIC Weighted Score]],Table9[[#This Row],[Unorganized (from SMI) Weighted Score]],Table9[[#This Row],[Located on Industrial corridor Weighted Score]])*'Detailed Rubric V3'!$C$64</f>
        <v>0</v>
      </c>
      <c r="CF63" s="280"/>
      <c r="CG63" s="280" cm="1">
        <f t="array" ref="CG63">_xlfn.IFS(Table9[[#This Row],[Economic/ Social priority (laggered area) (100%)]]="", 0, Table9[[#This Row],[Economic/ Social priority (laggered area) (100%)]]="Yes", 4, TRUE, 0)</f>
        <v>0</v>
      </c>
      <c r="CH63" s="280">
        <f>Table9[[#This Row],[Economic/ Social priority (laggered area) Score]]*'Detailed Rubric V3'!$C$82</f>
        <v>0</v>
      </c>
      <c r="CI63" s="280"/>
      <c r="CJ63" s="280" cm="1">
        <f t="array" ref="CJ63">_xlfn.IFS(Table9[[#This Row],[Regional Tax incentive  (0%)]]="", 0, Table9[[#This Row],[Regional Tax incentive  (0%)]]="Yes", 4, TRUE, 0)</f>
        <v>0</v>
      </c>
      <c r="CK63" s="280">
        <f>Table9[[#This Row],[Regional Tax incentive Score]]*'Detailed Rubric V3'!$F$82</f>
        <v>0</v>
      </c>
      <c r="CL63" s="280">
        <f>SUM(Table9[[#This Row],[Economic/ Social priority (laagered area) Weighted Score]],Table9[[#This Row],[Regional Tax incentive  Weighted Score]])*'Detailed Rubric V3'!$C$80</f>
        <v>0</v>
      </c>
      <c r="CM63" s="280"/>
      <c r="CN63" s="280" cm="1">
        <f t="array" ref="CN63">_xlfn.IFS(Table9[[#This Row],[Employable population (40%) 2013]]="", 0, Table9[[#This Row],[Employable population (40%) 2013]]&gt;200000, 4, Table9[[#This Row],[Employable population (40%) 2013]]&lt;100000,0, TRUE, 2)</f>
        <v>0</v>
      </c>
      <c r="CO63" s="280">
        <f>Table9[[#This Row],[Employable population Score]]*'Detailed Rubric V3'!$C$92</f>
        <v>0</v>
      </c>
      <c r="CP63" s="280"/>
      <c r="CQ63" s="280" cm="1">
        <f t="array" ref="CQ63">_xlfn.IFS(Table9[[#This Row],[Housing (20%)]]="", 0, Table9[[#This Row],[Housing (20%)]]&gt;50, 0, Table9[[#This Row],[Housing (20%)]]&lt;25, 4, TRUE, 2)</f>
        <v>0</v>
      </c>
      <c r="CR63" s="280">
        <f>Table9[[#This Row],[Housing Score]]*'Detailed Rubric V3'!$F$92</f>
        <v>0</v>
      </c>
      <c r="CS63" s="280"/>
      <c r="CT63" s="280" cm="1">
        <f t="array" ref="CT63">_xlfn.IFS(Table9[[#This Row],[Hotels (10%)]]="", 0, Table9[[#This Row],[Hotels (10%)]]&gt;25, 4, Table9[[#This Row],[Hotels (10%)]]&lt;5, 0, TRUE, 2)</f>
        <v>0</v>
      </c>
      <c r="CU63" s="280">
        <f>Table9[[#This Row],[Hotels Score]]*'Detailed Rubric V3'!$I$92</f>
        <v>0</v>
      </c>
      <c r="CV63" s="280"/>
      <c r="CW63" s="280" cm="1">
        <f t="array" ref="CW63">_xlfn.IFS(Table9[[#This Row],[Health (Hospital) (15%)]]="", 0, Table9[[#This Row],[Health (Hospital) (15%)]]&gt;10, 4, Table9[[#This Row],[Health (Hospital) (15%)]]&lt;5, 0, TRUE, 2)</f>
        <v>0</v>
      </c>
      <c r="CX63" s="280">
        <f>Table9[[#This Row],[Health (Hospital) Score]]*'Detailed Rubric V3'!$L$92</f>
        <v>0</v>
      </c>
      <c r="CY63" s="280"/>
      <c r="CZ63" s="280" cm="1">
        <f t="array" ref="CZ63">_xlfn.IFS(Table9[[#This Row],[University/ Technical &amp; Vocational Institutions (15%)]]="", 0, Table9[[#This Row],[University/ Technical &amp; Vocational Institutions (15%)]]&gt;3, 4, Table9[[#This Row],[University/ Technical &amp; Vocational Institutions (15%)]]&lt;1, 0, TRUE, 2)</f>
        <v>0</v>
      </c>
      <c r="DA63" s="280">
        <f>Table9[[#This Row],[University/ Technical &amp; Vocational Institutions Score]]*'Detailed Rubric V3'!$O$92</f>
        <v>0</v>
      </c>
      <c r="DB63"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63" s="280"/>
      <c r="DD63" s="280" cm="1">
        <f t="array" ref="DD63">_xlfn.IFS(Table9[[#This Row],[Environment compliance (30%)]]="", 0, Table9[[#This Row],[Environment compliance (30%)]]="Yes", 4, TRUE, 0)</f>
        <v>0</v>
      </c>
      <c r="DE63" s="280">
        <f>Table9[[#This Row],[Environment compliance Score]]*'Detailed Rubric V3'!$C$104</f>
        <v>0</v>
      </c>
      <c r="DF63" s="280" t="s">
        <v>419</v>
      </c>
      <c r="DG63" s="280" cm="1">
        <f t="array" ref="DG63">_xlfn.IFS(Table9[[#This Row],[Flood Risk Index (30%)]]="", 0, Table9[[#This Row],[Flood Risk Index (30%)]]="Very Low", 4, Table9[[#This Row],[Flood Risk Index (30%)]]="Moderate &amp; Low", 2, TRUE, 0)</f>
        <v>2</v>
      </c>
      <c r="DH63" s="280">
        <f>Table9[[#This Row],[Flood Risk Index Score]]*'Detailed Rubric V3'!$F$104</f>
        <v>0.6</v>
      </c>
      <c r="DI63" s="280" t="s">
        <v>419</v>
      </c>
      <c r="DJ63" s="280" cm="1">
        <f t="array" ref="DJ63">_xlfn.IFS(Table9[[#This Row],[Earth Quake Risk Index (10%)]]="", 0, Table9[[#This Row],[Earth Quake Risk Index (10%)]]="Very Low", 4, Table9[[#This Row],[Earth Quake Risk Index (10%)]]="Moderate &amp; Low", 2, TRUE, 0)</f>
        <v>2</v>
      </c>
      <c r="DK63" s="280">
        <f>Table9[[#This Row],[Earth Quake Risk Index Score]]*'Detailed Rubric V3'!$I$104</f>
        <v>0.2</v>
      </c>
      <c r="DL63" s="280" t="s">
        <v>428</v>
      </c>
      <c r="DM63" s="280" cm="1">
        <f t="array" ref="DM63">_xlfn.IFS(Table9[[#This Row],[Sea Level Rise Risk Index (10%)]]="", 0, Table9[[#This Row],[Sea Level Rise Risk Index (10%)]]="Very Low", 4, Table9[[#This Row],[Sea Level Rise Risk Index (10%)]]="Moderate &amp; Low", 2, TRUE, 0)</f>
        <v>4</v>
      </c>
      <c r="DN63" s="280">
        <f>Table9[[#This Row],[Sea Level Rise  Risk Index Score]]*'Detailed Rubric V3'!$L$104</f>
        <v>0.4</v>
      </c>
      <c r="DO63" s="280" t="s">
        <v>419</v>
      </c>
      <c r="DP63" s="280" cm="1">
        <f t="array" ref="DP63">_xlfn.IFS(Table9[[#This Row],[Cyclone Risk Index (10%)]]="", 0, Table9[[#This Row],[Cyclone Risk Index (10%)]]="Very Low", 4, Table9[[#This Row],[Cyclone Risk Index (10%)]]="Moderate &amp; Low", 2, TRUE, 0)</f>
        <v>2</v>
      </c>
      <c r="DQ63" s="280">
        <f>Table9[[#This Row],[Cyclone Risk Index Score]]*'Detailed Rubric V3'!$O$104</f>
        <v>0.2</v>
      </c>
      <c r="DR63" s="280" t="s">
        <v>428</v>
      </c>
      <c r="DS63" s="280" cm="1">
        <f t="array" ref="DS63">_xlfn.IFS(Table9[[#This Row],[Storm Surge Risk Index (10%)]]="", 0, Table9[[#This Row],[Storm Surge Risk Index (10%)]]="Very Low", 4, Table9[[#This Row],[Storm Surge Risk Index (10%)]]="Moderate &amp; Low", 2, TRUE, 0)</f>
        <v>4</v>
      </c>
      <c r="DT63" s="280">
        <f>Table9[[#This Row],[Storm Surge Risk Index Score]]*'Detailed Rubric V3'!$R$104</f>
        <v>0.4</v>
      </c>
      <c r="DU63"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63" s="309">
        <f>SUM(Table9[[#This Row],[2.1. Connectivity/ Logistics (10% weightage)]],Table9[[#This Row],[2.2. Utility (12% weightage)]],Table9[[#This Row],[2.3. Agglomeration effects (10% weightage)]],Table9[[#This Row],[2.4. Regional Policy (4% weightage)]],Table9[[#This Row],[2.5. Social (8% weightage)]],Table9[[#This Row],[2.6. Environment (6% weightage)]])</f>
        <v>0.10800000000000001</v>
      </c>
      <c r="DW63" s="280">
        <f>_xlfn.RANK.EQ(Table9[[#This Row],[Level 2 Score]],$DV$3:$DV$103)</f>
        <v>64</v>
      </c>
      <c r="DX63" s="302">
        <f>Table9[[#This Row],[Level 1 Score]]+Table9[[#This Row],[Level 2 Score]]</f>
        <v>0.60799999999999998</v>
      </c>
      <c r="DY63" s="294">
        <f>_xlfn.RANK.EQ(Table9[[#This Row],[Total Score]],$DX$3:$DX$103)</f>
        <v>61</v>
      </c>
      <c r="DZ63" s="237" t="str">
        <f>IF(Table9[[#This Row],[Count of Blanks]]&lt;=2, "Yes", "No")</f>
        <v>No</v>
      </c>
      <c r="EA63" s="237">
        <f>COUNTBLANK(Table9[[#This Row],[Name]:[Total Score Rank]])</f>
        <v>23</v>
      </c>
      <c r="EB63" s="237"/>
    </row>
    <row r="64" spans="2:132" ht="27" x14ac:dyDescent="0.25">
      <c r="B64" s="220">
        <v>78</v>
      </c>
      <c r="C64" s="221" t="s">
        <v>142</v>
      </c>
      <c r="D64" s="220" t="s">
        <v>76</v>
      </c>
      <c r="E64" s="220" t="s">
        <v>76</v>
      </c>
      <c r="F64" s="220" t="s">
        <v>87</v>
      </c>
      <c r="G64" s="220" t="s">
        <v>92</v>
      </c>
      <c r="H64" s="525" t="s">
        <v>410</v>
      </c>
      <c r="I64" s="70" t="s">
        <v>455</v>
      </c>
      <c r="J64" s="227" t="s">
        <v>435</v>
      </c>
      <c r="K64" s="220">
        <f>IFERROR(VLOOKUP(Table9[[#This Row],[Land Availability (Grade)​
(50%)]],'Detailed Rubric V3'!$B$8:$C$11,2), 0)</f>
        <v>2</v>
      </c>
      <c r="L64" s="220">
        <f>IFERROR(Table9[[#This Row],[Land Availability (Grade)​ Score]]*'Detailed Rubric V3'!$C$6, "")</f>
        <v>1</v>
      </c>
      <c r="M64" s="222">
        <v>56.082000000000001</v>
      </c>
      <c r="N64" s="222" cm="1">
        <f t="array" ref="N64">_xlfn.IFS(Table9[[#This Row],[Land Size (Acres)
(15%)]]&lt;100,0,Table9[[#This Row],[Land Size (Acres)
(15%)]]&gt;500,4,TRUE,2)</f>
        <v>0</v>
      </c>
      <c r="O64" s="222">
        <f>Table9[[#This Row],[Land Size (Acres) Score]]*'Detailed Rubric V3'!$G$6</f>
        <v>0</v>
      </c>
      <c r="P64" s="526"/>
      <c r="Q64" s="526">
        <f>IFERROR(Table9[[#This Row],[Site Filling Cost (Mn BDT)]]/Table9[[#This Row],[Land Size (Acres)
(15%)]],"")</f>
        <v>0</v>
      </c>
      <c r="R64" s="526" cm="1">
        <f t="array" ref="R64">IF(Table9[[#This Row],[Name]]="Sitakundo Economic Zone", 4, _xlfn.IFS(Table9[[#This Row],[Site Filling Cost (Mn BDT)]]="",0,Table9[[#This Row],[Land Suitability
(Cost of Land Filling in Million BDT per acre)
(25%)]]&gt;5,0,Table9[[#This Row],[Land Suitability
(Cost of Land Filling in Million BDT per acre)
(25%)]]&lt;2,4,TRUE,2))</f>
        <v>0</v>
      </c>
      <c r="S64" s="526">
        <f>Table9[[#This Row],[Land Suitability for Construction Score]]*'Detailed Rubric V3'!$J$6</f>
        <v>0</v>
      </c>
      <c r="T64" s="526"/>
      <c r="U64" s="526">
        <f>IFERROR(Table9[[#This Row],[Embankment/Dyke Cost (Mn BDT)]]/Table9[[#This Row],[Land Size (Acres)
(15%)]], 0)</f>
        <v>0</v>
      </c>
      <c r="V64" s="526" cm="1">
        <f t="array" ref="V64">IF(Table9[[#This Row],[Name]]="Sitakundo Economic Zone", 2, _xlfn.IFS(Table9[[#This Row],[Embankment/Dyke Cost (Mn BDT)]]="",0,Table9[[#This Row],[Cost of DRRI Infrastructure in million BDT per acre
(10%)]]&gt;5,0,Table9[[#This Row],[Cost of DRRI Infrastructure in million BDT per acre
(10%)]]&lt;2,4,TRUE,2))</f>
        <v>0</v>
      </c>
      <c r="W64" s="526">
        <f>Table9[[#This Row],[Requirement for Distaster Risk Reduction &amp; Resilience Infrastructure Score]]*'Detailed Rubric V3'!$M$6</f>
        <v>0</v>
      </c>
      <c r="X64"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v>
      </c>
      <c r="Y64" s="227" t="s">
        <v>440</v>
      </c>
      <c r="Z64" s="210">
        <f>IFERROR(VLOOKUP(Table9[[#This Row],[Zone Priority
(40%)]],'Detailed Rubric V3'!$B$18:$C$21, 2,FALSE), 0)</f>
        <v>4</v>
      </c>
      <c r="AA64" s="210">
        <f>IFERROR(Table9[[#This Row],[Zone Priority Score]]*'Detailed Rubric V3'!$C$16, 0)</f>
        <v>0</v>
      </c>
      <c r="AB64" s="237" t="s">
        <v>441</v>
      </c>
      <c r="AC64" s="237">
        <f>VLOOKUP(Table9[[#This Row],[Existing BEZA Report
(60%)]],'Detailed Rubric V3'!$E$18:$F$20,2,FALSE)</f>
        <v>0</v>
      </c>
      <c r="AD64" s="237">
        <f>Table9[[#This Row],[Existing BEZA Report Score]]*'Detailed Rubric V3'!F$16</f>
        <v>0</v>
      </c>
      <c r="AE64" s="237">
        <f>(Table9[[#This Row],[Zone Priority Weighted Score]]+Table9[[#This Row],[Existing BEZA Report Weighted Score]])*'Detailed Rubric V3'!$C$14</f>
        <v>0</v>
      </c>
      <c r="AF64" s="528">
        <v>15</v>
      </c>
      <c r="AG64" s="529" cm="1">
        <f t="array" ref="AG64">_xlfn.IFS(Table9[[#This Row],[Existing Sectors
(50%)]]&gt;10, 4,Table9[[#This Row],[Existing Sectors
(50%)]]&lt;5, 0, TRUE, 2)</f>
        <v>4</v>
      </c>
      <c r="AH64" s="529">
        <f>Table9[[#This Row],[Existing Sectors Score]]*'Detailed Rubric V3'!$C$25</f>
        <v>2</v>
      </c>
      <c r="AI64" s="529">
        <v>15</v>
      </c>
      <c r="AJ64" s="529">
        <v>0</v>
      </c>
      <c r="AK64" s="529" cm="1">
        <f t="array" ref="AK64">_xlfn.IFS(Table9[[#This Row],[Potential New Sectors
(50%)]]&gt;5, 4, Table9[[#This Row],[Potential New Sectors
(50%)]]&lt;2,0, TRUE, 2)</f>
        <v>0</v>
      </c>
      <c r="AL64" s="529">
        <f>Table9[[#This Row],[Potential New Sectors Score]]*'Detailed Rubric V3'!$F$25</f>
        <v>0</v>
      </c>
      <c r="AM64" s="232">
        <f>(Table9[[#This Row],[Existing Sectors Weighted Score]]+Table9[[#This Row],[Potential New Sectors Weighted Score]])*'Detailed Rubric V3'!$C$23</f>
        <v>0.3</v>
      </c>
      <c r="AN64" s="530">
        <f>SUM(Table9[[#This Row],[1.1. Land Details (20% weightage)]],Table9[[#This Row],[1.2. BEZA Existing plans (15% weightage)]],Table9[[#This Row],[1.3. Sector Demand (15% weightage):]])</f>
        <v>0.5</v>
      </c>
      <c r="AO64" s="531">
        <f>_xlfn.RANK.EQ(Table9[[#This Row],[Level 1 Score]],$AN$3:$AN$103)</f>
        <v>60</v>
      </c>
      <c r="AP64" s="280"/>
      <c r="AQ64" s="280" cm="1">
        <f t="array" ref="AQ64">_xlfn.IFS(Table9[[#This Row],[National Highway Connectivity (km)
(15%)]]="", 0, Table9[[#This Row],[National Highway Connectivity (km)
(15%)]]&gt;50, 0, Table9[[#This Row],[National Highway Connectivity (km)
(15%)]]&lt;=25, 4, TRUE, 2)</f>
        <v>0</v>
      </c>
      <c r="AR64" s="280">
        <f>Table9[[#This Row],[National Highway Connectivity Score]]*'Detailed Rubric V3'!$C$35</f>
        <v>0</v>
      </c>
      <c r="AS64" s="280"/>
      <c r="AT64" s="280" cm="1">
        <f t="array" ref="AT64">_xlfn.IFS(Table9[[#This Row],[Connecting Road to Highway (km)
(15%)]]="", 0, Table9[[#This Row],[Connecting Road to Highway (km)
(15%)]]="Yes", 4, TRUE, 0)</f>
        <v>0</v>
      </c>
      <c r="AU64" s="280">
        <f>Table9[[#This Row],[Connecting Road to Highway Score]]*'Detailed Rubric V3'!$F$35</f>
        <v>0</v>
      </c>
      <c r="AV64" s="280"/>
      <c r="AW64" s="280" cm="1">
        <f t="array" ref="AW64">_xlfn.IFS(Table9[[#This Row],[Seaport Connectivity (km)
(30%)]]="",0, Table9[[#This Row],[Seaport Connectivity (km)
(30%)]]&gt;400, 0,Table9[[#This Row],[Seaport Connectivity (km)
(30%)]]&lt;=200,4, TRUE, 2)</f>
        <v>0</v>
      </c>
      <c r="AX64" s="280">
        <f>Table9[[#This Row],[Seaport Connectivity Score]]*'Detailed Rubric V3'!$I$35</f>
        <v>0</v>
      </c>
      <c r="AY64" s="280"/>
      <c r="AZ64" s="280" cm="1">
        <f t="array" ref="AZ64">_xlfn.IFS(Table9[[#This Row],[Airport Connectivity (km)
(10%)]]="", 0, Table9[[#This Row],[Airport Connectivity (km)
(10%)]]&gt;200, 0, Table9[[#This Row],[Airport Connectivity (km)
(10%)]]&lt;=100,4,TRUE, 2)</f>
        <v>0</v>
      </c>
      <c r="BA64" s="280">
        <f>Table9[[#This Row],[Airport Connectivity Score]]*'Detailed Rubric V3'!$C$41</f>
        <v>0</v>
      </c>
      <c r="BB64" s="280"/>
      <c r="BC64" s="280" cm="1">
        <f t="array" ref="BC64">_xlfn.IFS(Table9[[#This Row],[Railway Station (km)
(10%)]]="", 0, Table9[[#This Row],[Railway Station (km)
(10%)]]&gt;150, 0,Table9[[#This Row],[Railway Station (km)
(10%)]]&lt;=50,4, TRUE, 2)</f>
        <v>0</v>
      </c>
      <c r="BD64" s="280">
        <f>Table9[[#This Row],[Railway Station Score]]*'Detailed Rubric V3'!$F$41</f>
        <v>0</v>
      </c>
      <c r="BE64" s="280"/>
      <c r="BF64" s="280" cm="1">
        <f t="array" ref="BF64">_xlfn.IFS(Table9[[#This Row],[Inland waterway/ Land port (km)
(20%)]]="", 0, Table9[[#This Row],[Inland waterway/ Land port (km)
(20%)]]&gt;200, 0,Table9[[#This Row],[Inland waterway/ Land port (km)
(20%)]]&lt;=50,4, TRUE, 2)</f>
        <v>0</v>
      </c>
      <c r="BG64" s="280">
        <f>Table9[[#This Row],[Inland waterway/ Land port Score]]*'Detailed Rubric V3'!$I$41</f>
        <v>0</v>
      </c>
      <c r="BH64"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64" s="280"/>
      <c r="BJ64" s="280" cm="1">
        <f t="array" ref="BJ64">_xlfn.IFS(Table9[[#This Row],[Power Station (40%)]]="",0, Table9[[#This Row],[Power Station (40%)]]&gt;100, 0,Table9[[#This Row],[Power Station (40%)]]&lt;=50,4, TRUE, 2)</f>
        <v>0</v>
      </c>
      <c r="BK64" s="280">
        <f>Table9[[#This Row],[Power Station Score]]*'Detailed Rubric V3'!$C$53</f>
        <v>0</v>
      </c>
      <c r="BL64" s="280"/>
      <c r="BM64" s="280" cm="1">
        <f t="array" ref="BM64">IF(ISNUMBER(Table9[[#This Row],[Gas Station (20%)]]), _xlfn.IFS(Table9[[#This Row],[Gas Station (20%)]]="", 0, Table9[[#This Row],[Gas Station (20%)]]&gt;100, 0,Table9[[#This Row],[Gas Station (20%)]]&lt;=50,4, TRUE, 2), 0)</f>
        <v>0</v>
      </c>
      <c r="BN64" s="280">
        <f>Table9[[#This Row],[Gas Station Score]]*'Detailed Rubric V3'!$F$53</f>
        <v>0</v>
      </c>
      <c r="BO64" s="280"/>
      <c r="BP64" s="280" cm="1">
        <f t="array" ref="BP64">IF(ISNUMBER(Table9[[#This Row],[Source of Surface Water (40%)]]), _xlfn.IFS(Table9[[#This Row],[Source of Surface Water (40%)]]="", 0, Table9[[#This Row],[Source of Surface Water (40%)]]&gt;50, 0,Table9[[#This Row],[Source of Surface Water (40%)]]&lt;=20,4, TRUE, 2), 0)</f>
        <v>0</v>
      </c>
      <c r="BQ64" s="280">
        <f>Table9[[#This Row],[Source of Surface Water Score]]*'Detailed Rubric V3'!$I$53</f>
        <v>0</v>
      </c>
      <c r="BR64" s="280">
        <f>SUM(Table9[[#This Row],[Power Station Weighted Score]],Table9[[#This Row],[Gas Station Weighted Score]],Table9[[#This Row],[Source of Surface Water Weighted Score]])*'Detailed Rubric V3'!$C$51</f>
        <v>0</v>
      </c>
      <c r="BS64" s="280"/>
      <c r="BT64" s="280" cm="1">
        <f t="array" ref="BT64">_xlfn.IFS(Table9[[#This Row],[Other BEZA EZ (20%)]]="", 0, Table9[[#This Row],[Other BEZA EZ (20%)]]="Yes", 4, TRUE, 0)</f>
        <v>0</v>
      </c>
      <c r="BU64" s="280">
        <f>Table9[[#This Row],[Other BEZA EZ Score]]*'Detailed Rubric V3'!$C$66</f>
        <v>0</v>
      </c>
      <c r="BV64" s="280"/>
      <c r="BW64" s="280" cm="1">
        <f t="array" ref="BW64">_xlfn.IFS(Table9[[#This Row],[BEPZA/ BHPTA/ BSCIC (20%)]]="", 0, Table9[[#This Row],[BEPZA/ BHPTA/ BSCIC (20%)]]="Yes", 4, TRUE, 0)</f>
        <v>0</v>
      </c>
      <c r="BX64" s="280">
        <f>Table9[[#This Row],[BEPZA/ BHPTA/ BSCIC Score]]*'Detailed Rubric V3'!$F$66</f>
        <v>0</v>
      </c>
      <c r="BY64" s="280"/>
      <c r="BZ64" s="280" cm="1">
        <f t="array" ref="BZ64">_xlfn.IFS(Table9[[#This Row],[Cluster Industries (from SMI) (20%)]]="", 0, Table9[[#This Row],[Cluster Industries (from SMI) (20%)]]&gt;100, 4, Table9[[#This Row],[Cluster Industries (from SMI) (20%)]]&lt;50, 0, TRUE, 2)</f>
        <v>0</v>
      </c>
      <c r="CA64" s="280">
        <f>Table9[[#This Row],[Cluster Industries (from SMI) Score]]*'Detailed Rubric V3'!$I$66</f>
        <v>0</v>
      </c>
      <c r="CB64" s="280"/>
      <c r="CC64" s="280" cm="1">
        <f t="array" ref="CC64">_xlfn.IFS(Table9[[#This Row],[Located on Industrial corridor (40%)]]="", 0, Table9[[#This Row],[Located on Industrial corridor (40%)]]="Yes", 4, TRUE, 0)</f>
        <v>0</v>
      </c>
      <c r="CD64" s="280">
        <f>Table9[[#This Row],[Located on Industrial corridor Score]]*'Detailed Rubric V3'!$L$66</f>
        <v>0</v>
      </c>
      <c r="CE64" s="280">
        <f>SUM(Table9[[#This Row],[Other BEZA EZ Weighted Score]],Table9[[#This Row],[BEPZA/ BHPTA/ BSCIC Weighted Score]],Table9[[#This Row],[Unorganized (from SMI) Weighted Score]],Table9[[#This Row],[Located on Industrial corridor Weighted Score]])*'Detailed Rubric V3'!$C$64</f>
        <v>0</v>
      </c>
      <c r="CF64" s="280"/>
      <c r="CG64" s="280" cm="1">
        <f t="array" ref="CG64">_xlfn.IFS(Table9[[#This Row],[Economic/ Social priority (laggered area) (100%)]]="", 0, Table9[[#This Row],[Economic/ Social priority (laggered area) (100%)]]="Yes", 4, TRUE, 0)</f>
        <v>0</v>
      </c>
      <c r="CH64" s="280">
        <f>Table9[[#This Row],[Economic/ Social priority (laggered area) Score]]*'Detailed Rubric V3'!$C$82</f>
        <v>0</v>
      </c>
      <c r="CI64" s="280"/>
      <c r="CJ64" s="280" cm="1">
        <f t="array" ref="CJ64">_xlfn.IFS(Table9[[#This Row],[Regional Tax incentive  (0%)]]="", 0, Table9[[#This Row],[Regional Tax incentive  (0%)]]="Yes", 4, TRUE, 0)</f>
        <v>0</v>
      </c>
      <c r="CK64" s="280">
        <f>Table9[[#This Row],[Regional Tax incentive Score]]*'Detailed Rubric V3'!$F$82</f>
        <v>0</v>
      </c>
      <c r="CL64" s="280">
        <f>SUM(Table9[[#This Row],[Economic/ Social priority (laagered area) Weighted Score]],Table9[[#This Row],[Regional Tax incentive  Weighted Score]])*'Detailed Rubric V3'!$C$80</f>
        <v>0</v>
      </c>
      <c r="CM64" s="280"/>
      <c r="CN64" s="280" cm="1">
        <f t="array" ref="CN64">_xlfn.IFS(Table9[[#This Row],[Employable population (40%) 2013]]="", 0, Table9[[#This Row],[Employable population (40%) 2013]]&gt;200000, 4, Table9[[#This Row],[Employable population (40%) 2013]]&lt;100000,0, TRUE, 2)</f>
        <v>0</v>
      </c>
      <c r="CO64" s="280">
        <f>Table9[[#This Row],[Employable population Score]]*'Detailed Rubric V3'!$C$92</f>
        <v>0</v>
      </c>
      <c r="CP64" s="280"/>
      <c r="CQ64" s="280" cm="1">
        <f t="array" ref="CQ64">_xlfn.IFS(Table9[[#This Row],[Housing (20%)]]="", 0, Table9[[#This Row],[Housing (20%)]]&gt;50, 0, Table9[[#This Row],[Housing (20%)]]&lt;25, 4, TRUE, 2)</f>
        <v>0</v>
      </c>
      <c r="CR64" s="280">
        <f>Table9[[#This Row],[Housing Score]]*'Detailed Rubric V3'!$F$92</f>
        <v>0</v>
      </c>
      <c r="CS64" s="280"/>
      <c r="CT64" s="280" cm="1">
        <f t="array" ref="CT64">_xlfn.IFS(Table9[[#This Row],[Hotels (10%)]]="", 0, Table9[[#This Row],[Hotels (10%)]]&gt;25, 4, Table9[[#This Row],[Hotels (10%)]]&lt;5, 0, TRUE, 2)</f>
        <v>0</v>
      </c>
      <c r="CU64" s="280">
        <f>Table9[[#This Row],[Hotels Score]]*'Detailed Rubric V3'!$I$92</f>
        <v>0</v>
      </c>
      <c r="CV64" s="280"/>
      <c r="CW64" s="280" cm="1">
        <f t="array" ref="CW64">_xlfn.IFS(Table9[[#This Row],[Health (Hospital) (15%)]]="", 0, Table9[[#This Row],[Health (Hospital) (15%)]]&gt;10, 4, Table9[[#This Row],[Health (Hospital) (15%)]]&lt;5, 0, TRUE, 2)</f>
        <v>0</v>
      </c>
      <c r="CX64" s="280">
        <f>Table9[[#This Row],[Health (Hospital) Score]]*'Detailed Rubric V3'!$L$92</f>
        <v>0</v>
      </c>
      <c r="CY64" s="280"/>
      <c r="CZ64" s="280" cm="1">
        <f t="array" ref="CZ64">_xlfn.IFS(Table9[[#This Row],[University/ Technical &amp; Vocational Institutions (15%)]]="", 0, Table9[[#This Row],[University/ Technical &amp; Vocational Institutions (15%)]]&gt;3, 4, Table9[[#This Row],[University/ Technical &amp; Vocational Institutions (15%)]]&lt;1, 0, TRUE, 2)</f>
        <v>0</v>
      </c>
      <c r="DA64" s="280">
        <f>Table9[[#This Row],[University/ Technical &amp; Vocational Institutions Score]]*'Detailed Rubric V3'!$O$92</f>
        <v>0</v>
      </c>
      <c r="DB64"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64" s="280"/>
      <c r="DD64" s="280" cm="1">
        <f t="array" ref="DD64">_xlfn.IFS(Table9[[#This Row],[Environment compliance (30%)]]="", 0, Table9[[#This Row],[Environment compliance (30%)]]="Yes", 4, TRUE, 0)</f>
        <v>0</v>
      </c>
      <c r="DE64" s="280">
        <f>Table9[[#This Row],[Environment compliance Score]]*'Detailed Rubric V3'!$C$104</f>
        <v>0</v>
      </c>
      <c r="DF64" s="280" t="s">
        <v>419</v>
      </c>
      <c r="DG64" s="280" cm="1">
        <f t="array" ref="DG64">_xlfn.IFS(Table9[[#This Row],[Flood Risk Index (30%)]]="", 0, Table9[[#This Row],[Flood Risk Index (30%)]]="Very Low", 4, Table9[[#This Row],[Flood Risk Index (30%)]]="Moderate &amp; Low", 2, TRUE, 0)</f>
        <v>2</v>
      </c>
      <c r="DH64" s="280">
        <f>Table9[[#This Row],[Flood Risk Index Score]]*'Detailed Rubric V3'!$F$104</f>
        <v>0.6</v>
      </c>
      <c r="DI64" s="280" t="s">
        <v>419</v>
      </c>
      <c r="DJ64" s="280" cm="1">
        <f t="array" ref="DJ64">_xlfn.IFS(Table9[[#This Row],[Earth Quake Risk Index (10%)]]="", 0, Table9[[#This Row],[Earth Quake Risk Index (10%)]]="Very Low", 4, Table9[[#This Row],[Earth Quake Risk Index (10%)]]="Moderate &amp; Low", 2, TRUE, 0)</f>
        <v>2</v>
      </c>
      <c r="DK64" s="280">
        <f>Table9[[#This Row],[Earth Quake Risk Index Score]]*'Detailed Rubric V3'!$I$104</f>
        <v>0.2</v>
      </c>
      <c r="DL64" s="280" t="s">
        <v>428</v>
      </c>
      <c r="DM64" s="280" cm="1">
        <f t="array" ref="DM64">_xlfn.IFS(Table9[[#This Row],[Sea Level Rise Risk Index (10%)]]="", 0, Table9[[#This Row],[Sea Level Rise Risk Index (10%)]]="Very Low", 4, Table9[[#This Row],[Sea Level Rise Risk Index (10%)]]="Moderate &amp; Low", 2, TRUE, 0)</f>
        <v>4</v>
      </c>
      <c r="DN64" s="280">
        <f>Table9[[#This Row],[Sea Level Rise  Risk Index Score]]*'Detailed Rubric V3'!$L$104</f>
        <v>0.4</v>
      </c>
      <c r="DO64" s="280" t="s">
        <v>419</v>
      </c>
      <c r="DP64" s="280" cm="1">
        <f t="array" ref="DP64">_xlfn.IFS(Table9[[#This Row],[Cyclone Risk Index (10%)]]="", 0, Table9[[#This Row],[Cyclone Risk Index (10%)]]="Very Low", 4, Table9[[#This Row],[Cyclone Risk Index (10%)]]="Moderate &amp; Low", 2, TRUE, 0)</f>
        <v>2</v>
      </c>
      <c r="DQ64" s="280">
        <f>Table9[[#This Row],[Cyclone Risk Index Score]]*'Detailed Rubric V3'!$O$104</f>
        <v>0.2</v>
      </c>
      <c r="DR64" s="280" t="s">
        <v>428</v>
      </c>
      <c r="DS64" s="280" cm="1">
        <f t="array" ref="DS64">_xlfn.IFS(Table9[[#This Row],[Storm Surge Risk Index (10%)]]="", 0, Table9[[#This Row],[Storm Surge Risk Index (10%)]]="Very Low", 4, Table9[[#This Row],[Storm Surge Risk Index (10%)]]="Moderate &amp; Low", 2, TRUE, 0)</f>
        <v>4</v>
      </c>
      <c r="DT64" s="280">
        <f>Table9[[#This Row],[Storm Surge Risk Index Score]]*'Detailed Rubric V3'!$R$104</f>
        <v>0.4</v>
      </c>
      <c r="DU64"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64" s="309">
        <f>SUM(Table9[[#This Row],[2.1. Connectivity/ Logistics (10% weightage)]],Table9[[#This Row],[2.2. Utility (12% weightage)]],Table9[[#This Row],[2.3. Agglomeration effects (10% weightage)]],Table9[[#This Row],[2.4. Regional Policy (4% weightage)]],Table9[[#This Row],[2.5. Social (8% weightage)]],Table9[[#This Row],[2.6. Environment (6% weightage)]])</f>
        <v>0.10800000000000001</v>
      </c>
      <c r="DW64" s="280">
        <f>_xlfn.RANK.EQ(Table9[[#This Row],[Level 2 Score]],$DV$3:$DV$103)</f>
        <v>64</v>
      </c>
      <c r="DX64" s="302">
        <f>Table9[[#This Row],[Level 1 Score]]+Table9[[#This Row],[Level 2 Score]]</f>
        <v>0.60799999999999998</v>
      </c>
      <c r="DY64" s="294">
        <f>_xlfn.RANK.EQ(Table9[[#This Row],[Total Score]],$DX$3:$DX$103)</f>
        <v>61</v>
      </c>
      <c r="DZ64" s="237" t="str">
        <f>IF(Table9[[#This Row],[Count of Blanks]]&lt;=2, "Yes", "No")</f>
        <v>No</v>
      </c>
      <c r="EA64" s="237">
        <f>COUNTBLANK(Table9[[#This Row],[Name]:[Total Score Rank]])</f>
        <v>23</v>
      </c>
      <c r="EB64" s="237"/>
    </row>
    <row r="65" spans="2:132" ht="27" x14ac:dyDescent="0.25">
      <c r="B65" s="220">
        <v>94</v>
      </c>
      <c r="C65" s="221" t="s">
        <v>145</v>
      </c>
      <c r="D65" s="220" t="s">
        <v>113</v>
      </c>
      <c r="E65" s="220" t="s">
        <v>146</v>
      </c>
      <c r="F65" s="220" t="s">
        <v>147</v>
      </c>
      <c r="G65" s="220" t="s">
        <v>92</v>
      </c>
      <c r="H65" s="525" t="s">
        <v>410</v>
      </c>
      <c r="I65" s="70" t="s">
        <v>463</v>
      </c>
      <c r="J65" s="227" t="s">
        <v>412</v>
      </c>
      <c r="K65" s="220">
        <f>IFERROR(VLOOKUP(Table9[[#This Row],[Land Availability (Grade)​
(50%)]],'Detailed Rubric V3'!$B$8:$C$11,2), 0)</f>
        <v>4</v>
      </c>
      <c r="L65" s="220">
        <f>IFERROR(Table9[[#This Row],[Land Availability (Grade)​ Score]]*'Detailed Rubric V3'!$C$6, "")</f>
        <v>2</v>
      </c>
      <c r="M65" s="222">
        <v>1035.93</v>
      </c>
      <c r="N65" s="222" cm="1">
        <f t="array" ref="N65">_xlfn.IFS(Table9[[#This Row],[Land Size (Acres)
(15%)]]&lt;100,0,Table9[[#This Row],[Land Size (Acres)
(15%)]]&gt;500,4,TRUE,2)</f>
        <v>4</v>
      </c>
      <c r="O65" s="222">
        <f>Table9[[#This Row],[Land Size (Acres) Score]]*'Detailed Rubric V3'!$G$6</f>
        <v>0.6</v>
      </c>
      <c r="P65" s="526"/>
      <c r="Q65" s="526">
        <f>IFERROR(Table9[[#This Row],[Site Filling Cost (Mn BDT)]]/Table9[[#This Row],[Land Size (Acres)
(15%)]],"")</f>
        <v>0</v>
      </c>
      <c r="R65" s="526" cm="1">
        <f t="array" ref="R65">IF(Table9[[#This Row],[Name]]="Sitakundo Economic Zone", 4, _xlfn.IFS(Table9[[#This Row],[Site Filling Cost (Mn BDT)]]="",0,Table9[[#This Row],[Land Suitability
(Cost of Land Filling in Million BDT per acre)
(25%)]]&gt;5,0,Table9[[#This Row],[Land Suitability
(Cost of Land Filling in Million BDT per acre)
(25%)]]&lt;2,4,TRUE,2))</f>
        <v>0</v>
      </c>
      <c r="S65" s="526">
        <f>Table9[[#This Row],[Land Suitability for Construction Score]]*'Detailed Rubric V3'!$J$6</f>
        <v>0</v>
      </c>
      <c r="T65" s="526"/>
      <c r="U65" s="526">
        <f>IFERROR(Table9[[#This Row],[Embankment/Dyke Cost (Mn BDT)]]/Table9[[#This Row],[Land Size (Acres)
(15%)]], 0)</f>
        <v>0</v>
      </c>
      <c r="V65" s="526" cm="1">
        <f t="array" ref="V65">IF(Table9[[#This Row],[Name]]="Sitakundo Economic Zone", 2, _xlfn.IFS(Table9[[#This Row],[Embankment/Dyke Cost (Mn BDT)]]="",0,Table9[[#This Row],[Cost of DRRI Infrastructure in million BDT per acre
(10%)]]&gt;5,0,Table9[[#This Row],[Cost of DRRI Infrastructure in million BDT per acre
(10%)]]&lt;2,4,TRUE,2))</f>
        <v>0</v>
      </c>
      <c r="W65" s="526">
        <f>Table9[[#This Row],[Requirement for Distaster Risk Reduction &amp; Resilience Infrastructure Score]]*'Detailed Rubric V3'!$M$6</f>
        <v>0</v>
      </c>
      <c r="X65"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0.52</v>
      </c>
      <c r="Y65" s="227" t="s">
        <v>440</v>
      </c>
      <c r="Z65" s="210">
        <f>IFERROR(VLOOKUP(Table9[[#This Row],[Zone Priority
(40%)]],'Detailed Rubric V3'!$B$18:$C$21, 2,FALSE), 0)</f>
        <v>4</v>
      </c>
      <c r="AA65" s="210">
        <f>IFERROR(Table9[[#This Row],[Zone Priority Score]]*'Detailed Rubric V3'!$C$16, 0)</f>
        <v>0</v>
      </c>
      <c r="AB65" s="237" t="s">
        <v>441</v>
      </c>
      <c r="AC65" s="237">
        <f>VLOOKUP(Table9[[#This Row],[Existing BEZA Report
(60%)]],'Detailed Rubric V3'!$E$18:$F$20,2,FALSE)</f>
        <v>0</v>
      </c>
      <c r="AD65" s="237">
        <f>Table9[[#This Row],[Existing BEZA Report Score]]*'Detailed Rubric V3'!F$16</f>
        <v>0</v>
      </c>
      <c r="AE65" s="237">
        <f>(Table9[[#This Row],[Zone Priority Weighted Score]]+Table9[[#This Row],[Existing BEZA Report Weighted Score]])*'Detailed Rubric V3'!$C$14</f>
        <v>0</v>
      </c>
      <c r="AF65" s="528">
        <v>2</v>
      </c>
      <c r="AG65" s="529" cm="1">
        <f t="array" ref="AG65">_xlfn.IFS(Table9[[#This Row],[Existing Sectors
(50%)]]&gt;10, 4,Table9[[#This Row],[Existing Sectors
(50%)]]&lt;5, 0, TRUE, 2)</f>
        <v>0</v>
      </c>
      <c r="AH65" s="529">
        <f>Table9[[#This Row],[Existing Sectors Score]]*'Detailed Rubric V3'!$C$25</f>
        <v>0</v>
      </c>
      <c r="AI65" s="529">
        <v>2</v>
      </c>
      <c r="AJ65" s="529">
        <v>0</v>
      </c>
      <c r="AK65" s="529" cm="1">
        <f t="array" ref="AK65">_xlfn.IFS(Table9[[#This Row],[Potential New Sectors
(50%)]]&gt;5, 4, Table9[[#This Row],[Potential New Sectors
(50%)]]&lt;2,0, TRUE, 2)</f>
        <v>0</v>
      </c>
      <c r="AL65" s="529">
        <f>Table9[[#This Row],[Potential New Sectors Score]]*'Detailed Rubric V3'!$F$25</f>
        <v>0</v>
      </c>
      <c r="AM65" s="232">
        <f>(Table9[[#This Row],[Existing Sectors Weighted Score]]+Table9[[#This Row],[Potential New Sectors Weighted Score]])*'Detailed Rubric V3'!$C$23</f>
        <v>0</v>
      </c>
      <c r="AN65" s="530">
        <f>SUM(Table9[[#This Row],[1.1. Land Details (20% weightage)]],Table9[[#This Row],[1.2. BEZA Existing plans (15% weightage)]],Table9[[#This Row],[1.3. Sector Demand (15% weightage):]])</f>
        <v>0.52</v>
      </c>
      <c r="AO65" s="531">
        <f>_xlfn.RANK.EQ(Table9[[#This Row],[Level 1 Score]],$AN$3:$AN$103)</f>
        <v>59</v>
      </c>
      <c r="AP65" s="280"/>
      <c r="AQ65" s="280" cm="1">
        <f t="array" ref="AQ65">_xlfn.IFS(Table9[[#This Row],[National Highway Connectivity (km)
(15%)]]="", 0, Table9[[#This Row],[National Highway Connectivity (km)
(15%)]]&gt;50, 0, Table9[[#This Row],[National Highway Connectivity (km)
(15%)]]&lt;=25, 4, TRUE, 2)</f>
        <v>0</v>
      </c>
      <c r="AR65" s="280">
        <f>Table9[[#This Row],[National Highway Connectivity Score]]*'Detailed Rubric V3'!$C$35</f>
        <v>0</v>
      </c>
      <c r="AS65" s="280"/>
      <c r="AT65" s="280" cm="1">
        <f t="array" ref="AT65">_xlfn.IFS(Table9[[#This Row],[Connecting Road to Highway (km)
(15%)]]="", 0, Table9[[#This Row],[Connecting Road to Highway (km)
(15%)]]="Yes", 4, TRUE, 0)</f>
        <v>0</v>
      </c>
      <c r="AU65" s="280">
        <f>Table9[[#This Row],[Connecting Road to Highway Score]]*'Detailed Rubric V3'!$F$35</f>
        <v>0</v>
      </c>
      <c r="AV65" s="280"/>
      <c r="AW65" s="280" cm="1">
        <f t="array" ref="AW65">_xlfn.IFS(Table9[[#This Row],[Seaport Connectivity (km)
(30%)]]="",0, Table9[[#This Row],[Seaport Connectivity (km)
(30%)]]&gt;400, 0,Table9[[#This Row],[Seaport Connectivity (km)
(30%)]]&lt;=200,4, TRUE, 2)</f>
        <v>0</v>
      </c>
      <c r="AX65" s="280">
        <f>Table9[[#This Row],[Seaport Connectivity Score]]*'Detailed Rubric V3'!$I$35</f>
        <v>0</v>
      </c>
      <c r="AY65" s="280"/>
      <c r="AZ65" s="280" cm="1">
        <f t="array" ref="AZ65">_xlfn.IFS(Table9[[#This Row],[Airport Connectivity (km)
(10%)]]="", 0, Table9[[#This Row],[Airport Connectivity (km)
(10%)]]&gt;200, 0, Table9[[#This Row],[Airport Connectivity (km)
(10%)]]&lt;=100,4,TRUE, 2)</f>
        <v>0</v>
      </c>
      <c r="BA65" s="280">
        <f>Table9[[#This Row],[Airport Connectivity Score]]*'Detailed Rubric V3'!$C$41</f>
        <v>0</v>
      </c>
      <c r="BB65" s="280"/>
      <c r="BC65" s="280" cm="1">
        <f t="array" ref="BC65">_xlfn.IFS(Table9[[#This Row],[Railway Station (km)
(10%)]]="", 0, Table9[[#This Row],[Railway Station (km)
(10%)]]&gt;150, 0,Table9[[#This Row],[Railway Station (km)
(10%)]]&lt;=50,4, TRUE, 2)</f>
        <v>0</v>
      </c>
      <c r="BD65" s="280">
        <f>Table9[[#This Row],[Railway Station Score]]*'Detailed Rubric V3'!$F$41</f>
        <v>0</v>
      </c>
      <c r="BE65" s="280"/>
      <c r="BF65" s="280" cm="1">
        <f t="array" ref="BF65">_xlfn.IFS(Table9[[#This Row],[Inland waterway/ Land port (km)
(20%)]]="", 0, Table9[[#This Row],[Inland waterway/ Land port (km)
(20%)]]&gt;200, 0,Table9[[#This Row],[Inland waterway/ Land port (km)
(20%)]]&lt;=50,4, TRUE, 2)</f>
        <v>0</v>
      </c>
      <c r="BG65" s="280">
        <f>Table9[[#This Row],[Inland waterway/ Land port Score]]*'Detailed Rubric V3'!$I$41</f>
        <v>0</v>
      </c>
      <c r="BH65"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65" s="280"/>
      <c r="BJ65" s="280" cm="1">
        <f t="array" ref="BJ65">_xlfn.IFS(Table9[[#This Row],[Power Station (40%)]]="",0, Table9[[#This Row],[Power Station (40%)]]&gt;100, 0,Table9[[#This Row],[Power Station (40%)]]&lt;=50,4, TRUE, 2)</f>
        <v>0</v>
      </c>
      <c r="BK65" s="280">
        <f>Table9[[#This Row],[Power Station Score]]*'Detailed Rubric V3'!$C$53</f>
        <v>0</v>
      </c>
      <c r="BL65" s="280"/>
      <c r="BM65" s="280" cm="1">
        <f t="array" ref="BM65">IF(ISNUMBER(Table9[[#This Row],[Gas Station (20%)]]), _xlfn.IFS(Table9[[#This Row],[Gas Station (20%)]]="", 0, Table9[[#This Row],[Gas Station (20%)]]&gt;100, 0,Table9[[#This Row],[Gas Station (20%)]]&lt;=50,4, TRUE, 2), 0)</f>
        <v>0</v>
      </c>
      <c r="BN65" s="280">
        <f>Table9[[#This Row],[Gas Station Score]]*'Detailed Rubric V3'!$F$53</f>
        <v>0</v>
      </c>
      <c r="BO65" s="280"/>
      <c r="BP65" s="280" cm="1">
        <f t="array" ref="BP65">IF(ISNUMBER(Table9[[#This Row],[Source of Surface Water (40%)]]), _xlfn.IFS(Table9[[#This Row],[Source of Surface Water (40%)]]="", 0, Table9[[#This Row],[Source of Surface Water (40%)]]&gt;50, 0,Table9[[#This Row],[Source of Surface Water (40%)]]&lt;=20,4, TRUE, 2), 0)</f>
        <v>0</v>
      </c>
      <c r="BQ65" s="280">
        <f>Table9[[#This Row],[Source of Surface Water Score]]*'Detailed Rubric V3'!$I$53</f>
        <v>0</v>
      </c>
      <c r="BR65" s="280">
        <f>SUM(Table9[[#This Row],[Power Station Weighted Score]],Table9[[#This Row],[Gas Station Weighted Score]],Table9[[#This Row],[Source of Surface Water Weighted Score]])*'Detailed Rubric V3'!$C$51</f>
        <v>0</v>
      </c>
      <c r="BS65" s="280"/>
      <c r="BT65" s="280" cm="1">
        <f t="array" ref="BT65">_xlfn.IFS(Table9[[#This Row],[Other BEZA EZ (20%)]]="", 0, Table9[[#This Row],[Other BEZA EZ (20%)]]="Yes", 4, TRUE, 0)</f>
        <v>0</v>
      </c>
      <c r="BU65" s="280">
        <f>Table9[[#This Row],[Other BEZA EZ Score]]*'Detailed Rubric V3'!$C$66</f>
        <v>0</v>
      </c>
      <c r="BV65" s="280"/>
      <c r="BW65" s="280" cm="1">
        <f t="array" ref="BW65">_xlfn.IFS(Table9[[#This Row],[BEPZA/ BHPTA/ BSCIC (20%)]]="", 0, Table9[[#This Row],[BEPZA/ BHPTA/ BSCIC (20%)]]="Yes", 4, TRUE, 0)</f>
        <v>0</v>
      </c>
      <c r="BX65" s="280">
        <f>Table9[[#This Row],[BEPZA/ BHPTA/ BSCIC Score]]*'Detailed Rubric V3'!$F$66</f>
        <v>0</v>
      </c>
      <c r="BY65" s="280"/>
      <c r="BZ65" s="280" cm="1">
        <f t="array" ref="BZ65">_xlfn.IFS(Table9[[#This Row],[Cluster Industries (from SMI) (20%)]]="", 0, Table9[[#This Row],[Cluster Industries (from SMI) (20%)]]&gt;100, 4, Table9[[#This Row],[Cluster Industries (from SMI) (20%)]]&lt;50, 0, TRUE, 2)</f>
        <v>0</v>
      </c>
      <c r="CA65" s="280">
        <f>Table9[[#This Row],[Cluster Industries (from SMI) Score]]*'Detailed Rubric V3'!$I$66</f>
        <v>0</v>
      </c>
      <c r="CB65" s="280"/>
      <c r="CC65" s="280" cm="1">
        <f t="array" ref="CC65">_xlfn.IFS(Table9[[#This Row],[Located on Industrial corridor (40%)]]="", 0, Table9[[#This Row],[Located on Industrial corridor (40%)]]="Yes", 4, TRUE, 0)</f>
        <v>0</v>
      </c>
      <c r="CD65" s="280">
        <f>Table9[[#This Row],[Located on Industrial corridor Score]]*'Detailed Rubric V3'!$L$66</f>
        <v>0</v>
      </c>
      <c r="CE65" s="280">
        <f>SUM(Table9[[#This Row],[Other BEZA EZ Weighted Score]],Table9[[#This Row],[BEPZA/ BHPTA/ BSCIC Weighted Score]],Table9[[#This Row],[Unorganized (from SMI) Weighted Score]],Table9[[#This Row],[Located on Industrial corridor Weighted Score]])*'Detailed Rubric V3'!$C$64</f>
        <v>0</v>
      </c>
      <c r="CF65" s="280"/>
      <c r="CG65" s="280" cm="1">
        <f t="array" ref="CG65">_xlfn.IFS(Table9[[#This Row],[Economic/ Social priority (laggered area) (100%)]]="", 0, Table9[[#This Row],[Economic/ Social priority (laggered area) (100%)]]="Yes", 4, TRUE, 0)</f>
        <v>0</v>
      </c>
      <c r="CH65" s="280">
        <f>Table9[[#This Row],[Economic/ Social priority (laggered area) Score]]*'Detailed Rubric V3'!$C$82</f>
        <v>0</v>
      </c>
      <c r="CI65" s="280"/>
      <c r="CJ65" s="280" cm="1">
        <f t="array" ref="CJ65">_xlfn.IFS(Table9[[#This Row],[Regional Tax incentive  (0%)]]="", 0, Table9[[#This Row],[Regional Tax incentive  (0%)]]="Yes", 4, TRUE, 0)</f>
        <v>0</v>
      </c>
      <c r="CK65" s="280">
        <f>Table9[[#This Row],[Regional Tax incentive Score]]*'Detailed Rubric V3'!$F$82</f>
        <v>0</v>
      </c>
      <c r="CL65" s="280">
        <f>SUM(Table9[[#This Row],[Economic/ Social priority (laagered area) Weighted Score]],Table9[[#This Row],[Regional Tax incentive  Weighted Score]])*'Detailed Rubric V3'!$C$80</f>
        <v>0</v>
      </c>
      <c r="CM65" s="280"/>
      <c r="CN65" s="280" cm="1">
        <f t="array" ref="CN65">_xlfn.IFS(Table9[[#This Row],[Employable population (40%) 2013]]="", 0, Table9[[#This Row],[Employable population (40%) 2013]]&gt;200000, 4, Table9[[#This Row],[Employable population (40%) 2013]]&lt;100000,0, TRUE, 2)</f>
        <v>0</v>
      </c>
      <c r="CO65" s="280">
        <f>Table9[[#This Row],[Employable population Score]]*'Detailed Rubric V3'!$C$92</f>
        <v>0</v>
      </c>
      <c r="CP65" s="280"/>
      <c r="CQ65" s="280" cm="1">
        <f t="array" ref="CQ65">_xlfn.IFS(Table9[[#This Row],[Housing (20%)]]="", 0, Table9[[#This Row],[Housing (20%)]]&gt;50, 0, Table9[[#This Row],[Housing (20%)]]&lt;25, 4, TRUE, 2)</f>
        <v>0</v>
      </c>
      <c r="CR65" s="280">
        <f>Table9[[#This Row],[Housing Score]]*'Detailed Rubric V3'!$F$92</f>
        <v>0</v>
      </c>
      <c r="CS65" s="280"/>
      <c r="CT65" s="280" cm="1">
        <f t="array" ref="CT65">_xlfn.IFS(Table9[[#This Row],[Hotels (10%)]]="", 0, Table9[[#This Row],[Hotels (10%)]]&gt;25, 4, Table9[[#This Row],[Hotels (10%)]]&lt;5, 0, TRUE, 2)</f>
        <v>0</v>
      </c>
      <c r="CU65" s="280">
        <f>Table9[[#This Row],[Hotels Score]]*'Detailed Rubric V3'!$I$92</f>
        <v>0</v>
      </c>
      <c r="CV65" s="280"/>
      <c r="CW65" s="280" cm="1">
        <f t="array" ref="CW65">_xlfn.IFS(Table9[[#This Row],[Health (Hospital) (15%)]]="", 0, Table9[[#This Row],[Health (Hospital) (15%)]]&gt;10, 4, Table9[[#This Row],[Health (Hospital) (15%)]]&lt;5, 0, TRUE, 2)</f>
        <v>0</v>
      </c>
      <c r="CX65" s="280">
        <f>Table9[[#This Row],[Health (Hospital) Score]]*'Detailed Rubric V3'!$L$92</f>
        <v>0</v>
      </c>
      <c r="CY65" s="280"/>
      <c r="CZ65" s="280" cm="1">
        <f t="array" ref="CZ65">_xlfn.IFS(Table9[[#This Row],[University/ Technical &amp; Vocational Institutions (15%)]]="", 0, Table9[[#This Row],[University/ Technical &amp; Vocational Institutions (15%)]]&gt;3, 4, Table9[[#This Row],[University/ Technical &amp; Vocational Institutions (15%)]]&lt;1, 0, TRUE, 2)</f>
        <v>0</v>
      </c>
      <c r="DA65" s="280">
        <f>Table9[[#This Row],[University/ Technical &amp; Vocational Institutions Score]]*'Detailed Rubric V3'!$O$92</f>
        <v>0</v>
      </c>
      <c r="DB65"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65" s="280"/>
      <c r="DD65" s="280" cm="1">
        <f t="array" ref="DD65">_xlfn.IFS(Table9[[#This Row],[Environment compliance (30%)]]="", 0, Table9[[#This Row],[Environment compliance (30%)]]="Yes", 4, TRUE, 0)</f>
        <v>0</v>
      </c>
      <c r="DE65" s="280">
        <f>Table9[[#This Row],[Environment compliance Score]]*'Detailed Rubric V3'!$C$104</f>
        <v>0</v>
      </c>
      <c r="DF65" s="280" t="s">
        <v>421</v>
      </c>
      <c r="DG65" s="280" cm="1">
        <f t="array" ref="DG65">_xlfn.IFS(Table9[[#This Row],[Flood Risk Index (30%)]]="", 0, Table9[[#This Row],[Flood Risk Index (30%)]]="Very Low", 4, Table9[[#This Row],[Flood Risk Index (30%)]]="Moderate &amp; Low", 2, TRUE, 0)</f>
        <v>0</v>
      </c>
      <c r="DH65" s="280">
        <f>Table9[[#This Row],[Flood Risk Index Score]]*'Detailed Rubric V3'!$F$104</f>
        <v>0</v>
      </c>
      <c r="DI65" s="280" t="s">
        <v>421</v>
      </c>
      <c r="DJ65" s="280" cm="1">
        <f t="array" ref="DJ65">_xlfn.IFS(Table9[[#This Row],[Earth Quake Risk Index (10%)]]="", 0, Table9[[#This Row],[Earth Quake Risk Index (10%)]]="Very Low", 4, Table9[[#This Row],[Earth Quake Risk Index (10%)]]="Moderate &amp; Low", 2, TRUE, 0)</f>
        <v>0</v>
      </c>
      <c r="DK65" s="280">
        <f>Table9[[#This Row],[Earth Quake Risk Index Score]]*'Detailed Rubric V3'!$I$104</f>
        <v>0</v>
      </c>
      <c r="DL65" s="280" t="s">
        <v>428</v>
      </c>
      <c r="DM65" s="280" cm="1">
        <f t="array" ref="DM65">_xlfn.IFS(Table9[[#This Row],[Sea Level Rise Risk Index (10%)]]="", 0, Table9[[#This Row],[Sea Level Rise Risk Index (10%)]]="Very Low", 4, Table9[[#This Row],[Sea Level Rise Risk Index (10%)]]="Moderate &amp; Low", 2, TRUE, 0)</f>
        <v>4</v>
      </c>
      <c r="DN65" s="280">
        <f>Table9[[#This Row],[Sea Level Rise  Risk Index Score]]*'Detailed Rubric V3'!$L$104</f>
        <v>0.4</v>
      </c>
      <c r="DO65" s="280" t="s">
        <v>419</v>
      </c>
      <c r="DP65" s="280" cm="1">
        <f t="array" ref="DP65">_xlfn.IFS(Table9[[#This Row],[Cyclone Risk Index (10%)]]="", 0, Table9[[#This Row],[Cyclone Risk Index (10%)]]="Very Low", 4, Table9[[#This Row],[Cyclone Risk Index (10%)]]="Moderate &amp; Low", 2, TRUE, 0)</f>
        <v>2</v>
      </c>
      <c r="DQ65" s="280">
        <f>Table9[[#This Row],[Cyclone Risk Index Score]]*'Detailed Rubric V3'!$O$104</f>
        <v>0.2</v>
      </c>
      <c r="DR65" s="280" t="s">
        <v>428</v>
      </c>
      <c r="DS65" s="280" cm="1">
        <f t="array" ref="DS65">_xlfn.IFS(Table9[[#This Row],[Storm Surge Risk Index (10%)]]="", 0, Table9[[#This Row],[Storm Surge Risk Index (10%)]]="Very Low", 4, Table9[[#This Row],[Storm Surge Risk Index (10%)]]="Moderate &amp; Low", 2, TRUE, 0)</f>
        <v>4</v>
      </c>
      <c r="DT65" s="280">
        <f>Table9[[#This Row],[Storm Surge Risk Index Score]]*'Detailed Rubric V3'!$R$104</f>
        <v>0.4</v>
      </c>
      <c r="DU65"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65" s="309">
        <f>SUM(Table9[[#This Row],[2.1. Connectivity/ Logistics (10% weightage)]],Table9[[#This Row],[2.2. Utility (12% weightage)]],Table9[[#This Row],[2.3. Agglomeration effects (10% weightage)]],Table9[[#This Row],[2.4. Regional Policy (4% weightage)]],Table9[[#This Row],[2.5. Social (8% weightage)]],Table9[[#This Row],[2.6. Environment (6% weightage)]])</f>
        <v>0.06</v>
      </c>
      <c r="DW65" s="280">
        <f>_xlfn.RANK.EQ(Table9[[#This Row],[Level 2 Score]],$DV$3:$DV$103)</f>
        <v>88</v>
      </c>
      <c r="DX65" s="302">
        <f>Table9[[#This Row],[Level 1 Score]]+Table9[[#This Row],[Level 2 Score]]</f>
        <v>0.58000000000000007</v>
      </c>
      <c r="DY65" s="294">
        <f>_xlfn.RANK.EQ(Table9[[#This Row],[Total Score]],$DX$3:$DX$103)</f>
        <v>63</v>
      </c>
      <c r="DZ65" s="237" t="str">
        <f>IF(Table9[[#This Row],[Count of Blanks]]&lt;=2, "Yes", "No")</f>
        <v>No</v>
      </c>
      <c r="EA65" s="237">
        <f>COUNTBLANK(Table9[[#This Row],[Name]:[Total Score Rank]])</f>
        <v>23</v>
      </c>
      <c r="EB65" s="237"/>
    </row>
    <row r="66" spans="2:132" ht="27" x14ac:dyDescent="0.25">
      <c r="B66" s="220">
        <v>59</v>
      </c>
      <c r="C66" s="221" t="s">
        <v>175</v>
      </c>
      <c r="D66" s="220" t="s">
        <v>76</v>
      </c>
      <c r="E66" s="220" t="s">
        <v>107</v>
      </c>
      <c r="F66" s="220" t="s">
        <v>176</v>
      </c>
      <c r="G66" s="220" t="s">
        <v>70</v>
      </c>
      <c r="H66" s="525" t="s">
        <v>430</v>
      </c>
      <c r="I66" s="70" t="s">
        <v>468</v>
      </c>
      <c r="J66" s="227" t="s">
        <v>444</v>
      </c>
      <c r="K66" s="220">
        <f>IFERROR(VLOOKUP(Table9[[#This Row],[Land Availability (Grade)​
(50%)]],'Detailed Rubric V3'!$B$8:$C$11,2), 0)</f>
        <v>0</v>
      </c>
      <c r="L66" s="220">
        <f>IFERROR(Table9[[#This Row],[Land Availability (Grade)​ Score]]*'Detailed Rubric V3'!$C$6, "")</f>
        <v>0</v>
      </c>
      <c r="M66" s="222">
        <v>510</v>
      </c>
      <c r="N66" s="222" cm="1">
        <f t="array" ref="N66">_xlfn.IFS(Table9[[#This Row],[Land Size (Acres)
(15%)]]&lt;100,0,Table9[[#This Row],[Land Size (Acres)
(15%)]]&gt;500,4,TRUE,2)</f>
        <v>4</v>
      </c>
      <c r="O66" s="222">
        <f>Table9[[#This Row],[Land Size (Acres) Score]]*'Detailed Rubric V3'!$G$6</f>
        <v>0.6</v>
      </c>
      <c r="P66" s="526"/>
      <c r="Q66" s="526">
        <f>IFERROR(Table9[[#This Row],[Site Filling Cost (Mn BDT)]]/Table9[[#This Row],[Land Size (Acres)
(15%)]],"")</f>
        <v>0</v>
      </c>
      <c r="R66" s="526" cm="1">
        <f t="array" ref="R66">IF(Table9[[#This Row],[Name]]="Sitakundo Economic Zone", 4, _xlfn.IFS(Table9[[#This Row],[Site Filling Cost (Mn BDT)]]="",0,Table9[[#This Row],[Land Suitability
(Cost of Land Filling in Million BDT per acre)
(25%)]]&gt;5,0,Table9[[#This Row],[Land Suitability
(Cost of Land Filling in Million BDT per acre)
(25%)]]&lt;2,4,TRUE,2))</f>
        <v>0</v>
      </c>
      <c r="S66" s="526">
        <f>Table9[[#This Row],[Land Suitability for Construction Score]]*'Detailed Rubric V3'!$J$6</f>
        <v>0</v>
      </c>
      <c r="T66" s="526"/>
      <c r="U66" s="526">
        <f>IFERROR(Table9[[#This Row],[Embankment/Dyke Cost (Mn BDT)]]/Table9[[#This Row],[Land Size (Acres)
(15%)]], 0)</f>
        <v>0</v>
      </c>
      <c r="V66" s="526" cm="1">
        <f t="array" ref="V66">IF(Table9[[#This Row],[Name]]="Sitakundo Economic Zone", 2, _xlfn.IFS(Table9[[#This Row],[Embankment/Dyke Cost (Mn BDT)]]="",0,Table9[[#This Row],[Cost of DRRI Infrastructure in million BDT per acre
(10%)]]&gt;5,0,Table9[[#This Row],[Cost of DRRI Infrastructure in million BDT per acre
(10%)]]&lt;2,4,TRUE,2))</f>
        <v>0</v>
      </c>
      <c r="W66" s="526">
        <f>Table9[[#This Row],[Requirement for Distaster Risk Reduction &amp; Resilience Infrastructure Score]]*'Detailed Rubric V3'!$M$6</f>
        <v>0</v>
      </c>
      <c r="X66"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66" s="227" t="s">
        <v>436</v>
      </c>
      <c r="Z66" s="210">
        <f>IFERROR(VLOOKUP(Table9[[#This Row],[Zone Priority
(40%)]],'Detailed Rubric V3'!$B$18:$C$21, 2,FALSE), 0)</f>
        <v>0</v>
      </c>
      <c r="AA66" s="210">
        <f>IFERROR(Table9[[#This Row],[Zone Priority Score]]*'Detailed Rubric V3'!$C$16, 0)</f>
        <v>0</v>
      </c>
      <c r="AB66" s="237" t="s">
        <v>441</v>
      </c>
      <c r="AC66" s="237">
        <f>VLOOKUP(Table9[[#This Row],[Existing BEZA Report
(60%)]],'Detailed Rubric V3'!$E$18:$F$20,2,FALSE)</f>
        <v>0</v>
      </c>
      <c r="AD66" s="237">
        <f>Table9[[#This Row],[Existing BEZA Report Score]]*'Detailed Rubric V3'!F$16</f>
        <v>0</v>
      </c>
      <c r="AE66" s="237">
        <f>(Table9[[#This Row],[Zone Priority Weighted Score]]+Table9[[#This Row],[Existing BEZA Report Weighted Score]])*'Detailed Rubric V3'!$C$14</f>
        <v>0</v>
      </c>
      <c r="AF66" s="528">
        <v>13</v>
      </c>
      <c r="AG66" s="529" cm="1">
        <f t="array" ref="AG66">_xlfn.IFS(Table9[[#This Row],[Existing Sectors
(50%)]]&gt;10, 4,Table9[[#This Row],[Existing Sectors
(50%)]]&lt;5, 0, TRUE, 2)</f>
        <v>4</v>
      </c>
      <c r="AH66" s="529">
        <f>Table9[[#This Row],[Existing Sectors Score]]*'Detailed Rubric V3'!$C$25</f>
        <v>2</v>
      </c>
      <c r="AI66" s="529">
        <v>13</v>
      </c>
      <c r="AJ66" s="529">
        <v>0</v>
      </c>
      <c r="AK66" s="529" cm="1">
        <f t="array" ref="AK66">_xlfn.IFS(Table9[[#This Row],[Potential New Sectors
(50%)]]&gt;5, 4, Table9[[#This Row],[Potential New Sectors
(50%)]]&lt;2,0, TRUE, 2)</f>
        <v>0</v>
      </c>
      <c r="AL66" s="529">
        <f>Table9[[#This Row],[Potential New Sectors Score]]*'Detailed Rubric V3'!$F$25</f>
        <v>0</v>
      </c>
      <c r="AM66" s="232">
        <f>(Table9[[#This Row],[Existing Sectors Weighted Score]]+Table9[[#This Row],[Potential New Sectors Weighted Score]])*'Detailed Rubric V3'!$C$23</f>
        <v>0.3</v>
      </c>
      <c r="AN66" s="530">
        <f>SUM(Table9[[#This Row],[1.1. Land Details (20% weightage)]],Table9[[#This Row],[1.2. BEZA Existing plans (15% weightage)]],Table9[[#This Row],[1.3. Sector Demand (15% weightage):]])</f>
        <v>0.42</v>
      </c>
      <c r="AO66" s="531">
        <f>_xlfn.RANK.EQ(Table9[[#This Row],[Level 1 Score]],$AN$3:$AN$103)</f>
        <v>62</v>
      </c>
      <c r="AP66" s="280"/>
      <c r="AQ66" s="280" cm="1">
        <f t="array" ref="AQ66">_xlfn.IFS(Table9[[#This Row],[National Highway Connectivity (km)
(15%)]]="", 0, Table9[[#This Row],[National Highway Connectivity (km)
(15%)]]&gt;50, 0, Table9[[#This Row],[National Highway Connectivity (km)
(15%)]]&lt;=25, 4, TRUE, 2)</f>
        <v>0</v>
      </c>
      <c r="AR66" s="280">
        <f>Table9[[#This Row],[National Highway Connectivity Score]]*'Detailed Rubric V3'!$C$35</f>
        <v>0</v>
      </c>
      <c r="AS66" s="280"/>
      <c r="AT66" s="280" cm="1">
        <f t="array" ref="AT66">_xlfn.IFS(Table9[[#This Row],[Connecting Road to Highway (km)
(15%)]]="", 0, Table9[[#This Row],[Connecting Road to Highway (km)
(15%)]]="Yes", 4, TRUE, 0)</f>
        <v>0</v>
      </c>
      <c r="AU66" s="280">
        <f>Table9[[#This Row],[Connecting Road to Highway Score]]*'Detailed Rubric V3'!$F$35</f>
        <v>0</v>
      </c>
      <c r="AV66" s="280"/>
      <c r="AW66" s="280" cm="1">
        <f t="array" ref="AW66">_xlfn.IFS(Table9[[#This Row],[Seaport Connectivity (km)
(30%)]]="",0, Table9[[#This Row],[Seaport Connectivity (km)
(30%)]]&gt;400, 0,Table9[[#This Row],[Seaport Connectivity (km)
(30%)]]&lt;=200,4, TRUE, 2)</f>
        <v>0</v>
      </c>
      <c r="AX66" s="280">
        <f>Table9[[#This Row],[Seaport Connectivity Score]]*'Detailed Rubric V3'!$I$35</f>
        <v>0</v>
      </c>
      <c r="AY66" s="280"/>
      <c r="AZ66" s="280" cm="1">
        <f t="array" ref="AZ66">_xlfn.IFS(Table9[[#This Row],[Airport Connectivity (km)
(10%)]]="", 0, Table9[[#This Row],[Airport Connectivity (km)
(10%)]]&gt;200, 0, Table9[[#This Row],[Airport Connectivity (km)
(10%)]]&lt;=100,4,TRUE, 2)</f>
        <v>0</v>
      </c>
      <c r="BA66" s="280">
        <f>Table9[[#This Row],[Airport Connectivity Score]]*'Detailed Rubric V3'!$C$41</f>
        <v>0</v>
      </c>
      <c r="BB66" s="280"/>
      <c r="BC66" s="280" cm="1">
        <f t="array" ref="BC66">_xlfn.IFS(Table9[[#This Row],[Railway Station (km)
(10%)]]="", 0, Table9[[#This Row],[Railway Station (km)
(10%)]]&gt;150, 0,Table9[[#This Row],[Railway Station (km)
(10%)]]&lt;=50,4, TRUE, 2)</f>
        <v>0</v>
      </c>
      <c r="BD66" s="280">
        <f>Table9[[#This Row],[Railway Station Score]]*'Detailed Rubric V3'!$F$41</f>
        <v>0</v>
      </c>
      <c r="BE66" s="280"/>
      <c r="BF66" s="280" cm="1">
        <f t="array" ref="BF66">_xlfn.IFS(Table9[[#This Row],[Inland waterway/ Land port (km)
(20%)]]="", 0, Table9[[#This Row],[Inland waterway/ Land port (km)
(20%)]]&gt;200, 0,Table9[[#This Row],[Inland waterway/ Land port (km)
(20%)]]&lt;=50,4, TRUE, 2)</f>
        <v>0</v>
      </c>
      <c r="BG66" s="280">
        <f>Table9[[#This Row],[Inland waterway/ Land port Score]]*'Detailed Rubric V3'!$I$41</f>
        <v>0</v>
      </c>
      <c r="BH66"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66" s="280"/>
      <c r="BJ66" s="280" cm="1">
        <f t="array" ref="BJ66">_xlfn.IFS(Table9[[#This Row],[Power Station (40%)]]="",0, Table9[[#This Row],[Power Station (40%)]]&gt;100, 0,Table9[[#This Row],[Power Station (40%)]]&lt;=50,4, TRUE, 2)</f>
        <v>0</v>
      </c>
      <c r="BK66" s="280">
        <f>Table9[[#This Row],[Power Station Score]]*'Detailed Rubric V3'!$C$53</f>
        <v>0</v>
      </c>
      <c r="BL66" s="280"/>
      <c r="BM66" s="280" cm="1">
        <f t="array" ref="BM66">IF(ISNUMBER(Table9[[#This Row],[Gas Station (20%)]]), _xlfn.IFS(Table9[[#This Row],[Gas Station (20%)]]="", 0, Table9[[#This Row],[Gas Station (20%)]]&gt;100, 0,Table9[[#This Row],[Gas Station (20%)]]&lt;=50,4, TRUE, 2), 0)</f>
        <v>0</v>
      </c>
      <c r="BN66" s="280">
        <f>Table9[[#This Row],[Gas Station Score]]*'Detailed Rubric V3'!$F$53</f>
        <v>0</v>
      </c>
      <c r="BO66" s="280"/>
      <c r="BP66" s="280" cm="1">
        <f t="array" ref="BP66">IF(ISNUMBER(Table9[[#This Row],[Source of Surface Water (40%)]]), _xlfn.IFS(Table9[[#This Row],[Source of Surface Water (40%)]]="", 0, Table9[[#This Row],[Source of Surface Water (40%)]]&gt;50, 0,Table9[[#This Row],[Source of Surface Water (40%)]]&lt;=20,4, TRUE, 2), 0)</f>
        <v>0</v>
      </c>
      <c r="BQ66" s="280">
        <f>Table9[[#This Row],[Source of Surface Water Score]]*'Detailed Rubric V3'!$I$53</f>
        <v>0</v>
      </c>
      <c r="BR66" s="280">
        <f>SUM(Table9[[#This Row],[Power Station Weighted Score]],Table9[[#This Row],[Gas Station Weighted Score]],Table9[[#This Row],[Source of Surface Water Weighted Score]])*'Detailed Rubric V3'!$C$51</f>
        <v>0</v>
      </c>
      <c r="BS66" s="280"/>
      <c r="BT66" s="280" cm="1">
        <f t="array" ref="BT66">_xlfn.IFS(Table9[[#This Row],[Other BEZA EZ (20%)]]="", 0, Table9[[#This Row],[Other BEZA EZ (20%)]]="Yes", 4, TRUE, 0)</f>
        <v>0</v>
      </c>
      <c r="BU66" s="280">
        <f>Table9[[#This Row],[Other BEZA EZ Score]]*'Detailed Rubric V3'!$C$66</f>
        <v>0</v>
      </c>
      <c r="BV66" s="280"/>
      <c r="BW66" s="280" cm="1">
        <f t="array" ref="BW66">_xlfn.IFS(Table9[[#This Row],[BEPZA/ BHPTA/ BSCIC (20%)]]="", 0, Table9[[#This Row],[BEPZA/ BHPTA/ BSCIC (20%)]]="Yes", 4, TRUE, 0)</f>
        <v>0</v>
      </c>
      <c r="BX66" s="280">
        <f>Table9[[#This Row],[BEPZA/ BHPTA/ BSCIC Score]]*'Detailed Rubric V3'!$F$66</f>
        <v>0</v>
      </c>
      <c r="BY66" s="280"/>
      <c r="BZ66" s="280" cm="1">
        <f t="array" ref="BZ66">_xlfn.IFS(Table9[[#This Row],[Cluster Industries (from SMI) (20%)]]="", 0, Table9[[#This Row],[Cluster Industries (from SMI) (20%)]]&gt;100, 4, Table9[[#This Row],[Cluster Industries (from SMI) (20%)]]&lt;50, 0, TRUE, 2)</f>
        <v>0</v>
      </c>
      <c r="CA66" s="280">
        <f>Table9[[#This Row],[Cluster Industries (from SMI) Score]]*'Detailed Rubric V3'!$I$66</f>
        <v>0</v>
      </c>
      <c r="CB66" s="280"/>
      <c r="CC66" s="280" cm="1">
        <f t="array" ref="CC66">_xlfn.IFS(Table9[[#This Row],[Located on Industrial corridor (40%)]]="", 0, Table9[[#This Row],[Located on Industrial corridor (40%)]]="Yes", 4, TRUE, 0)</f>
        <v>0</v>
      </c>
      <c r="CD66" s="280">
        <f>Table9[[#This Row],[Located on Industrial corridor Score]]*'Detailed Rubric V3'!$L$66</f>
        <v>0</v>
      </c>
      <c r="CE66" s="280">
        <f>SUM(Table9[[#This Row],[Other BEZA EZ Weighted Score]],Table9[[#This Row],[BEPZA/ BHPTA/ BSCIC Weighted Score]],Table9[[#This Row],[Unorganized (from SMI) Weighted Score]],Table9[[#This Row],[Located on Industrial corridor Weighted Score]])*'Detailed Rubric V3'!$C$64</f>
        <v>0</v>
      </c>
      <c r="CF66" s="280"/>
      <c r="CG66" s="280" cm="1">
        <f t="array" ref="CG66">_xlfn.IFS(Table9[[#This Row],[Economic/ Social priority (laggered area) (100%)]]="", 0, Table9[[#This Row],[Economic/ Social priority (laggered area) (100%)]]="Yes", 4, TRUE, 0)</f>
        <v>0</v>
      </c>
      <c r="CH66" s="280">
        <f>Table9[[#This Row],[Economic/ Social priority (laggered area) Score]]*'Detailed Rubric V3'!$C$82</f>
        <v>0</v>
      </c>
      <c r="CI66" s="280"/>
      <c r="CJ66" s="280" cm="1">
        <f t="array" ref="CJ66">_xlfn.IFS(Table9[[#This Row],[Regional Tax incentive  (0%)]]="", 0, Table9[[#This Row],[Regional Tax incentive  (0%)]]="Yes", 4, TRUE, 0)</f>
        <v>0</v>
      </c>
      <c r="CK66" s="280">
        <f>Table9[[#This Row],[Regional Tax incentive Score]]*'Detailed Rubric V3'!$F$82</f>
        <v>0</v>
      </c>
      <c r="CL66" s="280">
        <f>SUM(Table9[[#This Row],[Economic/ Social priority (laagered area) Weighted Score]],Table9[[#This Row],[Regional Tax incentive  Weighted Score]])*'Detailed Rubric V3'!$C$80</f>
        <v>0</v>
      </c>
      <c r="CM66" s="280"/>
      <c r="CN66" s="280" cm="1">
        <f t="array" ref="CN66">_xlfn.IFS(Table9[[#This Row],[Employable population (40%) 2013]]="", 0, Table9[[#This Row],[Employable population (40%) 2013]]&gt;200000, 4, Table9[[#This Row],[Employable population (40%) 2013]]&lt;100000,0, TRUE, 2)</f>
        <v>0</v>
      </c>
      <c r="CO66" s="280">
        <f>Table9[[#This Row],[Employable population Score]]*'Detailed Rubric V3'!$C$92</f>
        <v>0</v>
      </c>
      <c r="CP66" s="280"/>
      <c r="CQ66" s="280" cm="1">
        <f t="array" ref="CQ66">_xlfn.IFS(Table9[[#This Row],[Housing (20%)]]="", 0, Table9[[#This Row],[Housing (20%)]]&gt;50, 0, Table9[[#This Row],[Housing (20%)]]&lt;25, 4, TRUE, 2)</f>
        <v>0</v>
      </c>
      <c r="CR66" s="280">
        <f>Table9[[#This Row],[Housing Score]]*'Detailed Rubric V3'!$F$92</f>
        <v>0</v>
      </c>
      <c r="CS66" s="280"/>
      <c r="CT66" s="280" cm="1">
        <f t="array" ref="CT66">_xlfn.IFS(Table9[[#This Row],[Hotels (10%)]]="", 0, Table9[[#This Row],[Hotels (10%)]]&gt;25, 4, Table9[[#This Row],[Hotels (10%)]]&lt;5, 0, TRUE, 2)</f>
        <v>0</v>
      </c>
      <c r="CU66" s="280">
        <f>Table9[[#This Row],[Hotels Score]]*'Detailed Rubric V3'!$I$92</f>
        <v>0</v>
      </c>
      <c r="CV66" s="280"/>
      <c r="CW66" s="280" cm="1">
        <f t="array" ref="CW66">_xlfn.IFS(Table9[[#This Row],[Health (Hospital) (15%)]]="", 0, Table9[[#This Row],[Health (Hospital) (15%)]]&gt;10, 4, Table9[[#This Row],[Health (Hospital) (15%)]]&lt;5, 0, TRUE, 2)</f>
        <v>0</v>
      </c>
      <c r="CX66" s="280">
        <f>Table9[[#This Row],[Health (Hospital) Score]]*'Detailed Rubric V3'!$L$92</f>
        <v>0</v>
      </c>
      <c r="CY66" s="280"/>
      <c r="CZ66" s="280" cm="1">
        <f t="array" ref="CZ66">_xlfn.IFS(Table9[[#This Row],[University/ Technical &amp; Vocational Institutions (15%)]]="", 0, Table9[[#This Row],[University/ Technical &amp; Vocational Institutions (15%)]]&gt;3, 4, Table9[[#This Row],[University/ Technical &amp; Vocational Institutions (15%)]]&lt;1, 0, TRUE, 2)</f>
        <v>0</v>
      </c>
      <c r="DA66" s="280">
        <f>Table9[[#This Row],[University/ Technical &amp; Vocational Institutions Score]]*'Detailed Rubric V3'!$O$92</f>
        <v>0</v>
      </c>
      <c r="DB66"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66" s="280"/>
      <c r="DD66" s="280" cm="1">
        <f t="array" ref="DD66">_xlfn.IFS(Table9[[#This Row],[Environment compliance (30%)]]="", 0, Table9[[#This Row],[Environment compliance (30%)]]="Yes", 4, TRUE, 0)</f>
        <v>0</v>
      </c>
      <c r="DE66" s="280">
        <f>Table9[[#This Row],[Environment compliance Score]]*'Detailed Rubric V3'!$C$104</f>
        <v>0</v>
      </c>
      <c r="DF66" s="280" t="s">
        <v>428</v>
      </c>
      <c r="DG66" s="280" cm="1">
        <f t="array" ref="DG66">_xlfn.IFS(Table9[[#This Row],[Flood Risk Index (30%)]]="", 0, Table9[[#This Row],[Flood Risk Index (30%)]]="Very Low", 4, Table9[[#This Row],[Flood Risk Index (30%)]]="Moderate &amp; Low", 2, TRUE, 0)</f>
        <v>4</v>
      </c>
      <c r="DH66" s="280">
        <f>Table9[[#This Row],[Flood Risk Index Score]]*'Detailed Rubric V3'!$F$104</f>
        <v>1.2</v>
      </c>
      <c r="DI66" s="280" t="s">
        <v>419</v>
      </c>
      <c r="DJ66" s="280" cm="1">
        <f t="array" ref="DJ66">_xlfn.IFS(Table9[[#This Row],[Earth Quake Risk Index (10%)]]="", 0, Table9[[#This Row],[Earth Quake Risk Index (10%)]]="Very Low", 4, Table9[[#This Row],[Earth Quake Risk Index (10%)]]="Moderate &amp; Low", 2, TRUE, 0)</f>
        <v>2</v>
      </c>
      <c r="DK66" s="280">
        <f>Table9[[#This Row],[Earth Quake Risk Index Score]]*'Detailed Rubric V3'!$I$104</f>
        <v>0.2</v>
      </c>
      <c r="DL66" s="280" t="s">
        <v>428</v>
      </c>
      <c r="DM66" s="280" cm="1">
        <f t="array" ref="DM66">_xlfn.IFS(Table9[[#This Row],[Sea Level Rise Risk Index (10%)]]="", 0, Table9[[#This Row],[Sea Level Rise Risk Index (10%)]]="Very Low", 4, Table9[[#This Row],[Sea Level Rise Risk Index (10%)]]="Moderate &amp; Low", 2, TRUE, 0)</f>
        <v>4</v>
      </c>
      <c r="DN66" s="280">
        <f>Table9[[#This Row],[Sea Level Rise  Risk Index Score]]*'Detailed Rubric V3'!$L$104</f>
        <v>0.4</v>
      </c>
      <c r="DO66" s="280" t="s">
        <v>419</v>
      </c>
      <c r="DP66" s="280" cm="1">
        <f t="array" ref="DP66">_xlfn.IFS(Table9[[#This Row],[Cyclone Risk Index (10%)]]="", 0, Table9[[#This Row],[Cyclone Risk Index (10%)]]="Very Low", 4, Table9[[#This Row],[Cyclone Risk Index (10%)]]="Moderate &amp; Low", 2, TRUE, 0)</f>
        <v>2</v>
      </c>
      <c r="DQ66" s="280">
        <f>Table9[[#This Row],[Cyclone Risk Index Score]]*'Detailed Rubric V3'!$O$104</f>
        <v>0.2</v>
      </c>
      <c r="DR66" s="280" t="s">
        <v>428</v>
      </c>
      <c r="DS66" s="280" cm="1">
        <f t="array" ref="DS66">_xlfn.IFS(Table9[[#This Row],[Storm Surge Risk Index (10%)]]="", 0, Table9[[#This Row],[Storm Surge Risk Index (10%)]]="Very Low", 4, Table9[[#This Row],[Storm Surge Risk Index (10%)]]="Moderate &amp; Low", 2, TRUE, 0)</f>
        <v>4</v>
      </c>
      <c r="DT66" s="280">
        <f>Table9[[#This Row],[Storm Surge Risk Index Score]]*'Detailed Rubric V3'!$R$104</f>
        <v>0.4</v>
      </c>
      <c r="DU66"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0.14399999999999999</v>
      </c>
      <c r="DV66" s="309">
        <f>SUM(Table9[[#This Row],[2.1. Connectivity/ Logistics (10% weightage)]],Table9[[#This Row],[2.2. Utility (12% weightage)]],Table9[[#This Row],[2.3. Agglomeration effects (10% weightage)]],Table9[[#This Row],[2.4. Regional Policy (4% weightage)]],Table9[[#This Row],[2.5. Social (8% weightage)]],Table9[[#This Row],[2.6. Environment (6% weightage)]])</f>
        <v>0.14399999999999999</v>
      </c>
      <c r="DW66" s="280">
        <f>_xlfn.RANK.EQ(Table9[[#This Row],[Level 2 Score]],$DV$3:$DV$103)</f>
        <v>54</v>
      </c>
      <c r="DX66" s="302">
        <f>Table9[[#This Row],[Level 1 Score]]+Table9[[#This Row],[Level 2 Score]]</f>
        <v>0.56399999999999995</v>
      </c>
      <c r="DY66" s="294">
        <f>_xlfn.RANK.EQ(Table9[[#This Row],[Total Score]],$DX$3:$DX$103)</f>
        <v>64</v>
      </c>
      <c r="DZ66" s="237" t="str">
        <f>IF(Table9[[#This Row],[Count of Blanks]]&lt;=2, "Yes", "No")</f>
        <v>No</v>
      </c>
      <c r="EA66" s="237">
        <f>COUNTBLANK(Table9[[#This Row],[Name]:[Total Score Rank]])</f>
        <v>23</v>
      </c>
      <c r="EB66" s="237"/>
    </row>
    <row r="67" spans="2:132" ht="27" x14ac:dyDescent="0.25">
      <c r="B67" s="220">
        <v>23</v>
      </c>
      <c r="C67" s="221" t="s">
        <v>186</v>
      </c>
      <c r="D67" s="220" t="s">
        <v>84</v>
      </c>
      <c r="E67" s="220" t="s">
        <v>84</v>
      </c>
      <c r="F67" s="220" t="s">
        <v>187</v>
      </c>
      <c r="G67" s="220" t="s">
        <v>70</v>
      </c>
      <c r="H67" s="525" t="s">
        <v>430</v>
      </c>
      <c r="I67" s="70" t="s">
        <v>464</v>
      </c>
      <c r="J67" s="227" t="s">
        <v>444</v>
      </c>
      <c r="K67" s="220">
        <f>IFERROR(VLOOKUP(Table9[[#This Row],[Land Availability (Grade)​
(50%)]],'Detailed Rubric V3'!$B$8:$C$11,2), 0)</f>
        <v>0</v>
      </c>
      <c r="L67" s="220">
        <f>IFERROR(Table9[[#This Row],[Land Availability (Grade)​ Score]]*'Detailed Rubric V3'!$C$6, "")</f>
        <v>0</v>
      </c>
      <c r="M67" s="222">
        <v>509.64</v>
      </c>
      <c r="N67" s="222" cm="1">
        <f t="array" ref="N67">_xlfn.IFS(Table9[[#This Row],[Land Size (Acres)
(15%)]]&lt;100,0,Table9[[#This Row],[Land Size (Acres)
(15%)]]&gt;500,4,TRUE,2)</f>
        <v>4</v>
      </c>
      <c r="O67" s="222">
        <f>Table9[[#This Row],[Land Size (Acres) Score]]*'Detailed Rubric V3'!$G$6</f>
        <v>0.6</v>
      </c>
      <c r="P67" s="526"/>
      <c r="Q67" s="526">
        <f>IFERROR(Table9[[#This Row],[Site Filling Cost (Mn BDT)]]/Table9[[#This Row],[Land Size (Acres)
(15%)]],"")</f>
        <v>0</v>
      </c>
      <c r="R67" s="526" cm="1">
        <f t="array" ref="R67">IF(Table9[[#This Row],[Name]]="Sitakundo Economic Zone", 4, _xlfn.IFS(Table9[[#This Row],[Site Filling Cost (Mn BDT)]]="",0,Table9[[#This Row],[Land Suitability
(Cost of Land Filling in Million BDT per acre)
(25%)]]&gt;5,0,Table9[[#This Row],[Land Suitability
(Cost of Land Filling in Million BDT per acre)
(25%)]]&lt;2,4,TRUE,2))</f>
        <v>0</v>
      </c>
      <c r="S67" s="526">
        <f>Table9[[#This Row],[Land Suitability for Construction Score]]*'Detailed Rubric V3'!$J$6</f>
        <v>0</v>
      </c>
      <c r="T67" s="526"/>
      <c r="U67" s="526">
        <f>IFERROR(Table9[[#This Row],[Embankment/Dyke Cost (Mn BDT)]]/Table9[[#This Row],[Land Size (Acres)
(15%)]], 0)</f>
        <v>0</v>
      </c>
      <c r="V67" s="526" cm="1">
        <f t="array" ref="V67">IF(Table9[[#This Row],[Name]]="Sitakundo Economic Zone", 2, _xlfn.IFS(Table9[[#This Row],[Embankment/Dyke Cost (Mn BDT)]]="",0,Table9[[#This Row],[Cost of DRRI Infrastructure in million BDT per acre
(10%)]]&gt;5,0,Table9[[#This Row],[Cost of DRRI Infrastructure in million BDT per acre
(10%)]]&lt;2,4,TRUE,2))</f>
        <v>0</v>
      </c>
      <c r="W67" s="526">
        <f>Table9[[#This Row],[Requirement for Distaster Risk Reduction &amp; Resilience Infrastructure Score]]*'Detailed Rubric V3'!$M$6</f>
        <v>0</v>
      </c>
      <c r="X67"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67" s="452" t="s">
        <v>436</v>
      </c>
      <c r="Z67" s="210">
        <f>IFERROR(VLOOKUP(Table9[[#This Row],[Zone Priority
(40%)]],'Detailed Rubric V3'!$B$18:$C$21, 2,FALSE), 0)</f>
        <v>0</v>
      </c>
      <c r="AA67" s="210">
        <f>IFERROR(Table9[[#This Row],[Zone Priority Score]]*'Detailed Rubric V3'!$C$16, 0)</f>
        <v>0</v>
      </c>
      <c r="AB67" s="237" t="s">
        <v>441</v>
      </c>
      <c r="AC67" s="237">
        <f>VLOOKUP(Table9[[#This Row],[Existing BEZA Report
(60%)]],'Detailed Rubric V3'!$E$18:$F$20,2,FALSE)</f>
        <v>0</v>
      </c>
      <c r="AD67" s="237">
        <f>Table9[[#This Row],[Existing BEZA Report Score]]*'Detailed Rubric V3'!F$16</f>
        <v>0</v>
      </c>
      <c r="AE67" s="237">
        <f>(Table9[[#This Row],[Zone Priority Weighted Score]]+Table9[[#This Row],[Existing BEZA Report Weighted Score]])*'Detailed Rubric V3'!$C$14</f>
        <v>0</v>
      </c>
      <c r="AF67" s="528">
        <v>10</v>
      </c>
      <c r="AG67" s="529" cm="1">
        <f t="array" ref="AG67">_xlfn.IFS(Table9[[#This Row],[Existing Sectors
(50%)]]&gt;10, 4,Table9[[#This Row],[Existing Sectors
(50%)]]&lt;5, 0, TRUE, 2)</f>
        <v>2</v>
      </c>
      <c r="AH67" s="529">
        <f>Table9[[#This Row],[Existing Sectors Score]]*'Detailed Rubric V3'!$C$25</f>
        <v>1</v>
      </c>
      <c r="AI67" s="529">
        <v>15</v>
      </c>
      <c r="AJ67" s="529">
        <v>5</v>
      </c>
      <c r="AK67" s="529" cm="1">
        <f t="array" ref="AK67">_xlfn.IFS(Table9[[#This Row],[Potential New Sectors
(50%)]]&gt;5, 4, Table9[[#This Row],[Potential New Sectors
(50%)]]&lt;2,0, TRUE, 2)</f>
        <v>2</v>
      </c>
      <c r="AL67" s="529">
        <f>Table9[[#This Row],[Potential New Sectors Score]]*'Detailed Rubric V3'!$F$25</f>
        <v>1</v>
      </c>
      <c r="AM67" s="232">
        <f>(Table9[[#This Row],[Existing Sectors Weighted Score]]+Table9[[#This Row],[Potential New Sectors Weighted Score]])*'Detailed Rubric V3'!$C$23</f>
        <v>0.3</v>
      </c>
      <c r="AN67" s="530">
        <f>SUM(Table9[[#This Row],[1.1. Land Details (20% weightage)]],Table9[[#This Row],[1.2. BEZA Existing plans (15% weightage)]],Table9[[#This Row],[1.3. Sector Demand (15% weightage):]])</f>
        <v>0.42</v>
      </c>
      <c r="AO67" s="531">
        <f>_xlfn.RANK.EQ(Table9[[#This Row],[Level 1 Score]],$AN$3:$AN$103)</f>
        <v>62</v>
      </c>
      <c r="AP67" s="280"/>
      <c r="AQ67" s="280" cm="1">
        <f t="array" ref="AQ67">_xlfn.IFS(Table9[[#This Row],[National Highway Connectivity (km)
(15%)]]="", 0, Table9[[#This Row],[National Highway Connectivity (km)
(15%)]]&gt;50, 0, Table9[[#This Row],[National Highway Connectivity (km)
(15%)]]&lt;=25, 4, TRUE, 2)</f>
        <v>0</v>
      </c>
      <c r="AR67" s="280">
        <f>Table9[[#This Row],[National Highway Connectivity Score]]*'Detailed Rubric V3'!$C$35</f>
        <v>0</v>
      </c>
      <c r="AS67" s="280"/>
      <c r="AT67" s="280" cm="1">
        <f t="array" ref="AT67">_xlfn.IFS(Table9[[#This Row],[Connecting Road to Highway (km)
(15%)]]="", 0, Table9[[#This Row],[Connecting Road to Highway (km)
(15%)]]="Yes", 4, TRUE, 0)</f>
        <v>0</v>
      </c>
      <c r="AU67" s="280">
        <f>Table9[[#This Row],[Connecting Road to Highway Score]]*'Detailed Rubric V3'!$F$35</f>
        <v>0</v>
      </c>
      <c r="AV67" s="280"/>
      <c r="AW67" s="280" cm="1">
        <f t="array" ref="AW67">_xlfn.IFS(Table9[[#This Row],[Seaport Connectivity (km)
(30%)]]="",0, Table9[[#This Row],[Seaport Connectivity (km)
(30%)]]&gt;400, 0,Table9[[#This Row],[Seaport Connectivity (km)
(30%)]]&lt;=200,4, TRUE, 2)</f>
        <v>0</v>
      </c>
      <c r="AX67" s="280">
        <f>Table9[[#This Row],[Seaport Connectivity Score]]*'Detailed Rubric V3'!$I$35</f>
        <v>0</v>
      </c>
      <c r="AY67" s="280"/>
      <c r="AZ67" s="280" cm="1">
        <f t="array" ref="AZ67">_xlfn.IFS(Table9[[#This Row],[Airport Connectivity (km)
(10%)]]="", 0, Table9[[#This Row],[Airport Connectivity (km)
(10%)]]&gt;200, 0, Table9[[#This Row],[Airport Connectivity (km)
(10%)]]&lt;=100,4,TRUE, 2)</f>
        <v>0</v>
      </c>
      <c r="BA67" s="280">
        <f>Table9[[#This Row],[Airport Connectivity Score]]*'Detailed Rubric V3'!$C$41</f>
        <v>0</v>
      </c>
      <c r="BB67" s="280"/>
      <c r="BC67" s="280" cm="1">
        <f t="array" ref="BC67">_xlfn.IFS(Table9[[#This Row],[Railway Station (km)
(10%)]]="", 0, Table9[[#This Row],[Railway Station (km)
(10%)]]&gt;150, 0,Table9[[#This Row],[Railway Station (km)
(10%)]]&lt;=50,4, TRUE, 2)</f>
        <v>0</v>
      </c>
      <c r="BD67" s="280">
        <f>Table9[[#This Row],[Railway Station Score]]*'Detailed Rubric V3'!$F$41</f>
        <v>0</v>
      </c>
      <c r="BE67" s="280"/>
      <c r="BF67" s="280" cm="1">
        <f t="array" ref="BF67">_xlfn.IFS(Table9[[#This Row],[Inland waterway/ Land port (km)
(20%)]]="", 0, Table9[[#This Row],[Inland waterway/ Land port (km)
(20%)]]&gt;200, 0,Table9[[#This Row],[Inland waterway/ Land port (km)
(20%)]]&lt;=50,4, TRUE, 2)</f>
        <v>0</v>
      </c>
      <c r="BG67" s="280">
        <f>Table9[[#This Row],[Inland waterway/ Land port Score]]*'Detailed Rubric V3'!$I$41</f>
        <v>0</v>
      </c>
      <c r="BH67"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67" s="280"/>
      <c r="BJ67" s="280" cm="1">
        <f t="array" ref="BJ67">_xlfn.IFS(Table9[[#This Row],[Power Station (40%)]]="",0, Table9[[#This Row],[Power Station (40%)]]&gt;100, 0,Table9[[#This Row],[Power Station (40%)]]&lt;=50,4, TRUE, 2)</f>
        <v>0</v>
      </c>
      <c r="BK67" s="280">
        <f>Table9[[#This Row],[Power Station Score]]*'Detailed Rubric V3'!$C$53</f>
        <v>0</v>
      </c>
      <c r="BL67" s="280"/>
      <c r="BM67" s="280" cm="1">
        <f t="array" ref="BM67">IF(ISNUMBER(Table9[[#This Row],[Gas Station (20%)]]), _xlfn.IFS(Table9[[#This Row],[Gas Station (20%)]]="", 0, Table9[[#This Row],[Gas Station (20%)]]&gt;100, 0,Table9[[#This Row],[Gas Station (20%)]]&lt;=50,4, TRUE, 2), 0)</f>
        <v>0</v>
      </c>
      <c r="BN67" s="280">
        <f>Table9[[#This Row],[Gas Station Score]]*'Detailed Rubric V3'!$F$53</f>
        <v>0</v>
      </c>
      <c r="BO67" s="280"/>
      <c r="BP67" s="280" cm="1">
        <f t="array" ref="BP67">IF(ISNUMBER(Table9[[#This Row],[Source of Surface Water (40%)]]), _xlfn.IFS(Table9[[#This Row],[Source of Surface Water (40%)]]="", 0, Table9[[#This Row],[Source of Surface Water (40%)]]&gt;50, 0,Table9[[#This Row],[Source of Surface Water (40%)]]&lt;=20,4, TRUE, 2), 0)</f>
        <v>0</v>
      </c>
      <c r="BQ67" s="280">
        <f>Table9[[#This Row],[Source of Surface Water Score]]*'Detailed Rubric V3'!$I$53</f>
        <v>0</v>
      </c>
      <c r="BR67" s="280">
        <f>SUM(Table9[[#This Row],[Power Station Weighted Score]],Table9[[#This Row],[Gas Station Weighted Score]],Table9[[#This Row],[Source of Surface Water Weighted Score]])*'Detailed Rubric V3'!$C$51</f>
        <v>0</v>
      </c>
      <c r="BS67" s="280"/>
      <c r="BT67" s="280" cm="1">
        <f t="array" ref="BT67">_xlfn.IFS(Table9[[#This Row],[Other BEZA EZ (20%)]]="", 0, Table9[[#This Row],[Other BEZA EZ (20%)]]="Yes", 4, TRUE, 0)</f>
        <v>0</v>
      </c>
      <c r="BU67" s="280">
        <f>Table9[[#This Row],[Other BEZA EZ Score]]*'Detailed Rubric V3'!$C$66</f>
        <v>0</v>
      </c>
      <c r="BV67" s="280"/>
      <c r="BW67" s="280" cm="1">
        <f t="array" ref="BW67">_xlfn.IFS(Table9[[#This Row],[BEPZA/ BHPTA/ BSCIC (20%)]]="", 0, Table9[[#This Row],[BEPZA/ BHPTA/ BSCIC (20%)]]="Yes", 4, TRUE, 0)</f>
        <v>0</v>
      </c>
      <c r="BX67" s="280">
        <f>Table9[[#This Row],[BEPZA/ BHPTA/ BSCIC Score]]*'Detailed Rubric V3'!$F$66</f>
        <v>0</v>
      </c>
      <c r="BY67" s="280"/>
      <c r="BZ67" s="280" cm="1">
        <f t="array" ref="BZ67">_xlfn.IFS(Table9[[#This Row],[Cluster Industries (from SMI) (20%)]]="", 0, Table9[[#This Row],[Cluster Industries (from SMI) (20%)]]&gt;100, 4, Table9[[#This Row],[Cluster Industries (from SMI) (20%)]]&lt;50, 0, TRUE, 2)</f>
        <v>0</v>
      </c>
      <c r="CA67" s="280">
        <f>Table9[[#This Row],[Cluster Industries (from SMI) Score]]*'Detailed Rubric V3'!$I$66</f>
        <v>0</v>
      </c>
      <c r="CB67" s="280"/>
      <c r="CC67" s="280" cm="1">
        <f t="array" ref="CC67">_xlfn.IFS(Table9[[#This Row],[Located on Industrial corridor (40%)]]="", 0, Table9[[#This Row],[Located on Industrial corridor (40%)]]="Yes", 4, TRUE, 0)</f>
        <v>0</v>
      </c>
      <c r="CD67" s="280">
        <f>Table9[[#This Row],[Located on Industrial corridor Score]]*'Detailed Rubric V3'!$L$66</f>
        <v>0</v>
      </c>
      <c r="CE67" s="280">
        <f>SUM(Table9[[#This Row],[Other BEZA EZ Weighted Score]],Table9[[#This Row],[BEPZA/ BHPTA/ BSCIC Weighted Score]],Table9[[#This Row],[Unorganized (from SMI) Weighted Score]],Table9[[#This Row],[Located on Industrial corridor Weighted Score]])*'Detailed Rubric V3'!$C$64</f>
        <v>0</v>
      </c>
      <c r="CF67" s="280"/>
      <c r="CG67" s="280" cm="1">
        <f t="array" ref="CG67">_xlfn.IFS(Table9[[#This Row],[Economic/ Social priority (laggered area) (100%)]]="", 0, Table9[[#This Row],[Economic/ Social priority (laggered area) (100%)]]="Yes", 4, TRUE, 0)</f>
        <v>0</v>
      </c>
      <c r="CH67" s="280">
        <f>Table9[[#This Row],[Economic/ Social priority (laggered area) Score]]*'Detailed Rubric V3'!$C$82</f>
        <v>0</v>
      </c>
      <c r="CI67" s="280"/>
      <c r="CJ67" s="280" cm="1">
        <f t="array" ref="CJ67">_xlfn.IFS(Table9[[#This Row],[Regional Tax incentive  (0%)]]="", 0, Table9[[#This Row],[Regional Tax incentive  (0%)]]="Yes", 4, TRUE, 0)</f>
        <v>0</v>
      </c>
      <c r="CK67" s="280">
        <f>Table9[[#This Row],[Regional Tax incentive Score]]*'Detailed Rubric V3'!$F$82</f>
        <v>0</v>
      </c>
      <c r="CL67" s="280">
        <f>SUM(Table9[[#This Row],[Economic/ Social priority (laagered area) Weighted Score]],Table9[[#This Row],[Regional Tax incentive  Weighted Score]])*'Detailed Rubric V3'!$C$80</f>
        <v>0</v>
      </c>
      <c r="CM67" s="280"/>
      <c r="CN67" s="280" cm="1">
        <f t="array" ref="CN67">_xlfn.IFS(Table9[[#This Row],[Employable population (40%) 2013]]="", 0, Table9[[#This Row],[Employable population (40%) 2013]]&gt;200000, 4, Table9[[#This Row],[Employable population (40%) 2013]]&lt;100000,0, TRUE, 2)</f>
        <v>0</v>
      </c>
      <c r="CO67" s="280">
        <f>Table9[[#This Row],[Employable population Score]]*'Detailed Rubric V3'!$C$92</f>
        <v>0</v>
      </c>
      <c r="CP67" s="280"/>
      <c r="CQ67" s="280" cm="1">
        <f t="array" ref="CQ67">_xlfn.IFS(Table9[[#This Row],[Housing (20%)]]="", 0, Table9[[#This Row],[Housing (20%)]]&gt;50, 0, Table9[[#This Row],[Housing (20%)]]&lt;25, 4, TRUE, 2)</f>
        <v>0</v>
      </c>
      <c r="CR67" s="280">
        <f>Table9[[#This Row],[Housing Score]]*'Detailed Rubric V3'!$F$92</f>
        <v>0</v>
      </c>
      <c r="CS67" s="280"/>
      <c r="CT67" s="280" cm="1">
        <f t="array" ref="CT67">_xlfn.IFS(Table9[[#This Row],[Hotels (10%)]]="", 0, Table9[[#This Row],[Hotels (10%)]]&gt;25, 4, Table9[[#This Row],[Hotels (10%)]]&lt;5, 0, TRUE, 2)</f>
        <v>0</v>
      </c>
      <c r="CU67" s="280">
        <f>Table9[[#This Row],[Hotels Score]]*'Detailed Rubric V3'!$I$92</f>
        <v>0</v>
      </c>
      <c r="CV67" s="280"/>
      <c r="CW67" s="280" cm="1">
        <f t="array" ref="CW67">_xlfn.IFS(Table9[[#This Row],[Health (Hospital) (15%)]]="", 0, Table9[[#This Row],[Health (Hospital) (15%)]]&gt;10, 4, Table9[[#This Row],[Health (Hospital) (15%)]]&lt;5, 0, TRUE, 2)</f>
        <v>0</v>
      </c>
      <c r="CX67" s="280">
        <f>Table9[[#This Row],[Health (Hospital) Score]]*'Detailed Rubric V3'!$L$92</f>
        <v>0</v>
      </c>
      <c r="CY67" s="280"/>
      <c r="CZ67" s="280" cm="1">
        <f t="array" ref="CZ67">_xlfn.IFS(Table9[[#This Row],[University/ Technical &amp; Vocational Institutions (15%)]]="", 0, Table9[[#This Row],[University/ Technical &amp; Vocational Institutions (15%)]]&gt;3, 4, Table9[[#This Row],[University/ Technical &amp; Vocational Institutions (15%)]]&lt;1, 0, TRUE, 2)</f>
        <v>0</v>
      </c>
      <c r="DA67" s="280">
        <f>Table9[[#This Row],[University/ Technical &amp; Vocational Institutions Score]]*'Detailed Rubric V3'!$O$92</f>
        <v>0</v>
      </c>
      <c r="DB67"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67" s="280"/>
      <c r="DD67" s="280" cm="1">
        <f t="array" ref="DD67">_xlfn.IFS(Table9[[#This Row],[Environment compliance (30%)]]="", 0, Table9[[#This Row],[Environment compliance (30%)]]="Yes", 4, TRUE, 0)</f>
        <v>0</v>
      </c>
      <c r="DE67" s="280">
        <f>Table9[[#This Row],[Environment compliance Score]]*'Detailed Rubric V3'!$C$104</f>
        <v>0</v>
      </c>
      <c r="DF67" s="280" t="s">
        <v>428</v>
      </c>
      <c r="DG67" s="280" cm="1">
        <f t="array" ref="DG67">_xlfn.IFS(Table9[[#This Row],[Flood Risk Index (30%)]]="", 0, Table9[[#This Row],[Flood Risk Index (30%)]]="Very Low", 4, Table9[[#This Row],[Flood Risk Index (30%)]]="Moderate &amp; Low", 2, TRUE, 0)</f>
        <v>4</v>
      </c>
      <c r="DH67" s="280">
        <f>Table9[[#This Row],[Flood Risk Index Score]]*'Detailed Rubric V3'!$F$104</f>
        <v>1.2</v>
      </c>
      <c r="DI67" s="280" t="s">
        <v>428</v>
      </c>
      <c r="DJ67" s="280" cm="1">
        <f t="array" ref="DJ67">_xlfn.IFS(Table9[[#This Row],[Earth Quake Risk Index (10%)]]="", 0, Table9[[#This Row],[Earth Quake Risk Index (10%)]]="Very Low", 4, Table9[[#This Row],[Earth Quake Risk Index (10%)]]="Moderate &amp; Low", 2, TRUE, 0)</f>
        <v>4</v>
      </c>
      <c r="DK67" s="280">
        <f>Table9[[#This Row],[Earth Quake Risk Index Score]]*'Detailed Rubric V3'!$I$104</f>
        <v>0.4</v>
      </c>
      <c r="DL67" s="280" t="s">
        <v>419</v>
      </c>
      <c r="DM67" s="280" cm="1">
        <f t="array" ref="DM67">_xlfn.IFS(Table9[[#This Row],[Sea Level Rise Risk Index (10%)]]="", 0, Table9[[#This Row],[Sea Level Rise Risk Index (10%)]]="Very Low", 4, Table9[[#This Row],[Sea Level Rise Risk Index (10%)]]="Moderate &amp; Low", 2, TRUE, 0)</f>
        <v>2</v>
      </c>
      <c r="DN67" s="280">
        <f>Table9[[#This Row],[Sea Level Rise  Risk Index Score]]*'Detailed Rubric V3'!$L$104</f>
        <v>0.2</v>
      </c>
      <c r="DO67" s="280" t="s">
        <v>419</v>
      </c>
      <c r="DP67" s="280" cm="1">
        <f t="array" ref="DP67">_xlfn.IFS(Table9[[#This Row],[Cyclone Risk Index (10%)]]="", 0, Table9[[#This Row],[Cyclone Risk Index (10%)]]="Very Low", 4, Table9[[#This Row],[Cyclone Risk Index (10%)]]="Moderate &amp; Low", 2, TRUE, 0)</f>
        <v>2</v>
      </c>
      <c r="DQ67" s="280">
        <f>Table9[[#This Row],[Cyclone Risk Index Score]]*'Detailed Rubric V3'!$O$104</f>
        <v>0.2</v>
      </c>
      <c r="DR67" s="280" t="s">
        <v>419</v>
      </c>
      <c r="DS67" s="280" cm="1">
        <f t="array" ref="DS67">_xlfn.IFS(Table9[[#This Row],[Storm Surge Risk Index (10%)]]="", 0, Table9[[#This Row],[Storm Surge Risk Index (10%)]]="Very Low", 4, Table9[[#This Row],[Storm Surge Risk Index (10%)]]="Moderate &amp; Low", 2, TRUE, 0)</f>
        <v>2</v>
      </c>
      <c r="DT67" s="280">
        <f>Table9[[#This Row],[Storm Surge Risk Index Score]]*'Detailed Rubric V3'!$R$104</f>
        <v>0.2</v>
      </c>
      <c r="DU67"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0.13200000000000001</v>
      </c>
      <c r="DV67" s="309">
        <f>SUM(Table9[[#This Row],[2.1. Connectivity/ Logistics (10% weightage)]],Table9[[#This Row],[2.2. Utility (12% weightage)]],Table9[[#This Row],[2.3. Agglomeration effects (10% weightage)]],Table9[[#This Row],[2.4. Regional Policy (4% weightage)]],Table9[[#This Row],[2.5. Social (8% weightage)]],Table9[[#This Row],[2.6. Environment (6% weightage)]])</f>
        <v>0.13200000000000001</v>
      </c>
      <c r="DW67" s="280">
        <f>_xlfn.RANK.EQ(Table9[[#This Row],[Level 2 Score]],$DV$3:$DV$103)</f>
        <v>55</v>
      </c>
      <c r="DX67" s="302">
        <f>Table9[[#This Row],[Level 1 Score]]+Table9[[#This Row],[Level 2 Score]]</f>
        <v>0.55200000000000005</v>
      </c>
      <c r="DY67" s="294">
        <f>_xlfn.RANK.EQ(Table9[[#This Row],[Total Score]],$DX$3:$DX$103)</f>
        <v>65</v>
      </c>
      <c r="DZ67" s="237" t="str">
        <f>IF(Table9[[#This Row],[Count of Blanks]]&lt;=2, "Yes", "No")</f>
        <v>No</v>
      </c>
      <c r="EA67" s="237">
        <f>COUNTBLANK(Table9[[#This Row],[Name]:[Total Score Rank]])</f>
        <v>23</v>
      </c>
      <c r="EB67" s="237"/>
    </row>
    <row r="68" spans="2:132" ht="27" x14ac:dyDescent="0.25">
      <c r="B68" s="220">
        <v>25</v>
      </c>
      <c r="C68" s="221" t="s">
        <v>204</v>
      </c>
      <c r="D68" s="220" t="s">
        <v>76</v>
      </c>
      <c r="E68" s="220" t="s">
        <v>205</v>
      </c>
      <c r="F68" s="220" t="s">
        <v>206</v>
      </c>
      <c r="G68" s="220" t="s">
        <v>70</v>
      </c>
      <c r="H68" s="525" t="s">
        <v>431</v>
      </c>
      <c r="I68" s="70" t="s">
        <v>445</v>
      </c>
      <c r="J68" s="227" t="s">
        <v>444</v>
      </c>
      <c r="K68" s="220">
        <f>IFERROR(VLOOKUP(Table9[[#This Row],[Land Availability (Grade)​
(50%)]],'Detailed Rubric V3'!$B$8:$C$11,2), 0)</f>
        <v>0</v>
      </c>
      <c r="L68" s="220">
        <f>IFERROR(Table9[[#This Row],[Land Availability (Grade)​ Score]]*'Detailed Rubric V3'!$C$6, "")</f>
        <v>0</v>
      </c>
      <c r="M68" s="222">
        <v>1125</v>
      </c>
      <c r="N68" s="222" cm="1">
        <f t="array" ref="N68">_xlfn.IFS(Table9[[#This Row],[Land Size (Acres)
(15%)]]&lt;100,0,Table9[[#This Row],[Land Size (Acres)
(15%)]]&gt;500,4,TRUE,2)</f>
        <v>4</v>
      </c>
      <c r="O68" s="222">
        <f>Table9[[#This Row],[Land Size (Acres) Score]]*'Detailed Rubric V3'!$G$6</f>
        <v>0.6</v>
      </c>
      <c r="P68" s="526"/>
      <c r="Q68" s="526">
        <f>IFERROR(Table9[[#This Row],[Site Filling Cost (Mn BDT)]]/Table9[[#This Row],[Land Size (Acres)
(15%)]],"")</f>
        <v>0</v>
      </c>
      <c r="R68" s="526" cm="1">
        <f t="array" ref="R68">IF(Table9[[#This Row],[Name]]="Sitakundo Economic Zone", 4, _xlfn.IFS(Table9[[#This Row],[Site Filling Cost (Mn BDT)]]="",0,Table9[[#This Row],[Land Suitability
(Cost of Land Filling in Million BDT per acre)
(25%)]]&gt;5,0,Table9[[#This Row],[Land Suitability
(Cost of Land Filling in Million BDT per acre)
(25%)]]&lt;2,4,TRUE,2))</f>
        <v>0</v>
      </c>
      <c r="S68" s="526">
        <f>Table9[[#This Row],[Land Suitability for Construction Score]]*'Detailed Rubric V3'!$J$6</f>
        <v>0</v>
      </c>
      <c r="T68" s="526"/>
      <c r="U68" s="526">
        <f>IFERROR(Table9[[#This Row],[Embankment/Dyke Cost (Mn BDT)]]/Table9[[#This Row],[Land Size (Acres)
(15%)]], 0)</f>
        <v>0</v>
      </c>
      <c r="V68" s="526" cm="1">
        <f t="array" ref="V68">IF(Table9[[#This Row],[Name]]="Sitakundo Economic Zone", 2, _xlfn.IFS(Table9[[#This Row],[Embankment/Dyke Cost (Mn BDT)]]="",0,Table9[[#This Row],[Cost of DRRI Infrastructure in million BDT per acre
(10%)]]&gt;5,0,Table9[[#This Row],[Cost of DRRI Infrastructure in million BDT per acre
(10%)]]&lt;2,4,TRUE,2))</f>
        <v>0</v>
      </c>
      <c r="W68" s="526">
        <f>Table9[[#This Row],[Requirement for Distaster Risk Reduction &amp; Resilience Infrastructure Score]]*'Detailed Rubric V3'!$M$6</f>
        <v>0</v>
      </c>
      <c r="X68"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68" s="452" t="s">
        <v>436</v>
      </c>
      <c r="Z68" s="210">
        <f>IFERROR(VLOOKUP(Table9[[#This Row],[Zone Priority
(40%)]],'Detailed Rubric V3'!$B$18:$C$21, 2,FALSE), 0)</f>
        <v>0</v>
      </c>
      <c r="AA68" s="210">
        <f>IFERROR(Table9[[#This Row],[Zone Priority Score]]*'Detailed Rubric V3'!$C$16, 0)</f>
        <v>0</v>
      </c>
      <c r="AB68" s="237" t="s">
        <v>446</v>
      </c>
      <c r="AC68" s="237">
        <f>VLOOKUP(Table9[[#This Row],[Existing BEZA Report
(60%)]],'Detailed Rubric V3'!$E$18:$F$20,2,FALSE)</f>
        <v>2</v>
      </c>
      <c r="AD68" s="237">
        <f>Table9[[#This Row],[Existing BEZA Report Score]]*'Detailed Rubric V3'!F$16</f>
        <v>2</v>
      </c>
      <c r="AE68" s="237">
        <f>(Table9[[#This Row],[Zone Priority Weighted Score]]+Table9[[#This Row],[Existing BEZA Report Weighted Score]])*'Detailed Rubric V3'!$C$14</f>
        <v>0.3</v>
      </c>
      <c r="AF68" s="528">
        <v>0</v>
      </c>
      <c r="AG68" s="529" cm="1">
        <f t="array" ref="AG68">_xlfn.IFS(Table9[[#This Row],[Existing Sectors
(50%)]]&gt;10, 4,Table9[[#This Row],[Existing Sectors
(50%)]]&lt;5, 0, TRUE, 2)</f>
        <v>0</v>
      </c>
      <c r="AH68" s="529">
        <f>Table9[[#This Row],[Existing Sectors Score]]*'Detailed Rubric V3'!$C$25</f>
        <v>0</v>
      </c>
      <c r="AI68" s="529">
        <v>1</v>
      </c>
      <c r="AJ68" s="529">
        <v>1</v>
      </c>
      <c r="AK68" s="529" cm="1">
        <f t="array" ref="AK68">_xlfn.IFS(Table9[[#This Row],[Potential New Sectors
(50%)]]&gt;5, 4, Table9[[#This Row],[Potential New Sectors
(50%)]]&lt;2,0, TRUE, 2)</f>
        <v>0</v>
      </c>
      <c r="AL68" s="529">
        <f>Table9[[#This Row],[Potential New Sectors Score]]*'Detailed Rubric V3'!$F$25</f>
        <v>0</v>
      </c>
      <c r="AM68" s="232">
        <f>(Table9[[#This Row],[Existing Sectors Weighted Score]]+Table9[[#This Row],[Potential New Sectors Weighted Score]])*'Detailed Rubric V3'!$C$23</f>
        <v>0</v>
      </c>
      <c r="AN68" s="530">
        <f>SUM(Table9[[#This Row],[1.1. Land Details (20% weightage)]],Table9[[#This Row],[1.2. BEZA Existing plans (15% weightage)]],Table9[[#This Row],[1.3. Sector Demand (15% weightage):]])</f>
        <v>0.42</v>
      </c>
      <c r="AO68" s="531">
        <f>_xlfn.RANK.EQ(Table9[[#This Row],[Level 1 Score]],$AN$3:$AN$103)</f>
        <v>62</v>
      </c>
      <c r="AP68" s="280"/>
      <c r="AQ68" s="280" cm="1">
        <f t="array" ref="AQ68">_xlfn.IFS(Table9[[#This Row],[National Highway Connectivity (km)
(15%)]]="", 0, Table9[[#This Row],[National Highway Connectivity (km)
(15%)]]&gt;50, 0, Table9[[#This Row],[National Highway Connectivity (km)
(15%)]]&lt;=25, 4, TRUE, 2)</f>
        <v>0</v>
      </c>
      <c r="AR68" s="280">
        <f>Table9[[#This Row],[National Highway Connectivity Score]]*'Detailed Rubric V3'!$C$35</f>
        <v>0</v>
      </c>
      <c r="AS68" s="280"/>
      <c r="AT68" s="280" cm="1">
        <f t="array" ref="AT68">_xlfn.IFS(Table9[[#This Row],[Connecting Road to Highway (km)
(15%)]]="", 0, Table9[[#This Row],[Connecting Road to Highway (km)
(15%)]]="Yes", 4, TRUE, 0)</f>
        <v>0</v>
      </c>
      <c r="AU68" s="280">
        <f>Table9[[#This Row],[Connecting Road to Highway Score]]*'Detailed Rubric V3'!$F$35</f>
        <v>0</v>
      </c>
      <c r="AV68" s="280"/>
      <c r="AW68" s="280" cm="1">
        <f t="array" ref="AW68">_xlfn.IFS(Table9[[#This Row],[Seaport Connectivity (km)
(30%)]]="",0, Table9[[#This Row],[Seaport Connectivity (km)
(30%)]]&gt;400, 0,Table9[[#This Row],[Seaport Connectivity (km)
(30%)]]&lt;=200,4, TRUE, 2)</f>
        <v>0</v>
      </c>
      <c r="AX68" s="280">
        <f>Table9[[#This Row],[Seaport Connectivity Score]]*'Detailed Rubric V3'!$I$35</f>
        <v>0</v>
      </c>
      <c r="AY68" s="280"/>
      <c r="AZ68" s="280" cm="1">
        <f t="array" ref="AZ68">_xlfn.IFS(Table9[[#This Row],[Airport Connectivity (km)
(10%)]]="", 0, Table9[[#This Row],[Airport Connectivity (km)
(10%)]]&gt;200, 0, Table9[[#This Row],[Airport Connectivity (km)
(10%)]]&lt;=100,4,TRUE, 2)</f>
        <v>0</v>
      </c>
      <c r="BA68" s="280">
        <f>Table9[[#This Row],[Airport Connectivity Score]]*'Detailed Rubric V3'!$C$41</f>
        <v>0</v>
      </c>
      <c r="BB68" s="280"/>
      <c r="BC68" s="280" cm="1">
        <f t="array" ref="BC68">_xlfn.IFS(Table9[[#This Row],[Railway Station (km)
(10%)]]="", 0, Table9[[#This Row],[Railway Station (km)
(10%)]]&gt;150, 0,Table9[[#This Row],[Railway Station (km)
(10%)]]&lt;=50,4, TRUE, 2)</f>
        <v>0</v>
      </c>
      <c r="BD68" s="280">
        <f>Table9[[#This Row],[Railway Station Score]]*'Detailed Rubric V3'!$F$41</f>
        <v>0</v>
      </c>
      <c r="BE68" s="280"/>
      <c r="BF68" s="280" cm="1">
        <f t="array" ref="BF68">_xlfn.IFS(Table9[[#This Row],[Inland waterway/ Land port (km)
(20%)]]="", 0, Table9[[#This Row],[Inland waterway/ Land port (km)
(20%)]]&gt;200, 0,Table9[[#This Row],[Inland waterway/ Land port (km)
(20%)]]&lt;=50,4, TRUE, 2)</f>
        <v>0</v>
      </c>
      <c r="BG68" s="280">
        <f>Table9[[#This Row],[Inland waterway/ Land port Score]]*'Detailed Rubric V3'!$I$41</f>
        <v>0</v>
      </c>
      <c r="BH68"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68" s="280"/>
      <c r="BJ68" s="280" cm="1">
        <f t="array" ref="BJ68">_xlfn.IFS(Table9[[#This Row],[Power Station (40%)]]="",0, Table9[[#This Row],[Power Station (40%)]]&gt;100, 0,Table9[[#This Row],[Power Station (40%)]]&lt;=50,4, TRUE, 2)</f>
        <v>0</v>
      </c>
      <c r="BK68" s="280">
        <f>Table9[[#This Row],[Power Station Score]]*'Detailed Rubric V3'!$C$53</f>
        <v>0</v>
      </c>
      <c r="BL68" s="280"/>
      <c r="BM68" s="280" cm="1">
        <f t="array" ref="BM68">IF(ISNUMBER(Table9[[#This Row],[Gas Station (20%)]]), _xlfn.IFS(Table9[[#This Row],[Gas Station (20%)]]="", 0, Table9[[#This Row],[Gas Station (20%)]]&gt;100, 0,Table9[[#This Row],[Gas Station (20%)]]&lt;=50,4, TRUE, 2), 0)</f>
        <v>0</v>
      </c>
      <c r="BN68" s="280">
        <f>Table9[[#This Row],[Gas Station Score]]*'Detailed Rubric V3'!$F$53</f>
        <v>0</v>
      </c>
      <c r="BO68" s="280"/>
      <c r="BP68" s="280" cm="1">
        <f t="array" ref="BP68">IF(ISNUMBER(Table9[[#This Row],[Source of Surface Water (40%)]]), _xlfn.IFS(Table9[[#This Row],[Source of Surface Water (40%)]]="", 0, Table9[[#This Row],[Source of Surface Water (40%)]]&gt;50, 0,Table9[[#This Row],[Source of Surface Water (40%)]]&lt;=20,4, TRUE, 2), 0)</f>
        <v>0</v>
      </c>
      <c r="BQ68" s="280">
        <f>Table9[[#This Row],[Source of Surface Water Score]]*'Detailed Rubric V3'!$I$53</f>
        <v>0</v>
      </c>
      <c r="BR68" s="280">
        <f>SUM(Table9[[#This Row],[Power Station Weighted Score]],Table9[[#This Row],[Gas Station Weighted Score]],Table9[[#This Row],[Source of Surface Water Weighted Score]])*'Detailed Rubric V3'!$C$51</f>
        <v>0</v>
      </c>
      <c r="BS68" s="280"/>
      <c r="BT68" s="280" cm="1">
        <f t="array" ref="BT68">_xlfn.IFS(Table9[[#This Row],[Other BEZA EZ (20%)]]="", 0, Table9[[#This Row],[Other BEZA EZ (20%)]]="Yes", 4, TRUE, 0)</f>
        <v>0</v>
      </c>
      <c r="BU68" s="280">
        <f>Table9[[#This Row],[Other BEZA EZ Score]]*'Detailed Rubric V3'!$C$66</f>
        <v>0</v>
      </c>
      <c r="BV68" s="280"/>
      <c r="BW68" s="280" cm="1">
        <f t="array" ref="BW68">_xlfn.IFS(Table9[[#This Row],[BEPZA/ BHPTA/ BSCIC (20%)]]="", 0, Table9[[#This Row],[BEPZA/ BHPTA/ BSCIC (20%)]]="Yes", 4, TRUE, 0)</f>
        <v>0</v>
      </c>
      <c r="BX68" s="280">
        <f>Table9[[#This Row],[BEPZA/ BHPTA/ BSCIC Score]]*'Detailed Rubric V3'!$F$66</f>
        <v>0</v>
      </c>
      <c r="BY68" s="280"/>
      <c r="BZ68" s="280" cm="1">
        <f t="array" ref="BZ68">_xlfn.IFS(Table9[[#This Row],[Cluster Industries (from SMI) (20%)]]="", 0, Table9[[#This Row],[Cluster Industries (from SMI) (20%)]]&gt;100, 4, Table9[[#This Row],[Cluster Industries (from SMI) (20%)]]&lt;50, 0, TRUE, 2)</f>
        <v>0</v>
      </c>
      <c r="CA68" s="280">
        <f>Table9[[#This Row],[Cluster Industries (from SMI) Score]]*'Detailed Rubric V3'!$I$66</f>
        <v>0</v>
      </c>
      <c r="CB68" s="280"/>
      <c r="CC68" s="280" cm="1">
        <f t="array" ref="CC68">_xlfn.IFS(Table9[[#This Row],[Located on Industrial corridor (40%)]]="", 0, Table9[[#This Row],[Located on Industrial corridor (40%)]]="Yes", 4, TRUE, 0)</f>
        <v>0</v>
      </c>
      <c r="CD68" s="280">
        <f>Table9[[#This Row],[Located on Industrial corridor Score]]*'Detailed Rubric V3'!$L$66</f>
        <v>0</v>
      </c>
      <c r="CE68" s="280">
        <f>SUM(Table9[[#This Row],[Other BEZA EZ Weighted Score]],Table9[[#This Row],[BEPZA/ BHPTA/ BSCIC Weighted Score]],Table9[[#This Row],[Unorganized (from SMI) Weighted Score]],Table9[[#This Row],[Located on Industrial corridor Weighted Score]])*'Detailed Rubric V3'!$C$64</f>
        <v>0</v>
      </c>
      <c r="CF68" s="280"/>
      <c r="CG68" s="280" cm="1">
        <f t="array" ref="CG68">_xlfn.IFS(Table9[[#This Row],[Economic/ Social priority (laggered area) (100%)]]="", 0, Table9[[#This Row],[Economic/ Social priority (laggered area) (100%)]]="Yes", 4, TRUE, 0)</f>
        <v>0</v>
      </c>
      <c r="CH68" s="280">
        <f>Table9[[#This Row],[Economic/ Social priority (laggered area) Score]]*'Detailed Rubric V3'!$C$82</f>
        <v>0</v>
      </c>
      <c r="CI68" s="280"/>
      <c r="CJ68" s="280" cm="1">
        <f t="array" ref="CJ68">_xlfn.IFS(Table9[[#This Row],[Regional Tax incentive  (0%)]]="", 0, Table9[[#This Row],[Regional Tax incentive  (0%)]]="Yes", 4, TRUE, 0)</f>
        <v>0</v>
      </c>
      <c r="CK68" s="280">
        <f>Table9[[#This Row],[Regional Tax incentive Score]]*'Detailed Rubric V3'!$F$82</f>
        <v>0</v>
      </c>
      <c r="CL68" s="280">
        <f>SUM(Table9[[#This Row],[Economic/ Social priority (laagered area) Weighted Score]],Table9[[#This Row],[Regional Tax incentive  Weighted Score]])*'Detailed Rubric V3'!$C$80</f>
        <v>0</v>
      </c>
      <c r="CM68" s="280"/>
      <c r="CN68" s="280" cm="1">
        <f t="array" ref="CN68">_xlfn.IFS(Table9[[#This Row],[Employable population (40%) 2013]]="", 0, Table9[[#This Row],[Employable population (40%) 2013]]&gt;200000, 4, Table9[[#This Row],[Employable population (40%) 2013]]&lt;100000,0, TRUE, 2)</f>
        <v>0</v>
      </c>
      <c r="CO68" s="280">
        <f>Table9[[#This Row],[Employable population Score]]*'Detailed Rubric V3'!$C$92</f>
        <v>0</v>
      </c>
      <c r="CP68" s="280"/>
      <c r="CQ68" s="280" cm="1">
        <f t="array" ref="CQ68">_xlfn.IFS(Table9[[#This Row],[Housing (20%)]]="", 0, Table9[[#This Row],[Housing (20%)]]&gt;50, 0, Table9[[#This Row],[Housing (20%)]]&lt;25, 4, TRUE, 2)</f>
        <v>0</v>
      </c>
      <c r="CR68" s="280">
        <f>Table9[[#This Row],[Housing Score]]*'Detailed Rubric V3'!$F$92</f>
        <v>0</v>
      </c>
      <c r="CS68" s="280"/>
      <c r="CT68" s="280" cm="1">
        <f t="array" ref="CT68">_xlfn.IFS(Table9[[#This Row],[Hotels (10%)]]="", 0, Table9[[#This Row],[Hotels (10%)]]&gt;25, 4, Table9[[#This Row],[Hotels (10%)]]&lt;5, 0, TRUE, 2)</f>
        <v>0</v>
      </c>
      <c r="CU68" s="280">
        <f>Table9[[#This Row],[Hotels Score]]*'Detailed Rubric V3'!$I$92</f>
        <v>0</v>
      </c>
      <c r="CV68" s="280"/>
      <c r="CW68" s="280" cm="1">
        <f t="array" ref="CW68">_xlfn.IFS(Table9[[#This Row],[Health (Hospital) (15%)]]="", 0, Table9[[#This Row],[Health (Hospital) (15%)]]&gt;10, 4, Table9[[#This Row],[Health (Hospital) (15%)]]&lt;5, 0, TRUE, 2)</f>
        <v>0</v>
      </c>
      <c r="CX68" s="280">
        <f>Table9[[#This Row],[Health (Hospital) Score]]*'Detailed Rubric V3'!$L$92</f>
        <v>0</v>
      </c>
      <c r="CY68" s="280"/>
      <c r="CZ68" s="280" cm="1">
        <f t="array" ref="CZ68">_xlfn.IFS(Table9[[#This Row],[University/ Technical &amp; Vocational Institutions (15%)]]="", 0, Table9[[#This Row],[University/ Technical &amp; Vocational Institutions (15%)]]&gt;3, 4, Table9[[#This Row],[University/ Technical &amp; Vocational Institutions (15%)]]&lt;1, 0, TRUE, 2)</f>
        <v>0</v>
      </c>
      <c r="DA68" s="280">
        <f>Table9[[#This Row],[University/ Technical &amp; Vocational Institutions Score]]*'Detailed Rubric V3'!$O$92</f>
        <v>0</v>
      </c>
      <c r="DB68"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68" s="280"/>
      <c r="DD68" s="280" cm="1">
        <f t="array" ref="DD68">_xlfn.IFS(Table9[[#This Row],[Environment compliance (30%)]]="", 0, Table9[[#This Row],[Environment compliance (30%)]]="Yes", 4, TRUE, 0)</f>
        <v>0</v>
      </c>
      <c r="DE68" s="280">
        <f>Table9[[#This Row],[Environment compliance Score]]*'Detailed Rubric V3'!$C$104</f>
        <v>0</v>
      </c>
      <c r="DF68" s="280" t="s">
        <v>419</v>
      </c>
      <c r="DG68" s="280" cm="1">
        <f t="array" ref="DG68">_xlfn.IFS(Table9[[#This Row],[Flood Risk Index (30%)]]="", 0, Table9[[#This Row],[Flood Risk Index (30%)]]="Very Low", 4, Table9[[#This Row],[Flood Risk Index (30%)]]="Moderate &amp; Low", 2, TRUE, 0)</f>
        <v>2</v>
      </c>
      <c r="DH68" s="280">
        <f>Table9[[#This Row],[Flood Risk Index Score]]*'Detailed Rubric V3'!$F$104</f>
        <v>0.6</v>
      </c>
      <c r="DI68" s="280" t="s">
        <v>419</v>
      </c>
      <c r="DJ68" s="280" cm="1">
        <f t="array" ref="DJ68">_xlfn.IFS(Table9[[#This Row],[Earth Quake Risk Index (10%)]]="", 0, Table9[[#This Row],[Earth Quake Risk Index (10%)]]="Very Low", 4, Table9[[#This Row],[Earth Quake Risk Index (10%)]]="Moderate &amp; Low", 2, TRUE, 0)</f>
        <v>2</v>
      </c>
      <c r="DK68" s="280">
        <f>Table9[[#This Row],[Earth Quake Risk Index Score]]*'Detailed Rubric V3'!$I$104</f>
        <v>0.2</v>
      </c>
      <c r="DL68" s="280" t="s">
        <v>419</v>
      </c>
      <c r="DM68" s="280" cm="1">
        <f t="array" ref="DM68">_xlfn.IFS(Table9[[#This Row],[Sea Level Rise Risk Index (10%)]]="", 0, Table9[[#This Row],[Sea Level Rise Risk Index (10%)]]="Very Low", 4, Table9[[#This Row],[Sea Level Rise Risk Index (10%)]]="Moderate &amp; Low", 2, TRUE, 0)</f>
        <v>2</v>
      </c>
      <c r="DN68" s="280">
        <f>Table9[[#This Row],[Sea Level Rise  Risk Index Score]]*'Detailed Rubric V3'!$L$104</f>
        <v>0.2</v>
      </c>
      <c r="DO68" s="280" t="s">
        <v>420</v>
      </c>
      <c r="DP68" s="280" cm="1">
        <f t="array" ref="DP68">_xlfn.IFS(Table9[[#This Row],[Cyclone Risk Index (10%)]]="", 0, Table9[[#This Row],[Cyclone Risk Index (10%)]]="Very Low", 4, Table9[[#This Row],[Cyclone Risk Index (10%)]]="Moderate &amp; Low", 2, TRUE, 0)</f>
        <v>0</v>
      </c>
      <c r="DQ68" s="280">
        <f>Table9[[#This Row],[Cyclone Risk Index Score]]*'Detailed Rubric V3'!$O$104</f>
        <v>0</v>
      </c>
      <c r="DR68" s="280" t="s">
        <v>428</v>
      </c>
      <c r="DS68" s="280" cm="1">
        <f t="array" ref="DS68">_xlfn.IFS(Table9[[#This Row],[Storm Surge Risk Index (10%)]]="", 0, Table9[[#This Row],[Storm Surge Risk Index (10%)]]="Very Low", 4, Table9[[#This Row],[Storm Surge Risk Index (10%)]]="Moderate &amp; Low", 2, TRUE, 0)</f>
        <v>4</v>
      </c>
      <c r="DT68" s="280">
        <f>Table9[[#This Row],[Storm Surge Risk Index Score]]*'Detailed Rubric V3'!$R$104</f>
        <v>0.4</v>
      </c>
      <c r="DU68"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8.3999999999999991E-2</v>
      </c>
      <c r="DV68" s="309">
        <f>SUM(Table9[[#This Row],[2.1. Connectivity/ Logistics (10% weightage)]],Table9[[#This Row],[2.2. Utility (12% weightage)]],Table9[[#This Row],[2.3. Agglomeration effects (10% weightage)]],Table9[[#This Row],[2.4. Regional Policy (4% weightage)]],Table9[[#This Row],[2.5. Social (8% weightage)]],Table9[[#This Row],[2.6. Environment (6% weightage)]])</f>
        <v>8.3999999999999991E-2</v>
      </c>
      <c r="DW68" s="280">
        <f>_xlfn.RANK.EQ(Table9[[#This Row],[Level 2 Score]],$DV$3:$DV$103)</f>
        <v>77</v>
      </c>
      <c r="DX68" s="302">
        <f>Table9[[#This Row],[Level 1 Score]]+Table9[[#This Row],[Level 2 Score]]</f>
        <v>0.504</v>
      </c>
      <c r="DY68" s="294">
        <f>_xlfn.RANK.EQ(Table9[[#This Row],[Total Score]],$DX$3:$DX$103)</f>
        <v>66</v>
      </c>
      <c r="DZ68" s="237" t="str">
        <f>IF(Table9[[#This Row],[Count of Blanks]]&lt;=2, "Yes", "No")</f>
        <v>No</v>
      </c>
      <c r="EA68" s="237">
        <f>COUNTBLANK(Table9[[#This Row],[Name]:[Total Score Rank]])</f>
        <v>23</v>
      </c>
      <c r="EB68" s="237"/>
    </row>
    <row r="69" spans="2:132" ht="27" x14ac:dyDescent="0.25">
      <c r="B69" s="220">
        <v>36</v>
      </c>
      <c r="C69" s="221" t="s">
        <v>195</v>
      </c>
      <c r="D69" s="220" t="s">
        <v>104</v>
      </c>
      <c r="E69" s="220" t="s">
        <v>104</v>
      </c>
      <c r="F69" s="220" t="s">
        <v>196</v>
      </c>
      <c r="G69" s="220" t="s">
        <v>70</v>
      </c>
      <c r="H69" s="525" t="s">
        <v>430</v>
      </c>
      <c r="I69" s="70" t="s">
        <v>457</v>
      </c>
      <c r="J69" s="227" t="s">
        <v>444</v>
      </c>
      <c r="K69" s="220">
        <f>IFERROR(VLOOKUP(Table9[[#This Row],[Land Availability (Grade)​
(50%)]],'Detailed Rubric V3'!$B$8:$C$11,2), 0)</f>
        <v>0</v>
      </c>
      <c r="L69" s="220">
        <f>IFERROR(Table9[[#This Row],[Land Availability (Grade)​ Score]]*'Detailed Rubric V3'!$C$6, "")</f>
        <v>0</v>
      </c>
      <c r="M69" s="222">
        <v>509.66</v>
      </c>
      <c r="N69" s="222" cm="1">
        <f t="array" ref="N69">_xlfn.IFS(Table9[[#This Row],[Land Size (Acres)
(15%)]]&lt;100,0,Table9[[#This Row],[Land Size (Acres)
(15%)]]&gt;500,4,TRUE,2)</f>
        <v>4</v>
      </c>
      <c r="O69" s="222">
        <f>Table9[[#This Row],[Land Size (Acres) Score]]*'Detailed Rubric V3'!$G$6</f>
        <v>0.6</v>
      </c>
      <c r="P69" s="526"/>
      <c r="Q69" s="526">
        <f>IFERROR(Table9[[#This Row],[Site Filling Cost (Mn BDT)]]/Table9[[#This Row],[Land Size (Acres)
(15%)]],"")</f>
        <v>0</v>
      </c>
      <c r="R69" s="526" cm="1">
        <f t="array" ref="R69">IF(Table9[[#This Row],[Name]]="Sitakundo Economic Zone", 4, _xlfn.IFS(Table9[[#This Row],[Site Filling Cost (Mn BDT)]]="",0,Table9[[#This Row],[Land Suitability
(Cost of Land Filling in Million BDT per acre)
(25%)]]&gt;5,0,Table9[[#This Row],[Land Suitability
(Cost of Land Filling in Million BDT per acre)
(25%)]]&lt;2,4,TRUE,2))</f>
        <v>0</v>
      </c>
      <c r="S69" s="526">
        <f>Table9[[#This Row],[Land Suitability for Construction Score]]*'Detailed Rubric V3'!$J$6</f>
        <v>0</v>
      </c>
      <c r="T69" s="526"/>
      <c r="U69" s="526">
        <f>IFERROR(Table9[[#This Row],[Embankment/Dyke Cost (Mn BDT)]]/Table9[[#This Row],[Land Size (Acres)
(15%)]], 0)</f>
        <v>0</v>
      </c>
      <c r="V69" s="526" cm="1">
        <f t="array" ref="V69">IF(Table9[[#This Row],[Name]]="Sitakundo Economic Zone", 2, _xlfn.IFS(Table9[[#This Row],[Embankment/Dyke Cost (Mn BDT)]]="",0,Table9[[#This Row],[Cost of DRRI Infrastructure in million BDT per acre
(10%)]]&gt;5,0,Table9[[#This Row],[Cost of DRRI Infrastructure in million BDT per acre
(10%)]]&lt;2,4,TRUE,2))</f>
        <v>0</v>
      </c>
      <c r="W69" s="526">
        <f>Table9[[#This Row],[Requirement for Distaster Risk Reduction &amp; Resilience Infrastructure Score]]*'Detailed Rubric V3'!$M$6</f>
        <v>0</v>
      </c>
      <c r="X69"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69" s="452" t="s">
        <v>436</v>
      </c>
      <c r="Z69" s="210">
        <f>IFERROR(VLOOKUP(Table9[[#This Row],[Zone Priority
(40%)]],'Detailed Rubric V3'!$B$18:$C$21, 2,FALSE), 0)</f>
        <v>0</v>
      </c>
      <c r="AA69" s="210">
        <f>IFERROR(Table9[[#This Row],[Zone Priority Score]]*'Detailed Rubric V3'!$C$16, 0)</f>
        <v>0</v>
      </c>
      <c r="AB69" s="237" t="s">
        <v>441</v>
      </c>
      <c r="AC69" s="237">
        <f>VLOOKUP(Table9[[#This Row],[Existing BEZA Report
(60%)]],'Detailed Rubric V3'!$E$18:$F$20,2,FALSE)</f>
        <v>0</v>
      </c>
      <c r="AD69" s="237">
        <f>Table9[[#This Row],[Existing BEZA Report Score]]*'Detailed Rubric V3'!F$16</f>
        <v>0</v>
      </c>
      <c r="AE69" s="237">
        <f>(Table9[[#This Row],[Zone Priority Weighted Score]]+Table9[[#This Row],[Existing BEZA Report Weighted Score]])*'Detailed Rubric V3'!$C$14</f>
        <v>0</v>
      </c>
      <c r="AF69" s="528">
        <v>5</v>
      </c>
      <c r="AG69" s="529" cm="1">
        <f t="array" ref="AG69">_xlfn.IFS(Table9[[#This Row],[Existing Sectors
(50%)]]&gt;10, 4,Table9[[#This Row],[Existing Sectors
(50%)]]&lt;5, 0, TRUE, 2)</f>
        <v>2</v>
      </c>
      <c r="AH69" s="529">
        <f>Table9[[#This Row],[Existing Sectors Score]]*'Detailed Rubric V3'!$C$25</f>
        <v>1</v>
      </c>
      <c r="AI69" s="529">
        <v>8</v>
      </c>
      <c r="AJ69" s="529">
        <v>3</v>
      </c>
      <c r="AK69" s="529" cm="1">
        <f t="array" ref="AK69">_xlfn.IFS(Table9[[#This Row],[Potential New Sectors
(50%)]]&gt;5, 4, Table9[[#This Row],[Potential New Sectors
(50%)]]&lt;2,0, TRUE, 2)</f>
        <v>2</v>
      </c>
      <c r="AL69" s="529">
        <f>Table9[[#This Row],[Potential New Sectors Score]]*'Detailed Rubric V3'!$F$25</f>
        <v>1</v>
      </c>
      <c r="AM69" s="232">
        <f>(Table9[[#This Row],[Existing Sectors Weighted Score]]+Table9[[#This Row],[Potential New Sectors Weighted Score]])*'Detailed Rubric V3'!$C$23</f>
        <v>0.3</v>
      </c>
      <c r="AN69" s="530">
        <f>SUM(Table9[[#This Row],[1.1. Land Details (20% weightage)]],Table9[[#This Row],[1.2. BEZA Existing plans (15% weightage)]],Table9[[#This Row],[1.3. Sector Demand (15% weightage):]])</f>
        <v>0.42</v>
      </c>
      <c r="AO69" s="531">
        <f>_xlfn.RANK.EQ(Table9[[#This Row],[Level 1 Score]],$AN$3:$AN$103)</f>
        <v>62</v>
      </c>
      <c r="AP69" s="280"/>
      <c r="AQ69" s="280" cm="1">
        <f t="array" ref="AQ69">_xlfn.IFS(Table9[[#This Row],[National Highway Connectivity (km)
(15%)]]="", 0, Table9[[#This Row],[National Highway Connectivity (km)
(15%)]]&gt;50, 0, Table9[[#This Row],[National Highway Connectivity (km)
(15%)]]&lt;=25, 4, TRUE, 2)</f>
        <v>0</v>
      </c>
      <c r="AR69" s="280">
        <f>Table9[[#This Row],[National Highway Connectivity Score]]*'Detailed Rubric V3'!$C$35</f>
        <v>0</v>
      </c>
      <c r="AS69" s="280"/>
      <c r="AT69" s="280" cm="1">
        <f t="array" ref="AT69">_xlfn.IFS(Table9[[#This Row],[Connecting Road to Highway (km)
(15%)]]="", 0, Table9[[#This Row],[Connecting Road to Highway (km)
(15%)]]="Yes", 4, TRUE, 0)</f>
        <v>0</v>
      </c>
      <c r="AU69" s="280">
        <f>Table9[[#This Row],[Connecting Road to Highway Score]]*'Detailed Rubric V3'!$F$35</f>
        <v>0</v>
      </c>
      <c r="AV69" s="280"/>
      <c r="AW69" s="280" cm="1">
        <f t="array" ref="AW69">_xlfn.IFS(Table9[[#This Row],[Seaport Connectivity (km)
(30%)]]="",0, Table9[[#This Row],[Seaport Connectivity (km)
(30%)]]&gt;400, 0,Table9[[#This Row],[Seaport Connectivity (km)
(30%)]]&lt;=200,4, TRUE, 2)</f>
        <v>0</v>
      </c>
      <c r="AX69" s="280">
        <f>Table9[[#This Row],[Seaport Connectivity Score]]*'Detailed Rubric V3'!$I$35</f>
        <v>0</v>
      </c>
      <c r="AY69" s="280"/>
      <c r="AZ69" s="280" cm="1">
        <f t="array" ref="AZ69">_xlfn.IFS(Table9[[#This Row],[Airport Connectivity (km)
(10%)]]="", 0, Table9[[#This Row],[Airport Connectivity (km)
(10%)]]&gt;200, 0, Table9[[#This Row],[Airport Connectivity (km)
(10%)]]&lt;=100,4,TRUE, 2)</f>
        <v>0</v>
      </c>
      <c r="BA69" s="280">
        <f>Table9[[#This Row],[Airport Connectivity Score]]*'Detailed Rubric V3'!$C$41</f>
        <v>0</v>
      </c>
      <c r="BB69" s="280"/>
      <c r="BC69" s="280" cm="1">
        <f t="array" ref="BC69">_xlfn.IFS(Table9[[#This Row],[Railway Station (km)
(10%)]]="", 0, Table9[[#This Row],[Railway Station (km)
(10%)]]&gt;150, 0,Table9[[#This Row],[Railway Station (km)
(10%)]]&lt;=50,4, TRUE, 2)</f>
        <v>0</v>
      </c>
      <c r="BD69" s="280">
        <f>Table9[[#This Row],[Railway Station Score]]*'Detailed Rubric V3'!$F$41</f>
        <v>0</v>
      </c>
      <c r="BE69" s="280"/>
      <c r="BF69" s="280" cm="1">
        <f t="array" ref="BF69">_xlfn.IFS(Table9[[#This Row],[Inland waterway/ Land port (km)
(20%)]]="", 0, Table9[[#This Row],[Inland waterway/ Land port (km)
(20%)]]&gt;200, 0,Table9[[#This Row],[Inland waterway/ Land port (km)
(20%)]]&lt;=50,4, TRUE, 2)</f>
        <v>0</v>
      </c>
      <c r="BG69" s="280">
        <f>Table9[[#This Row],[Inland waterway/ Land port Score]]*'Detailed Rubric V3'!$I$41</f>
        <v>0</v>
      </c>
      <c r="BH69"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69" s="280"/>
      <c r="BJ69" s="280" cm="1">
        <f t="array" ref="BJ69">_xlfn.IFS(Table9[[#This Row],[Power Station (40%)]]="",0, Table9[[#This Row],[Power Station (40%)]]&gt;100, 0,Table9[[#This Row],[Power Station (40%)]]&lt;=50,4, TRUE, 2)</f>
        <v>0</v>
      </c>
      <c r="BK69" s="280">
        <f>Table9[[#This Row],[Power Station Score]]*'Detailed Rubric V3'!$C$53</f>
        <v>0</v>
      </c>
      <c r="BL69" s="280"/>
      <c r="BM69" s="280" cm="1">
        <f t="array" ref="BM69">IF(ISNUMBER(Table9[[#This Row],[Gas Station (20%)]]), _xlfn.IFS(Table9[[#This Row],[Gas Station (20%)]]="", 0, Table9[[#This Row],[Gas Station (20%)]]&gt;100, 0,Table9[[#This Row],[Gas Station (20%)]]&lt;=50,4, TRUE, 2), 0)</f>
        <v>0</v>
      </c>
      <c r="BN69" s="280">
        <f>Table9[[#This Row],[Gas Station Score]]*'Detailed Rubric V3'!$F$53</f>
        <v>0</v>
      </c>
      <c r="BO69" s="280"/>
      <c r="BP69" s="280" cm="1">
        <f t="array" ref="BP69">IF(ISNUMBER(Table9[[#This Row],[Source of Surface Water (40%)]]), _xlfn.IFS(Table9[[#This Row],[Source of Surface Water (40%)]]="", 0, Table9[[#This Row],[Source of Surface Water (40%)]]&gt;50, 0,Table9[[#This Row],[Source of Surface Water (40%)]]&lt;=20,4, TRUE, 2), 0)</f>
        <v>0</v>
      </c>
      <c r="BQ69" s="280">
        <f>Table9[[#This Row],[Source of Surface Water Score]]*'Detailed Rubric V3'!$I$53</f>
        <v>0</v>
      </c>
      <c r="BR69" s="280">
        <f>SUM(Table9[[#This Row],[Power Station Weighted Score]],Table9[[#This Row],[Gas Station Weighted Score]],Table9[[#This Row],[Source of Surface Water Weighted Score]])*'Detailed Rubric V3'!$C$51</f>
        <v>0</v>
      </c>
      <c r="BS69" s="280"/>
      <c r="BT69" s="280" cm="1">
        <f t="array" ref="BT69">_xlfn.IFS(Table9[[#This Row],[Other BEZA EZ (20%)]]="", 0, Table9[[#This Row],[Other BEZA EZ (20%)]]="Yes", 4, TRUE, 0)</f>
        <v>0</v>
      </c>
      <c r="BU69" s="280">
        <f>Table9[[#This Row],[Other BEZA EZ Score]]*'Detailed Rubric V3'!$C$66</f>
        <v>0</v>
      </c>
      <c r="BV69" s="280"/>
      <c r="BW69" s="280" cm="1">
        <f t="array" ref="BW69">_xlfn.IFS(Table9[[#This Row],[BEPZA/ BHPTA/ BSCIC (20%)]]="", 0, Table9[[#This Row],[BEPZA/ BHPTA/ BSCIC (20%)]]="Yes", 4, TRUE, 0)</f>
        <v>0</v>
      </c>
      <c r="BX69" s="280">
        <f>Table9[[#This Row],[BEPZA/ BHPTA/ BSCIC Score]]*'Detailed Rubric V3'!$F$66</f>
        <v>0</v>
      </c>
      <c r="BY69" s="280"/>
      <c r="BZ69" s="280" cm="1">
        <f t="array" ref="BZ69">_xlfn.IFS(Table9[[#This Row],[Cluster Industries (from SMI) (20%)]]="", 0, Table9[[#This Row],[Cluster Industries (from SMI) (20%)]]&gt;100, 4, Table9[[#This Row],[Cluster Industries (from SMI) (20%)]]&lt;50, 0, TRUE, 2)</f>
        <v>0</v>
      </c>
      <c r="CA69" s="280">
        <f>Table9[[#This Row],[Cluster Industries (from SMI) Score]]*'Detailed Rubric V3'!$I$66</f>
        <v>0</v>
      </c>
      <c r="CB69" s="280"/>
      <c r="CC69" s="280" cm="1">
        <f t="array" ref="CC69">_xlfn.IFS(Table9[[#This Row],[Located on Industrial corridor (40%)]]="", 0, Table9[[#This Row],[Located on Industrial corridor (40%)]]="Yes", 4, TRUE, 0)</f>
        <v>0</v>
      </c>
      <c r="CD69" s="280">
        <f>Table9[[#This Row],[Located on Industrial corridor Score]]*'Detailed Rubric V3'!$L$66</f>
        <v>0</v>
      </c>
      <c r="CE69" s="280">
        <f>SUM(Table9[[#This Row],[Other BEZA EZ Weighted Score]],Table9[[#This Row],[BEPZA/ BHPTA/ BSCIC Weighted Score]],Table9[[#This Row],[Unorganized (from SMI) Weighted Score]],Table9[[#This Row],[Located on Industrial corridor Weighted Score]])*'Detailed Rubric V3'!$C$64</f>
        <v>0</v>
      </c>
      <c r="CF69" s="280"/>
      <c r="CG69" s="280" cm="1">
        <f t="array" ref="CG69">_xlfn.IFS(Table9[[#This Row],[Economic/ Social priority (laggered area) (100%)]]="", 0, Table9[[#This Row],[Economic/ Social priority (laggered area) (100%)]]="Yes", 4, TRUE, 0)</f>
        <v>0</v>
      </c>
      <c r="CH69" s="280">
        <f>Table9[[#This Row],[Economic/ Social priority (laggered area) Score]]*'Detailed Rubric V3'!$C$82</f>
        <v>0</v>
      </c>
      <c r="CI69" s="280"/>
      <c r="CJ69" s="280" cm="1">
        <f t="array" ref="CJ69">_xlfn.IFS(Table9[[#This Row],[Regional Tax incentive  (0%)]]="", 0, Table9[[#This Row],[Regional Tax incentive  (0%)]]="Yes", 4, TRUE, 0)</f>
        <v>0</v>
      </c>
      <c r="CK69" s="280">
        <f>Table9[[#This Row],[Regional Tax incentive Score]]*'Detailed Rubric V3'!$F$82</f>
        <v>0</v>
      </c>
      <c r="CL69" s="280">
        <f>SUM(Table9[[#This Row],[Economic/ Social priority (laagered area) Weighted Score]],Table9[[#This Row],[Regional Tax incentive  Weighted Score]])*'Detailed Rubric V3'!$C$80</f>
        <v>0</v>
      </c>
      <c r="CM69" s="280"/>
      <c r="CN69" s="280" cm="1">
        <f t="array" ref="CN69">_xlfn.IFS(Table9[[#This Row],[Employable population (40%) 2013]]="", 0, Table9[[#This Row],[Employable population (40%) 2013]]&gt;200000, 4, Table9[[#This Row],[Employable population (40%) 2013]]&lt;100000,0, TRUE, 2)</f>
        <v>0</v>
      </c>
      <c r="CO69" s="280">
        <f>Table9[[#This Row],[Employable population Score]]*'Detailed Rubric V3'!$C$92</f>
        <v>0</v>
      </c>
      <c r="CP69" s="280"/>
      <c r="CQ69" s="280" cm="1">
        <f t="array" ref="CQ69">_xlfn.IFS(Table9[[#This Row],[Housing (20%)]]="", 0, Table9[[#This Row],[Housing (20%)]]&gt;50, 0, Table9[[#This Row],[Housing (20%)]]&lt;25, 4, TRUE, 2)</f>
        <v>0</v>
      </c>
      <c r="CR69" s="280">
        <f>Table9[[#This Row],[Housing Score]]*'Detailed Rubric V3'!$F$92</f>
        <v>0</v>
      </c>
      <c r="CS69" s="280"/>
      <c r="CT69" s="280" cm="1">
        <f t="array" ref="CT69">_xlfn.IFS(Table9[[#This Row],[Hotels (10%)]]="", 0, Table9[[#This Row],[Hotels (10%)]]&gt;25, 4, Table9[[#This Row],[Hotels (10%)]]&lt;5, 0, TRUE, 2)</f>
        <v>0</v>
      </c>
      <c r="CU69" s="280">
        <f>Table9[[#This Row],[Hotels Score]]*'Detailed Rubric V3'!$I$92</f>
        <v>0</v>
      </c>
      <c r="CV69" s="280"/>
      <c r="CW69" s="280" cm="1">
        <f t="array" ref="CW69">_xlfn.IFS(Table9[[#This Row],[Health (Hospital) (15%)]]="", 0, Table9[[#This Row],[Health (Hospital) (15%)]]&gt;10, 4, Table9[[#This Row],[Health (Hospital) (15%)]]&lt;5, 0, TRUE, 2)</f>
        <v>0</v>
      </c>
      <c r="CX69" s="280">
        <f>Table9[[#This Row],[Health (Hospital) Score]]*'Detailed Rubric V3'!$L$92</f>
        <v>0</v>
      </c>
      <c r="CY69" s="280"/>
      <c r="CZ69" s="280" cm="1">
        <f t="array" ref="CZ69">_xlfn.IFS(Table9[[#This Row],[University/ Technical &amp; Vocational Institutions (15%)]]="", 0, Table9[[#This Row],[University/ Technical &amp; Vocational Institutions (15%)]]&gt;3, 4, Table9[[#This Row],[University/ Technical &amp; Vocational Institutions (15%)]]&lt;1, 0, TRUE, 2)</f>
        <v>0</v>
      </c>
      <c r="DA69" s="280">
        <f>Table9[[#This Row],[University/ Technical &amp; Vocational Institutions Score]]*'Detailed Rubric V3'!$O$92</f>
        <v>0</v>
      </c>
      <c r="DB69"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69" s="280"/>
      <c r="DD69" s="280" cm="1">
        <f t="array" ref="DD69">_xlfn.IFS(Table9[[#This Row],[Environment compliance (30%)]]="", 0, Table9[[#This Row],[Environment compliance (30%)]]="Yes", 4, TRUE, 0)</f>
        <v>0</v>
      </c>
      <c r="DE69" s="280">
        <f>Table9[[#This Row],[Environment compliance Score]]*'Detailed Rubric V3'!$C$104</f>
        <v>0</v>
      </c>
      <c r="DF69" s="280" t="s">
        <v>419</v>
      </c>
      <c r="DG69" s="280" cm="1">
        <f t="array" ref="DG69">_xlfn.IFS(Table9[[#This Row],[Flood Risk Index (30%)]]="", 0, Table9[[#This Row],[Flood Risk Index (30%)]]="Very Low", 4, Table9[[#This Row],[Flood Risk Index (30%)]]="Moderate &amp; Low", 2, TRUE, 0)</f>
        <v>2</v>
      </c>
      <c r="DH69" s="280">
        <f>Table9[[#This Row],[Flood Risk Index Score]]*'Detailed Rubric V3'!$F$104</f>
        <v>0.6</v>
      </c>
      <c r="DI69" s="280" t="s">
        <v>421</v>
      </c>
      <c r="DJ69" s="280" cm="1">
        <f t="array" ref="DJ69">_xlfn.IFS(Table9[[#This Row],[Earth Quake Risk Index (10%)]]="", 0, Table9[[#This Row],[Earth Quake Risk Index (10%)]]="Very Low", 4, Table9[[#This Row],[Earth Quake Risk Index (10%)]]="Moderate &amp; Low", 2, TRUE, 0)</f>
        <v>0</v>
      </c>
      <c r="DK69" s="280">
        <f>Table9[[#This Row],[Earth Quake Risk Index Score]]*'Detailed Rubric V3'!$I$104</f>
        <v>0</v>
      </c>
      <c r="DL69" s="280"/>
      <c r="DM69" s="280" cm="1">
        <f t="array" ref="DM69">_xlfn.IFS(Table9[[#This Row],[Sea Level Rise Risk Index (10%)]]="", 0, Table9[[#This Row],[Sea Level Rise Risk Index (10%)]]="Very Low", 4, Table9[[#This Row],[Sea Level Rise Risk Index (10%)]]="Moderate &amp; Low", 2, TRUE, 0)</f>
        <v>0</v>
      </c>
      <c r="DN69" s="280">
        <f>Table9[[#This Row],[Sea Level Rise  Risk Index Score]]*'Detailed Rubric V3'!$L$104</f>
        <v>0</v>
      </c>
      <c r="DO69" s="280" t="s">
        <v>419</v>
      </c>
      <c r="DP69" s="280" cm="1">
        <f t="array" ref="DP69">_xlfn.IFS(Table9[[#This Row],[Cyclone Risk Index (10%)]]="", 0, Table9[[#This Row],[Cyclone Risk Index (10%)]]="Very Low", 4, Table9[[#This Row],[Cyclone Risk Index (10%)]]="Moderate &amp; Low", 2, TRUE, 0)</f>
        <v>2</v>
      </c>
      <c r="DQ69" s="280">
        <f>Table9[[#This Row],[Cyclone Risk Index Score]]*'Detailed Rubric V3'!$O$104</f>
        <v>0.2</v>
      </c>
      <c r="DR69" s="280" t="s">
        <v>428</v>
      </c>
      <c r="DS69" s="280" cm="1">
        <f t="array" ref="DS69">_xlfn.IFS(Table9[[#This Row],[Storm Surge Risk Index (10%)]]="", 0, Table9[[#This Row],[Storm Surge Risk Index (10%)]]="Very Low", 4, Table9[[#This Row],[Storm Surge Risk Index (10%)]]="Moderate &amp; Low", 2, TRUE, 0)</f>
        <v>4</v>
      </c>
      <c r="DT69" s="280">
        <f>Table9[[#This Row],[Storm Surge Risk Index Score]]*'Detailed Rubric V3'!$R$104</f>
        <v>0.4</v>
      </c>
      <c r="DU69"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7.2000000000000008E-2</v>
      </c>
      <c r="DV69" s="309">
        <f>SUM(Table9[[#This Row],[2.1. Connectivity/ Logistics (10% weightage)]],Table9[[#This Row],[2.2. Utility (12% weightage)]],Table9[[#This Row],[2.3. Agglomeration effects (10% weightage)]],Table9[[#This Row],[2.4. Regional Policy (4% weightage)]],Table9[[#This Row],[2.5. Social (8% weightage)]],Table9[[#This Row],[2.6. Environment (6% weightage)]])</f>
        <v>7.2000000000000008E-2</v>
      </c>
      <c r="DW69" s="280">
        <f>_xlfn.RANK.EQ(Table9[[#This Row],[Level 2 Score]],$DV$3:$DV$103)</f>
        <v>78</v>
      </c>
      <c r="DX69" s="302">
        <f>Table9[[#This Row],[Level 1 Score]]+Table9[[#This Row],[Level 2 Score]]</f>
        <v>0.49199999999999999</v>
      </c>
      <c r="DY69" s="294">
        <f>_xlfn.RANK.EQ(Table9[[#This Row],[Total Score]],$DX$3:$DX$103)</f>
        <v>67</v>
      </c>
      <c r="DZ69" s="237" t="str">
        <f>IF(Table9[[#This Row],[Count of Blanks]]&lt;=2, "Yes", "No")</f>
        <v>No</v>
      </c>
      <c r="EA69" s="237">
        <f>COUNTBLANK(Table9[[#This Row],[Name]:[Total Score Rank]])</f>
        <v>24</v>
      </c>
      <c r="EB69" s="237"/>
    </row>
    <row r="70" spans="2:132" x14ac:dyDescent="0.25">
      <c r="B70" s="220">
        <v>49</v>
      </c>
      <c r="C70" s="221" t="s">
        <v>199</v>
      </c>
      <c r="D70" s="220" t="s">
        <v>68</v>
      </c>
      <c r="E70" s="220" t="s">
        <v>68</v>
      </c>
      <c r="F70" s="220" t="s">
        <v>200</v>
      </c>
      <c r="G70" s="220" t="s">
        <v>70</v>
      </c>
      <c r="H70" s="525" t="s">
        <v>430</v>
      </c>
      <c r="I70" s="70" t="s">
        <v>470</v>
      </c>
      <c r="J70" s="227" t="s">
        <v>444</v>
      </c>
      <c r="K70" s="220">
        <f>IFERROR(VLOOKUP(Table9[[#This Row],[Land Availability (Grade)​
(50%)]],'Detailed Rubric V3'!$B$8:$C$11,2), 0)</f>
        <v>0</v>
      </c>
      <c r="L70" s="220">
        <f>IFERROR(Table9[[#This Row],[Land Availability (Grade)​ Score]]*'Detailed Rubric V3'!$C$6, "")</f>
        <v>0</v>
      </c>
      <c r="M70" s="222">
        <v>774.48</v>
      </c>
      <c r="N70" s="222" cm="1">
        <f t="array" ref="N70">_xlfn.IFS(Table9[[#This Row],[Land Size (Acres)
(15%)]]&lt;100,0,Table9[[#This Row],[Land Size (Acres)
(15%)]]&gt;500,4,TRUE,2)</f>
        <v>4</v>
      </c>
      <c r="O70" s="222">
        <f>Table9[[#This Row],[Land Size (Acres) Score]]*'Detailed Rubric V3'!$G$6</f>
        <v>0.6</v>
      </c>
      <c r="P70" s="526"/>
      <c r="Q70" s="526">
        <f>IFERROR(Table9[[#This Row],[Site Filling Cost (Mn BDT)]]/Table9[[#This Row],[Land Size (Acres)
(15%)]],"")</f>
        <v>0</v>
      </c>
      <c r="R70" s="526" cm="1">
        <f t="array" ref="R70">IF(Table9[[#This Row],[Name]]="Sitakundo Economic Zone", 4, _xlfn.IFS(Table9[[#This Row],[Site Filling Cost (Mn BDT)]]="",0,Table9[[#This Row],[Land Suitability
(Cost of Land Filling in Million BDT per acre)
(25%)]]&gt;5,0,Table9[[#This Row],[Land Suitability
(Cost of Land Filling in Million BDT per acre)
(25%)]]&lt;2,4,TRUE,2))</f>
        <v>0</v>
      </c>
      <c r="S70" s="526">
        <f>Table9[[#This Row],[Land Suitability for Construction Score]]*'Detailed Rubric V3'!$J$6</f>
        <v>0</v>
      </c>
      <c r="T70" s="526"/>
      <c r="U70" s="526">
        <f>IFERROR(Table9[[#This Row],[Embankment/Dyke Cost (Mn BDT)]]/Table9[[#This Row],[Land Size (Acres)
(15%)]], 0)</f>
        <v>0</v>
      </c>
      <c r="V70" s="526" cm="1">
        <f t="array" ref="V70">IF(Table9[[#This Row],[Name]]="Sitakundo Economic Zone", 2, _xlfn.IFS(Table9[[#This Row],[Embankment/Dyke Cost (Mn BDT)]]="",0,Table9[[#This Row],[Cost of DRRI Infrastructure in million BDT per acre
(10%)]]&gt;5,0,Table9[[#This Row],[Cost of DRRI Infrastructure in million BDT per acre
(10%)]]&lt;2,4,TRUE,2))</f>
        <v>0</v>
      </c>
      <c r="W70" s="526">
        <f>Table9[[#This Row],[Requirement for Distaster Risk Reduction &amp; Resilience Infrastructure Score]]*'Detailed Rubric V3'!$M$6</f>
        <v>0</v>
      </c>
      <c r="X70"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70" s="227" t="s">
        <v>436</v>
      </c>
      <c r="Z70" s="210">
        <f>IFERROR(VLOOKUP(Table9[[#This Row],[Zone Priority
(40%)]],'Detailed Rubric V3'!$B$18:$C$21, 2,FALSE), 0)</f>
        <v>0</v>
      </c>
      <c r="AA70" s="210">
        <f>IFERROR(Table9[[#This Row],[Zone Priority Score]]*'Detailed Rubric V3'!$C$16, 0)</f>
        <v>0</v>
      </c>
      <c r="AB70" s="237" t="s">
        <v>441</v>
      </c>
      <c r="AC70" s="237">
        <f>VLOOKUP(Table9[[#This Row],[Existing BEZA Report
(60%)]],'Detailed Rubric V3'!$E$18:$F$20,2,FALSE)</f>
        <v>0</v>
      </c>
      <c r="AD70" s="237">
        <f>Table9[[#This Row],[Existing BEZA Report Score]]*'Detailed Rubric V3'!F$16</f>
        <v>0</v>
      </c>
      <c r="AE70" s="237">
        <f>(Table9[[#This Row],[Zone Priority Weighted Score]]+Table9[[#This Row],[Existing BEZA Report Weighted Score]])*'Detailed Rubric V3'!$C$14</f>
        <v>0</v>
      </c>
      <c r="AF70" s="528">
        <v>19</v>
      </c>
      <c r="AG70" s="529" cm="1">
        <f t="array" ref="AG70">_xlfn.IFS(Table9[[#This Row],[Existing Sectors
(50%)]]&gt;10, 4,Table9[[#This Row],[Existing Sectors
(50%)]]&lt;5, 0, TRUE, 2)</f>
        <v>4</v>
      </c>
      <c r="AH70" s="529">
        <f>Table9[[#This Row],[Existing Sectors Score]]*'Detailed Rubric V3'!$C$25</f>
        <v>2</v>
      </c>
      <c r="AI70" s="529">
        <v>19</v>
      </c>
      <c r="AJ70" s="529">
        <v>0</v>
      </c>
      <c r="AK70" s="529" cm="1">
        <f t="array" ref="AK70">_xlfn.IFS(Table9[[#This Row],[Potential New Sectors
(50%)]]&gt;5, 4, Table9[[#This Row],[Potential New Sectors
(50%)]]&lt;2,0, TRUE, 2)</f>
        <v>0</v>
      </c>
      <c r="AL70" s="529">
        <f>Table9[[#This Row],[Potential New Sectors Score]]*'Detailed Rubric V3'!$F$25</f>
        <v>0</v>
      </c>
      <c r="AM70" s="232">
        <f>(Table9[[#This Row],[Existing Sectors Weighted Score]]+Table9[[#This Row],[Potential New Sectors Weighted Score]])*'Detailed Rubric V3'!$C$23</f>
        <v>0.3</v>
      </c>
      <c r="AN70" s="530">
        <f>SUM(Table9[[#This Row],[1.1. Land Details (20% weightage)]],Table9[[#This Row],[1.2. BEZA Existing plans (15% weightage)]],Table9[[#This Row],[1.3. Sector Demand (15% weightage):]])</f>
        <v>0.42</v>
      </c>
      <c r="AO70" s="531">
        <f>_xlfn.RANK.EQ(Table9[[#This Row],[Level 1 Score]],$AN$3:$AN$103)</f>
        <v>62</v>
      </c>
      <c r="AP70" s="280"/>
      <c r="AQ70" s="280" cm="1">
        <f t="array" ref="AQ70">_xlfn.IFS(Table9[[#This Row],[National Highway Connectivity (km)
(15%)]]="", 0, Table9[[#This Row],[National Highway Connectivity (km)
(15%)]]&gt;50, 0, Table9[[#This Row],[National Highway Connectivity (km)
(15%)]]&lt;=25, 4, TRUE, 2)</f>
        <v>0</v>
      </c>
      <c r="AR70" s="280">
        <f>Table9[[#This Row],[National Highway Connectivity Score]]*'Detailed Rubric V3'!$C$35</f>
        <v>0</v>
      </c>
      <c r="AS70" s="280"/>
      <c r="AT70" s="280" cm="1">
        <f t="array" ref="AT70">_xlfn.IFS(Table9[[#This Row],[Connecting Road to Highway (km)
(15%)]]="", 0, Table9[[#This Row],[Connecting Road to Highway (km)
(15%)]]="Yes", 4, TRUE, 0)</f>
        <v>0</v>
      </c>
      <c r="AU70" s="280">
        <f>Table9[[#This Row],[Connecting Road to Highway Score]]*'Detailed Rubric V3'!$F$35</f>
        <v>0</v>
      </c>
      <c r="AV70" s="280"/>
      <c r="AW70" s="280" cm="1">
        <f t="array" ref="AW70">_xlfn.IFS(Table9[[#This Row],[Seaport Connectivity (km)
(30%)]]="",0, Table9[[#This Row],[Seaport Connectivity (km)
(30%)]]&gt;400, 0,Table9[[#This Row],[Seaport Connectivity (km)
(30%)]]&lt;=200,4, TRUE, 2)</f>
        <v>0</v>
      </c>
      <c r="AX70" s="280">
        <f>Table9[[#This Row],[Seaport Connectivity Score]]*'Detailed Rubric V3'!$I$35</f>
        <v>0</v>
      </c>
      <c r="AY70" s="280"/>
      <c r="AZ70" s="280" cm="1">
        <f t="array" ref="AZ70">_xlfn.IFS(Table9[[#This Row],[Airport Connectivity (km)
(10%)]]="", 0, Table9[[#This Row],[Airport Connectivity (km)
(10%)]]&gt;200, 0, Table9[[#This Row],[Airport Connectivity (km)
(10%)]]&lt;=100,4,TRUE, 2)</f>
        <v>0</v>
      </c>
      <c r="BA70" s="280">
        <f>Table9[[#This Row],[Airport Connectivity Score]]*'Detailed Rubric V3'!$C$41</f>
        <v>0</v>
      </c>
      <c r="BB70" s="280"/>
      <c r="BC70" s="280" cm="1">
        <f t="array" ref="BC70">_xlfn.IFS(Table9[[#This Row],[Railway Station (km)
(10%)]]="", 0, Table9[[#This Row],[Railway Station (km)
(10%)]]&gt;150, 0,Table9[[#This Row],[Railway Station (km)
(10%)]]&lt;=50,4, TRUE, 2)</f>
        <v>0</v>
      </c>
      <c r="BD70" s="280">
        <f>Table9[[#This Row],[Railway Station Score]]*'Detailed Rubric V3'!$F$41</f>
        <v>0</v>
      </c>
      <c r="BE70" s="280"/>
      <c r="BF70" s="280" cm="1">
        <f t="array" ref="BF70">_xlfn.IFS(Table9[[#This Row],[Inland waterway/ Land port (km)
(20%)]]="", 0, Table9[[#This Row],[Inland waterway/ Land port (km)
(20%)]]&gt;200, 0,Table9[[#This Row],[Inland waterway/ Land port (km)
(20%)]]&lt;=50,4, TRUE, 2)</f>
        <v>0</v>
      </c>
      <c r="BG70" s="280">
        <f>Table9[[#This Row],[Inland waterway/ Land port Score]]*'Detailed Rubric V3'!$I$41</f>
        <v>0</v>
      </c>
      <c r="BH70"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70" s="280"/>
      <c r="BJ70" s="280" cm="1">
        <f t="array" ref="BJ70">_xlfn.IFS(Table9[[#This Row],[Power Station (40%)]]="",0, Table9[[#This Row],[Power Station (40%)]]&gt;100, 0,Table9[[#This Row],[Power Station (40%)]]&lt;=50,4, TRUE, 2)</f>
        <v>0</v>
      </c>
      <c r="BK70" s="280">
        <f>Table9[[#This Row],[Power Station Score]]*'Detailed Rubric V3'!$C$53</f>
        <v>0</v>
      </c>
      <c r="BL70" s="280"/>
      <c r="BM70" s="280" cm="1">
        <f t="array" ref="BM70">IF(ISNUMBER(Table9[[#This Row],[Gas Station (20%)]]), _xlfn.IFS(Table9[[#This Row],[Gas Station (20%)]]="", 0, Table9[[#This Row],[Gas Station (20%)]]&gt;100, 0,Table9[[#This Row],[Gas Station (20%)]]&lt;=50,4, TRUE, 2), 0)</f>
        <v>0</v>
      </c>
      <c r="BN70" s="280">
        <f>Table9[[#This Row],[Gas Station Score]]*'Detailed Rubric V3'!$F$53</f>
        <v>0</v>
      </c>
      <c r="BO70" s="280"/>
      <c r="BP70" s="280" cm="1">
        <f t="array" ref="BP70">IF(ISNUMBER(Table9[[#This Row],[Source of Surface Water (40%)]]), _xlfn.IFS(Table9[[#This Row],[Source of Surface Water (40%)]]="", 0, Table9[[#This Row],[Source of Surface Water (40%)]]&gt;50, 0,Table9[[#This Row],[Source of Surface Water (40%)]]&lt;=20,4, TRUE, 2), 0)</f>
        <v>0</v>
      </c>
      <c r="BQ70" s="280">
        <f>Table9[[#This Row],[Source of Surface Water Score]]*'Detailed Rubric V3'!$I$53</f>
        <v>0</v>
      </c>
      <c r="BR70" s="280">
        <f>SUM(Table9[[#This Row],[Power Station Weighted Score]],Table9[[#This Row],[Gas Station Weighted Score]],Table9[[#This Row],[Source of Surface Water Weighted Score]])*'Detailed Rubric V3'!$C$51</f>
        <v>0</v>
      </c>
      <c r="BS70" s="280"/>
      <c r="BT70" s="280" cm="1">
        <f t="array" ref="BT70">_xlfn.IFS(Table9[[#This Row],[Other BEZA EZ (20%)]]="", 0, Table9[[#This Row],[Other BEZA EZ (20%)]]="Yes", 4, TRUE, 0)</f>
        <v>0</v>
      </c>
      <c r="BU70" s="280">
        <f>Table9[[#This Row],[Other BEZA EZ Score]]*'Detailed Rubric V3'!$C$66</f>
        <v>0</v>
      </c>
      <c r="BV70" s="280"/>
      <c r="BW70" s="280" cm="1">
        <f t="array" ref="BW70">_xlfn.IFS(Table9[[#This Row],[BEPZA/ BHPTA/ BSCIC (20%)]]="", 0, Table9[[#This Row],[BEPZA/ BHPTA/ BSCIC (20%)]]="Yes", 4, TRUE, 0)</f>
        <v>0</v>
      </c>
      <c r="BX70" s="280">
        <f>Table9[[#This Row],[BEPZA/ BHPTA/ BSCIC Score]]*'Detailed Rubric V3'!$F$66</f>
        <v>0</v>
      </c>
      <c r="BY70" s="280"/>
      <c r="BZ70" s="280" cm="1">
        <f t="array" ref="BZ70">_xlfn.IFS(Table9[[#This Row],[Cluster Industries (from SMI) (20%)]]="", 0, Table9[[#This Row],[Cluster Industries (from SMI) (20%)]]&gt;100, 4, Table9[[#This Row],[Cluster Industries (from SMI) (20%)]]&lt;50, 0, TRUE, 2)</f>
        <v>0</v>
      </c>
      <c r="CA70" s="280">
        <f>Table9[[#This Row],[Cluster Industries (from SMI) Score]]*'Detailed Rubric V3'!$I$66</f>
        <v>0</v>
      </c>
      <c r="CB70" s="280"/>
      <c r="CC70" s="280" cm="1">
        <f t="array" ref="CC70">_xlfn.IFS(Table9[[#This Row],[Located on Industrial corridor (40%)]]="", 0, Table9[[#This Row],[Located on Industrial corridor (40%)]]="Yes", 4, TRUE, 0)</f>
        <v>0</v>
      </c>
      <c r="CD70" s="280">
        <f>Table9[[#This Row],[Located on Industrial corridor Score]]*'Detailed Rubric V3'!$L$66</f>
        <v>0</v>
      </c>
      <c r="CE70" s="280">
        <f>SUM(Table9[[#This Row],[Other BEZA EZ Weighted Score]],Table9[[#This Row],[BEPZA/ BHPTA/ BSCIC Weighted Score]],Table9[[#This Row],[Unorganized (from SMI) Weighted Score]],Table9[[#This Row],[Located on Industrial corridor Weighted Score]])*'Detailed Rubric V3'!$C$64</f>
        <v>0</v>
      </c>
      <c r="CF70" s="280"/>
      <c r="CG70" s="280" cm="1">
        <f t="array" ref="CG70">_xlfn.IFS(Table9[[#This Row],[Economic/ Social priority (laggered area) (100%)]]="", 0, Table9[[#This Row],[Economic/ Social priority (laggered area) (100%)]]="Yes", 4, TRUE, 0)</f>
        <v>0</v>
      </c>
      <c r="CH70" s="280">
        <f>Table9[[#This Row],[Economic/ Social priority (laggered area) Score]]*'Detailed Rubric V3'!$C$82</f>
        <v>0</v>
      </c>
      <c r="CI70" s="280"/>
      <c r="CJ70" s="280" cm="1">
        <f t="array" ref="CJ70">_xlfn.IFS(Table9[[#This Row],[Regional Tax incentive  (0%)]]="", 0, Table9[[#This Row],[Regional Tax incentive  (0%)]]="Yes", 4, TRUE, 0)</f>
        <v>0</v>
      </c>
      <c r="CK70" s="280">
        <f>Table9[[#This Row],[Regional Tax incentive Score]]*'Detailed Rubric V3'!$F$82</f>
        <v>0</v>
      </c>
      <c r="CL70" s="280">
        <f>SUM(Table9[[#This Row],[Economic/ Social priority (laagered area) Weighted Score]],Table9[[#This Row],[Regional Tax incentive  Weighted Score]])*'Detailed Rubric V3'!$C$80</f>
        <v>0</v>
      </c>
      <c r="CM70" s="280"/>
      <c r="CN70" s="280" cm="1">
        <f t="array" ref="CN70">_xlfn.IFS(Table9[[#This Row],[Employable population (40%) 2013]]="", 0, Table9[[#This Row],[Employable population (40%) 2013]]&gt;200000, 4, Table9[[#This Row],[Employable population (40%) 2013]]&lt;100000,0, TRUE, 2)</f>
        <v>0</v>
      </c>
      <c r="CO70" s="280">
        <f>Table9[[#This Row],[Employable population Score]]*'Detailed Rubric V3'!$C$92</f>
        <v>0</v>
      </c>
      <c r="CP70" s="280"/>
      <c r="CQ70" s="280" cm="1">
        <f t="array" ref="CQ70">_xlfn.IFS(Table9[[#This Row],[Housing (20%)]]="", 0, Table9[[#This Row],[Housing (20%)]]&gt;50, 0, Table9[[#This Row],[Housing (20%)]]&lt;25, 4, TRUE, 2)</f>
        <v>0</v>
      </c>
      <c r="CR70" s="280">
        <f>Table9[[#This Row],[Housing Score]]*'Detailed Rubric V3'!$F$92</f>
        <v>0</v>
      </c>
      <c r="CS70" s="280"/>
      <c r="CT70" s="280" cm="1">
        <f t="array" ref="CT70">_xlfn.IFS(Table9[[#This Row],[Hotels (10%)]]="", 0, Table9[[#This Row],[Hotels (10%)]]&gt;25, 4, Table9[[#This Row],[Hotels (10%)]]&lt;5, 0, TRUE, 2)</f>
        <v>0</v>
      </c>
      <c r="CU70" s="280">
        <f>Table9[[#This Row],[Hotels Score]]*'Detailed Rubric V3'!$I$92</f>
        <v>0</v>
      </c>
      <c r="CV70" s="280"/>
      <c r="CW70" s="280" cm="1">
        <f t="array" ref="CW70">_xlfn.IFS(Table9[[#This Row],[Health (Hospital) (15%)]]="", 0, Table9[[#This Row],[Health (Hospital) (15%)]]&gt;10, 4, Table9[[#This Row],[Health (Hospital) (15%)]]&lt;5, 0, TRUE, 2)</f>
        <v>0</v>
      </c>
      <c r="CX70" s="280">
        <f>Table9[[#This Row],[Health (Hospital) Score]]*'Detailed Rubric V3'!$L$92</f>
        <v>0</v>
      </c>
      <c r="CY70" s="280"/>
      <c r="CZ70" s="280" cm="1">
        <f t="array" ref="CZ70">_xlfn.IFS(Table9[[#This Row],[University/ Technical &amp; Vocational Institutions (15%)]]="", 0, Table9[[#This Row],[University/ Technical &amp; Vocational Institutions (15%)]]&gt;3, 4, Table9[[#This Row],[University/ Technical &amp; Vocational Institutions (15%)]]&lt;1, 0, TRUE, 2)</f>
        <v>0</v>
      </c>
      <c r="DA70" s="280">
        <f>Table9[[#This Row],[University/ Technical &amp; Vocational Institutions Score]]*'Detailed Rubric V3'!$O$92</f>
        <v>0</v>
      </c>
      <c r="DB70"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70" s="280"/>
      <c r="DD70" s="280" cm="1">
        <f t="array" ref="DD70">_xlfn.IFS(Table9[[#This Row],[Environment compliance (30%)]]="", 0, Table9[[#This Row],[Environment compliance (30%)]]="Yes", 4, TRUE, 0)</f>
        <v>0</v>
      </c>
      <c r="DE70" s="280">
        <f>Table9[[#This Row],[Environment compliance Score]]*'Detailed Rubric V3'!$C$104</f>
        <v>0</v>
      </c>
      <c r="DF70" s="280" t="s">
        <v>419</v>
      </c>
      <c r="DG70" s="280" cm="1">
        <f t="array" ref="DG70">_xlfn.IFS(Table9[[#This Row],[Flood Risk Index (30%)]]="", 0, Table9[[#This Row],[Flood Risk Index (30%)]]="Very Low", 4, Table9[[#This Row],[Flood Risk Index (30%)]]="Moderate &amp; Low", 2, TRUE, 0)</f>
        <v>2</v>
      </c>
      <c r="DH70" s="280">
        <f>Table9[[#This Row],[Flood Risk Index Score]]*'Detailed Rubric V3'!$F$104</f>
        <v>0.6</v>
      </c>
      <c r="DI70" s="280" t="s">
        <v>419</v>
      </c>
      <c r="DJ70" s="280" cm="1">
        <f t="array" ref="DJ70">_xlfn.IFS(Table9[[#This Row],[Earth Quake Risk Index (10%)]]="", 0, Table9[[#This Row],[Earth Quake Risk Index (10%)]]="Very Low", 4, Table9[[#This Row],[Earth Quake Risk Index (10%)]]="Moderate &amp; Low", 2, TRUE, 0)</f>
        <v>2</v>
      </c>
      <c r="DK70" s="280">
        <f>Table9[[#This Row],[Earth Quake Risk Index Score]]*'Detailed Rubric V3'!$I$104</f>
        <v>0.2</v>
      </c>
      <c r="DL70" s="280" t="s">
        <v>419</v>
      </c>
      <c r="DM70" s="280" cm="1">
        <f t="array" ref="DM70">_xlfn.IFS(Table9[[#This Row],[Sea Level Rise Risk Index (10%)]]="", 0, Table9[[#This Row],[Sea Level Rise Risk Index (10%)]]="Very Low", 4, Table9[[#This Row],[Sea Level Rise Risk Index (10%)]]="Moderate &amp; Low", 2, TRUE, 0)</f>
        <v>2</v>
      </c>
      <c r="DN70" s="280">
        <f>Table9[[#This Row],[Sea Level Rise  Risk Index Score]]*'Detailed Rubric V3'!$L$104</f>
        <v>0.2</v>
      </c>
      <c r="DO70" s="280" t="s">
        <v>420</v>
      </c>
      <c r="DP70" s="280" cm="1">
        <f t="array" ref="DP70">_xlfn.IFS(Table9[[#This Row],[Cyclone Risk Index (10%)]]="", 0, Table9[[#This Row],[Cyclone Risk Index (10%)]]="Very Low", 4, Table9[[#This Row],[Cyclone Risk Index (10%)]]="Moderate &amp; Low", 2, TRUE, 0)</f>
        <v>0</v>
      </c>
      <c r="DQ70" s="280">
        <f>Table9[[#This Row],[Cyclone Risk Index Score]]*'Detailed Rubric V3'!$O$104</f>
        <v>0</v>
      </c>
      <c r="DR70" s="280" t="s">
        <v>421</v>
      </c>
      <c r="DS70" s="280" cm="1">
        <f t="array" ref="DS70">_xlfn.IFS(Table9[[#This Row],[Storm Surge Risk Index (10%)]]="", 0, Table9[[#This Row],[Storm Surge Risk Index (10%)]]="Very Low", 4, Table9[[#This Row],[Storm Surge Risk Index (10%)]]="Moderate &amp; Low", 2, TRUE, 0)</f>
        <v>0</v>
      </c>
      <c r="DT70" s="280">
        <f>Table9[[#This Row],[Storm Surge Risk Index Score]]*'Detailed Rubric V3'!$R$104</f>
        <v>0</v>
      </c>
      <c r="DU70"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70" s="309">
        <f>SUM(Table9[[#This Row],[2.1. Connectivity/ Logistics (10% weightage)]],Table9[[#This Row],[2.2. Utility (12% weightage)]],Table9[[#This Row],[2.3. Agglomeration effects (10% weightage)]],Table9[[#This Row],[2.4. Regional Policy (4% weightage)]],Table9[[#This Row],[2.5. Social (8% weightage)]],Table9[[#This Row],[2.6. Environment (6% weightage)]])</f>
        <v>0.06</v>
      </c>
      <c r="DW70" s="280">
        <f>_xlfn.RANK.EQ(Table9[[#This Row],[Level 2 Score]],$DV$3:$DV$103)</f>
        <v>88</v>
      </c>
      <c r="DX70" s="302">
        <f>Table9[[#This Row],[Level 1 Score]]+Table9[[#This Row],[Level 2 Score]]</f>
        <v>0.48</v>
      </c>
      <c r="DY70" s="294">
        <f>_xlfn.RANK.EQ(Table9[[#This Row],[Total Score]],$DX$3:$DX$103)</f>
        <v>68</v>
      </c>
      <c r="DZ70" s="237" t="str">
        <f>IF(Table9[[#This Row],[Count of Blanks]]&lt;=2, "Yes", "No")</f>
        <v>No</v>
      </c>
      <c r="EA70" s="237">
        <f>COUNTBLANK(Table9[[#This Row],[Name]:[Total Score Rank]])</f>
        <v>23</v>
      </c>
      <c r="EB70" s="237"/>
    </row>
    <row r="71" spans="2:132" ht="27" x14ac:dyDescent="0.25">
      <c r="B71" s="220">
        <v>53</v>
      </c>
      <c r="C71" s="221" t="s">
        <v>197</v>
      </c>
      <c r="D71" s="220" t="s">
        <v>68</v>
      </c>
      <c r="E71" s="220" t="s">
        <v>68</v>
      </c>
      <c r="F71" s="220" t="s">
        <v>198</v>
      </c>
      <c r="G71" s="220" t="s">
        <v>70</v>
      </c>
      <c r="H71" s="525" t="s">
        <v>430</v>
      </c>
      <c r="I71" s="70" t="s">
        <v>471</v>
      </c>
      <c r="J71" s="227" t="s">
        <v>444</v>
      </c>
      <c r="K71" s="220">
        <f>IFERROR(VLOOKUP(Table9[[#This Row],[Land Availability (Grade)​
(50%)]],'Detailed Rubric V3'!$B$8:$C$11,2), 0)</f>
        <v>0</v>
      </c>
      <c r="L71" s="220">
        <f>IFERROR(Table9[[#This Row],[Land Availability (Grade)​ Score]]*'Detailed Rubric V3'!$C$6, "")</f>
        <v>0</v>
      </c>
      <c r="M71" s="222">
        <v>13000.4264</v>
      </c>
      <c r="N71" s="222" cm="1">
        <f t="array" ref="N71">_xlfn.IFS(Table9[[#This Row],[Land Size (Acres)
(15%)]]&lt;100,0,Table9[[#This Row],[Land Size (Acres)
(15%)]]&gt;500,4,TRUE,2)</f>
        <v>4</v>
      </c>
      <c r="O71" s="222">
        <f>Table9[[#This Row],[Land Size (Acres) Score]]*'Detailed Rubric V3'!$G$6</f>
        <v>0.6</v>
      </c>
      <c r="P71" s="526"/>
      <c r="Q71" s="526">
        <f>IFERROR(Table9[[#This Row],[Site Filling Cost (Mn BDT)]]/Table9[[#This Row],[Land Size (Acres)
(15%)]],"")</f>
        <v>0</v>
      </c>
      <c r="R71" s="526" cm="1">
        <f t="array" ref="R71">IF(Table9[[#This Row],[Name]]="Sitakundo Economic Zone", 4, _xlfn.IFS(Table9[[#This Row],[Site Filling Cost (Mn BDT)]]="",0,Table9[[#This Row],[Land Suitability
(Cost of Land Filling in Million BDT per acre)
(25%)]]&gt;5,0,Table9[[#This Row],[Land Suitability
(Cost of Land Filling in Million BDT per acre)
(25%)]]&lt;2,4,TRUE,2))</f>
        <v>0</v>
      </c>
      <c r="S71" s="526">
        <f>Table9[[#This Row],[Land Suitability for Construction Score]]*'Detailed Rubric V3'!$J$6</f>
        <v>0</v>
      </c>
      <c r="T71" s="526"/>
      <c r="U71" s="526">
        <f>IFERROR(Table9[[#This Row],[Embankment/Dyke Cost (Mn BDT)]]/Table9[[#This Row],[Land Size (Acres)
(15%)]], 0)</f>
        <v>0</v>
      </c>
      <c r="V71" s="526" cm="1">
        <f t="array" ref="V71">IF(Table9[[#This Row],[Name]]="Sitakundo Economic Zone", 2, _xlfn.IFS(Table9[[#This Row],[Embankment/Dyke Cost (Mn BDT)]]="",0,Table9[[#This Row],[Cost of DRRI Infrastructure in million BDT per acre
(10%)]]&gt;5,0,Table9[[#This Row],[Cost of DRRI Infrastructure in million BDT per acre
(10%)]]&lt;2,4,TRUE,2))</f>
        <v>0</v>
      </c>
      <c r="W71" s="526">
        <f>Table9[[#This Row],[Requirement for Distaster Risk Reduction &amp; Resilience Infrastructure Score]]*'Detailed Rubric V3'!$M$6</f>
        <v>0</v>
      </c>
      <c r="X71"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71" s="227" t="s">
        <v>436</v>
      </c>
      <c r="Z71" s="210">
        <f>IFERROR(VLOOKUP(Table9[[#This Row],[Zone Priority
(40%)]],'Detailed Rubric V3'!$B$18:$C$21, 2,FALSE), 0)</f>
        <v>0</v>
      </c>
      <c r="AA71" s="210">
        <f>IFERROR(Table9[[#This Row],[Zone Priority Score]]*'Detailed Rubric V3'!$C$16, 0)</f>
        <v>0</v>
      </c>
      <c r="AB71" s="237" t="s">
        <v>441</v>
      </c>
      <c r="AC71" s="237">
        <f>VLOOKUP(Table9[[#This Row],[Existing BEZA Report
(60%)]],'Detailed Rubric V3'!$E$18:$F$20,2,FALSE)</f>
        <v>0</v>
      </c>
      <c r="AD71" s="237">
        <f>Table9[[#This Row],[Existing BEZA Report Score]]*'Detailed Rubric V3'!F$16</f>
        <v>0</v>
      </c>
      <c r="AE71" s="237">
        <f>(Table9[[#This Row],[Zone Priority Weighted Score]]+Table9[[#This Row],[Existing BEZA Report Weighted Score]])*'Detailed Rubric V3'!$C$14</f>
        <v>0</v>
      </c>
      <c r="AF71" s="528">
        <v>19</v>
      </c>
      <c r="AG71" s="529" cm="1">
        <f t="array" ref="AG71">_xlfn.IFS(Table9[[#This Row],[Existing Sectors
(50%)]]&gt;10, 4,Table9[[#This Row],[Existing Sectors
(50%)]]&lt;5, 0, TRUE, 2)</f>
        <v>4</v>
      </c>
      <c r="AH71" s="529">
        <f>Table9[[#This Row],[Existing Sectors Score]]*'Detailed Rubric V3'!$C$25</f>
        <v>2</v>
      </c>
      <c r="AI71" s="529">
        <v>19</v>
      </c>
      <c r="AJ71" s="529">
        <v>0</v>
      </c>
      <c r="AK71" s="529" cm="1">
        <f t="array" ref="AK71">_xlfn.IFS(Table9[[#This Row],[Potential New Sectors
(50%)]]&gt;5, 4, Table9[[#This Row],[Potential New Sectors
(50%)]]&lt;2,0, TRUE, 2)</f>
        <v>0</v>
      </c>
      <c r="AL71" s="529">
        <f>Table9[[#This Row],[Potential New Sectors Score]]*'Detailed Rubric V3'!$F$25</f>
        <v>0</v>
      </c>
      <c r="AM71" s="232">
        <f>(Table9[[#This Row],[Existing Sectors Weighted Score]]+Table9[[#This Row],[Potential New Sectors Weighted Score]])*'Detailed Rubric V3'!$C$23</f>
        <v>0.3</v>
      </c>
      <c r="AN71" s="530">
        <f>SUM(Table9[[#This Row],[1.1. Land Details (20% weightage)]],Table9[[#This Row],[1.2. BEZA Existing plans (15% weightage)]],Table9[[#This Row],[1.3. Sector Demand (15% weightage):]])</f>
        <v>0.42</v>
      </c>
      <c r="AO71" s="531">
        <f>_xlfn.RANK.EQ(Table9[[#This Row],[Level 1 Score]],$AN$3:$AN$103)</f>
        <v>62</v>
      </c>
      <c r="AP71" s="280"/>
      <c r="AQ71" s="280" cm="1">
        <f t="array" ref="AQ71">_xlfn.IFS(Table9[[#This Row],[National Highway Connectivity (km)
(15%)]]="", 0, Table9[[#This Row],[National Highway Connectivity (km)
(15%)]]&gt;50, 0, Table9[[#This Row],[National Highway Connectivity (km)
(15%)]]&lt;=25, 4, TRUE, 2)</f>
        <v>0</v>
      </c>
      <c r="AR71" s="280">
        <f>Table9[[#This Row],[National Highway Connectivity Score]]*'Detailed Rubric V3'!$C$35</f>
        <v>0</v>
      </c>
      <c r="AS71" s="280"/>
      <c r="AT71" s="280" cm="1">
        <f t="array" ref="AT71">_xlfn.IFS(Table9[[#This Row],[Connecting Road to Highway (km)
(15%)]]="", 0, Table9[[#This Row],[Connecting Road to Highway (km)
(15%)]]="Yes", 4, TRUE, 0)</f>
        <v>0</v>
      </c>
      <c r="AU71" s="280">
        <f>Table9[[#This Row],[Connecting Road to Highway Score]]*'Detailed Rubric V3'!$F$35</f>
        <v>0</v>
      </c>
      <c r="AV71" s="280"/>
      <c r="AW71" s="280" cm="1">
        <f t="array" ref="AW71">_xlfn.IFS(Table9[[#This Row],[Seaport Connectivity (km)
(30%)]]="",0, Table9[[#This Row],[Seaport Connectivity (km)
(30%)]]&gt;400, 0,Table9[[#This Row],[Seaport Connectivity (km)
(30%)]]&lt;=200,4, TRUE, 2)</f>
        <v>0</v>
      </c>
      <c r="AX71" s="280">
        <f>Table9[[#This Row],[Seaport Connectivity Score]]*'Detailed Rubric V3'!$I$35</f>
        <v>0</v>
      </c>
      <c r="AY71" s="280"/>
      <c r="AZ71" s="280" cm="1">
        <f t="array" ref="AZ71">_xlfn.IFS(Table9[[#This Row],[Airport Connectivity (km)
(10%)]]="", 0, Table9[[#This Row],[Airport Connectivity (km)
(10%)]]&gt;200, 0, Table9[[#This Row],[Airport Connectivity (km)
(10%)]]&lt;=100,4,TRUE, 2)</f>
        <v>0</v>
      </c>
      <c r="BA71" s="280">
        <f>Table9[[#This Row],[Airport Connectivity Score]]*'Detailed Rubric V3'!$C$41</f>
        <v>0</v>
      </c>
      <c r="BB71" s="280"/>
      <c r="BC71" s="280" cm="1">
        <f t="array" ref="BC71">_xlfn.IFS(Table9[[#This Row],[Railway Station (km)
(10%)]]="", 0, Table9[[#This Row],[Railway Station (km)
(10%)]]&gt;150, 0,Table9[[#This Row],[Railway Station (km)
(10%)]]&lt;=50,4, TRUE, 2)</f>
        <v>0</v>
      </c>
      <c r="BD71" s="280">
        <f>Table9[[#This Row],[Railway Station Score]]*'Detailed Rubric V3'!$F$41</f>
        <v>0</v>
      </c>
      <c r="BE71" s="280"/>
      <c r="BF71" s="280" cm="1">
        <f t="array" ref="BF71">_xlfn.IFS(Table9[[#This Row],[Inland waterway/ Land port (km)
(20%)]]="", 0, Table9[[#This Row],[Inland waterway/ Land port (km)
(20%)]]&gt;200, 0,Table9[[#This Row],[Inland waterway/ Land port (km)
(20%)]]&lt;=50,4, TRUE, 2)</f>
        <v>0</v>
      </c>
      <c r="BG71" s="280">
        <f>Table9[[#This Row],[Inland waterway/ Land port Score]]*'Detailed Rubric V3'!$I$41</f>
        <v>0</v>
      </c>
      <c r="BH71"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71" s="280"/>
      <c r="BJ71" s="280" cm="1">
        <f t="array" ref="BJ71">_xlfn.IFS(Table9[[#This Row],[Power Station (40%)]]="",0, Table9[[#This Row],[Power Station (40%)]]&gt;100, 0,Table9[[#This Row],[Power Station (40%)]]&lt;=50,4, TRUE, 2)</f>
        <v>0</v>
      </c>
      <c r="BK71" s="280">
        <f>Table9[[#This Row],[Power Station Score]]*'Detailed Rubric V3'!$C$53</f>
        <v>0</v>
      </c>
      <c r="BL71" s="280"/>
      <c r="BM71" s="280" cm="1">
        <f t="array" ref="BM71">IF(ISNUMBER(Table9[[#This Row],[Gas Station (20%)]]), _xlfn.IFS(Table9[[#This Row],[Gas Station (20%)]]="", 0, Table9[[#This Row],[Gas Station (20%)]]&gt;100, 0,Table9[[#This Row],[Gas Station (20%)]]&lt;=50,4, TRUE, 2), 0)</f>
        <v>0</v>
      </c>
      <c r="BN71" s="280">
        <f>Table9[[#This Row],[Gas Station Score]]*'Detailed Rubric V3'!$F$53</f>
        <v>0</v>
      </c>
      <c r="BO71" s="280"/>
      <c r="BP71" s="280" cm="1">
        <f t="array" ref="BP71">IF(ISNUMBER(Table9[[#This Row],[Source of Surface Water (40%)]]), _xlfn.IFS(Table9[[#This Row],[Source of Surface Water (40%)]]="", 0, Table9[[#This Row],[Source of Surface Water (40%)]]&gt;50, 0,Table9[[#This Row],[Source of Surface Water (40%)]]&lt;=20,4, TRUE, 2), 0)</f>
        <v>0</v>
      </c>
      <c r="BQ71" s="280">
        <f>Table9[[#This Row],[Source of Surface Water Score]]*'Detailed Rubric V3'!$I$53</f>
        <v>0</v>
      </c>
      <c r="BR71" s="280">
        <f>SUM(Table9[[#This Row],[Power Station Weighted Score]],Table9[[#This Row],[Gas Station Weighted Score]],Table9[[#This Row],[Source of Surface Water Weighted Score]])*'Detailed Rubric V3'!$C$51</f>
        <v>0</v>
      </c>
      <c r="BS71" s="280"/>
      <c r="BT71" s="280" cm="1">
        <f t="array" ref="BT71">_xlfn.IFS(Table9[[#This Row],[Other BEZA EZ (20%)]]="", 0, Table9[[#This Row],[Other BEZA EZ (20%)]]="Yes", 4, TRUE, 0)</f>
        <v>0</v>
      </c>
      <c r="BU71" s="280">
        <f>Table9[[#This Row],[Other BEZA EZ Score]]*'Detailed Rubric V3'!$C$66</f>
        <v>0</v>
      </c>
      <c r="BV71" s="280"/>
      <c r="BW71" s="280" cm="1">
        <f t="array" ref="BW71">_xlfn.IFS(Table9[[#This Row],[BEPZA/ BHPTA/ BSCIC (20%)]]="", 0, Table9[[#This Row],[BEPZA/ BHPTA/ BSCIC (20%)]]="Yes", 4, TRUE, 0)</f>
        <v>0</v>
      </c>
      <c r="BX71" s="280">
        <f>Table9[[#This Row],[BEPZA/ BHPTA/ BSCIC Score]]*'Detailed Rubric V3'!$F$66</f>
        <v>0</v>
      </c>
      <c r="BY71" s="280"/>
      <c r="BZ71" s="280" cm="1">
        <f t="array" ref="BZ71">_xlfn.IFS(Table9[[#This Row],[Cluster Industries (from SMI) (20%)]]="", 0, Table9[[#This Row],[Cluster Industries (from SMI) (20%)]]&gt;100, 4, Table9[[#This Row],[Cluster Industries (from SMI) (20%)]]&lt;50, 0, TRUE, 2)</f>
        <v>0</v>
      </c>
      <c r="CA71" s="280">
        <f>Table9[[#This Row],[Cluster Industries (from SMI) Score]]*'Detailed Rubric V3'!$I$66</f>
        <v>0</v>
      </c>
      <c r="CB71" s="280"/>
      <c r="CC71" s="280" cm="1">
        <f t="array" ref="CC71">_xlfn.IFS(Table9[[#This Row],[Located on Industrial corridor (40%)]]="", 0, Table9[[#This Row],[Located on Industrial corridor (40%)]]="Yes", 4, TRUE, 0)</f>
        <v>0</v>
      </c>
      <c r="CD71" s="280">
        <f>Table9[[#This Row],[Located on Industrial corridor Score]]*'Detailed Rubric V3'!$L$66</f>
        <v>0</v>
      </c>
      <c r="CE71" s="280">
        <f>SUM(Table9[[#This Row],[Other BEZA EZ Weighted Score]],Table9[[#This Row],[BEPZA/ BHPTA/ BSCIC Weighted Score]],Table9[[#This Row],[Unorganized (from SMI) Weighted Score]],Table9[[#This Row],[Located on Industrial corridor Weighted Score]])*'Detailed Rubric V3'!$C$64</f>
        <v>0</v>
      </c>
      <c r="CF71" s="280"/>
      <c r="CG71" s="280" cm="1">
        <f t="array" ref="CG71">_xlfn.IFS(Table9[[#This Row],[Economic/ Social priority (laggered area) (100%)]]="", 0, Table9[[#This Row],[Economic/ Social priority (laggered area) (100%)]]="Yes", 4, TRUE, 0)</f>
        <v>0</v>
      </c>
      <c r="CH71" s="280">
        <f>Table9[[#This Row],[Economic/ Social priority (laggered area) Score]]*'Detailed Rubric V3'!$C$82</f>
        <v>0</v>
      </c>
      <c r="CI71" s="280"/>
      <c r="CJ71" s="280" cm="1">
        <f t="array" ref="CJ71">_xlfn.IFS(Table9[[#This Row],[Regional Tax incentive  (0%)]]="", 0, Table9[[#This Row],[Regional Tax incentive  (0%)]]="Yes", 4, TRUE, 0)</f>
        <v>0</v>
      </c>
      <c r="CK71" s="280">
        <f>Table9[[#This Row],[Regional Tax incentive Score]]*'Detailed Rubric V3'!$F$82</f>
        <v>0</v>
      </c>
      <c r="CL71" s="280">
        <f>SUM(Table9[[#This Row],[Economic/ Social priority (laagered area) Weighted Score]],Table9[[#This Row],[Regional Tax incentive  Weighted Score]])*'Detailed Rubric V3'!$C$80</f>
        <v>0</v>
      </c>
      <c r="CM71" s="280"/>
      <c r="CN71" s="280" cm="1">
        <f t="array" ref="CN71">_xlfn.IFS(Table9[[#This Row],[Employable population (40%) 2013]]="", 0, Table9[[#This Row],[Employable population (40%) 2013]]&gt;200000, 4, Table9[[#This Row],[Employable population (40%) 2013]]&lt;100000,0, TRUE, 2)</f>
        <v>0</v>
      </c>
      <c r="CO71" s="280">
        <f>Table9[[#This Row],[Employable population Score]]*'Detailed Rubric V3'!$C$92</f>
        <v>0</v>
      </c>
      <c r="CP71" s="280"/>
      <c r="CQ71" s="280" cm="1">
        <f t="array" ref="CQ71">_xlfn.IFS(Table9[[#This Row],[Housing (20%)]]="", 0, Table9[[#This Row],[Housing (20%)]]&gt;50, 0, Table9[[#This Row],[Housing (20%)]]&lt;25, 4, TRUE, 2)</f>
        <v>0</v>
      </c>
      <c r="CR71" s="280">
        <f>Table9[[#This Row],[Housing Score]]*'Detailed Rubric V3'!$F$92</f>
        <v>0</v>
      </c>
      <c r="CS71" s="280"/>
      <c r="CT71" s="280" cm="1">
        <f t="array" ref="CT71">_xlfn.IFS(Table9[[#This Row],[Hotels (10%)]]="", 0, Table9[[#This Row],[Hotels (10%)]]&gt;25, 4, Table9[[#This Row],[Hotels (10%)]]&lt;5, 0, TRUE, 2)</f>
        <v>0</v>
      </c>
      <c r="CU71" s="280">
        <f>Table9[[#This Row],[Hotels Score]]*'Detailed Rubric V3'!$I$92</f>
        <v>0</v>
      </c>
      <c r="CV71" s="280"/>
      <c r="CW71" s="280" cm="1">
        <f t="array" ref="CW71">_xlfn.IFS(Table9[[#This Row],[Health (Hospital) (15%)]]="", 0, Table9[[#This Row],[Health (Hospital) (15%)]]&gt;10, 4, Table9[[#This Row],[Health (Hospital) (15%)]]&lt;5, 0, TRUE, 2)</f>
        <v>0</v>
      </c>
      <c r="CX71" s="280">
        <f>Table9[[#This Row],[Health (Hospital) Score]]*'Detailed Rubric V3'!$L$92</f>
        <v>0</v>
      </c>
      <c r="CY71" s="280"/>
      <c r="CZ71" s="280" cm="1">
        <f t="array" ref="CZ71">_xlfn.IFS(Table9[[#This Row],[University/ Technical &amp; Vocational Institutions (15%)]]="", 0, Table9[[#This Row],[University/ Technical &amp; Vocational Institutions (15%)]]&gt;3, 4, Table9[[#This Row],[University/ Technical &amp; Vocational Institutions (15%)]]&lt;1, 0, TRUE, 2)</f>
        <v>0</v>
      </c>
      <c r="DA71" s="280">
        <f>Table9[[#This Row],[University/ Technical &amp; Vocational Institutions Score]]*'Detailed Rubric V3'!$O$92</f>
        <v>0</v>
      </c>
      <c r="DB71"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71" s="280"/>
      <c r="DD71" s="280" cm="1">
        <f t="array" ref="DD71">_xlfn.IFS(Table9[[#This Row],[Environment compliance (30%)]]="", 0, Table9[[#This Row],[Environment compliance (30%)]]="Yes", 4, TRUE, 0)</f>
        <v>0</v>
      </c>
      <c r="DE71" s="280">
        <f>Table9[[#This Row],[Environment compliance Score]]*'Detailed Rubric V3'!$C$104</f>
        <v>0</v>
      </c>
      <c r="DF71" s="280" t="s">
        <v>419</v>
      </c>
      <c r="DG71" s="280" cm="1">
        <f t="array" ref="DG71">_xlfn.IFS(Table9[[#This Row],[Flood Risk Index (30%)]]="", 0, Table9[[#This Row],[Flood Risk Index (30%)]]="Very Low", 4, Table9[[#This Row],[Flood Risk Index (30%)]]="Moderate &amp; Low", 2, TRUE, 0)</f>
        <v>2</v>
      </c>
      <c r="DH71" s="280">
        <f>Table9[[#This Row],[Flood Risk Index Score]]*'Detailed Rubric V3'!$F$104</f>
        <v>0.6</v>
      </c>
      <c r="DI71" s="280" t="s">
        <v>419</v>
      </c>
      <c r="DJ71" s="280" cm="1">
        <f t="array" ref="DJ71">_xlfn.IFS(Table9[[#This Row],[Earth Quake Risk Index (10%)]]="", 0, Table9[[#This Row],[Earth Quake Risk Index (10%)]]="Very Low", 4, Table9[[#This Row],[Earth Quake Risk Index (10%)]]="Moderate &amp; Low", 2, TRUE, 0)</f>
        <v>2</v>
      </c>
      <c r="DK71" s="280">
        <f>Table9[[#This Row],[Earth Quake Risk Index Score]]*'Detailed Rubric V3'!$I$104</f>
        <v>0.2</v>
      </c>
      <c r="DL71" s="280" t="s">
        <v>419</v>
      </c>
      <c r="DM71" s="280" cm="1">
        <f t="array" ref="DM71">_xlfn.IFS(Table9[[#This Row],[Sea Level Rise Risk Index (10%)]]="", 0, Table9[[#This Row],[Sea Level Rise Risk Index (10%)]]="Very Low", 4, Table9[[#This Row],[Sea Level Rise Risk Index (10%)]]="Moderate &amp; Low", 2, TRUE, 0)</f>
        <v>2</v>
      </c>
      <c r="DN71" s="280">
        <f>Table9[[#This Row],[Sea Level Rise  Risk Index Score]]*'Detailed Rubric V3'!$L$104</f>
        <v>0.2</v>
      </c>
      <c r="DO71" s="280" t="s">
        <v>420</v>
      </c>
      <c r="DP71" s="280" cm="1">
        <f t="array" ref="DP71">_xlfn.IFS(Table9[[#This Row],[Cyclone Risk Index (10%)]]="", 0, Table9[[#This Row],[Cyclone Risk Index (10%)]]="Very Low", 4, Table9[[#This Row],[Cyclone Risk Index (10%)]]="Moderate &amp; Low", 2, TRUE, 0)</f>
        <v>0</v>
      </c>
      <c r="DQ71" s="280">
        <f>Table9[[#This Row],[Cyclone Risk Index Score]]*'Detailed Rubric V3'!$O$104</f>
        <v>0</v>
      </c>
      <c r="DR71" s="280" t="s">
        <v>421</v>
      </c>
      <c r="DS71" s="280" cm="1">
        <f t="array" ref="DS71">_xlfn.IFS(Table9[[#This Row],[Storm Surge Risk Index (10%)]]="", 0, Table9[[#This Row],[Storm Surge Risk Index (10%)]]="Very Low", 4, Table9[[#This Row],[Storm Surge Risk Index (10%)]]="Moderate &amp; Low", 2, TRUE, 0)</f>
        <v>0</v>
      </c>
      <c r="DT71" s="280">
        <f>Table9[[#This Row],[Storm Surge Risk Index Score]]*'Detailed Rubric V3'!$R$104</f>
        <v>0</v>
      </c>
      <c r="DU71"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71" s="309">
        <f>SUM(Table9[[#This Row],[2.1. Connectivity/ Logistics (10% weightage)]],Table9[[#This Row],[2.2. Utility (12% weightage)]],Table9[[#This Row],[2.3. Agglomeration effects (10% weightage)]],Table9[[#This Row],[2.4. Regional Policy (4% weightage)]],Table9[[#This Row],[2.5. Social (8% weightage)]],Table9[[#This Row],[2.6. Environment (6% weightage)]])</f>
        <v>0.06</v>
      </c>
      <c r="DW71" s="280">
        <f>_xlfn.RANK.EQ(Table9[[#This Row],[Level 2 Score]],$DV$3:$DV$103)</f>
        <v>88</v>
      </c>
      <c r="DX71" s="302">
        <f>Table9[[#This Row],[Level 1 Score]]+Table9[[#This Row],[Level 2 Score]]</f>
        <v>0.48</v>
      </c>
      <c r="DY71" s="294">
        <f>_xlfn.RANK.EQ(Table9[[#This Row],[Total Score]],$DX$3:$DX$103)</f>
        <v>68</v>
      </c>
      <c r="DZ71" s="237" t="str">
        <f>IF(Table9[[#This Row],[Count of Blanks]]&lt;=2, "Yes", "No")</f>
        <v>No</v>
      </c>
      <c r="EA71" s="237">
        <f>COUNTBLANK(Table9[[#This Row],[Name]:[Total Score Rank]])</f>
        <v>23</v>
      </c>
      <c r="EB71" s="237"/>
    </row>
    <row r="72" spans="2:132" x14ac:dyDescent="0.25">
      <c r="B72" s="220">
        <v>76</v>
      </c>
      <c r="C72" s="221" t="s">
        <v>159</v>
      </c>
      <c r="D72" s="220" t="s">
        <v>76</v>
      </c>
      <c r="E72" s="220" t="s">
        <v>117</v>
      </c>
      <c r="F72" s="220" t="s">
        <v>118</v>
      </c>
      <c r="G72" s="220" t="s">
        <v>92</v>
      </c>
      <c r="H72" s="525" t="s">
        <v>430</v>
      </c>
      <c r="I72" s="70" t="s">
        <v>462</v>
      </c>
      <c r="J72" s="227" t="s">
        <v>435</v>
      </c>
      <c r="K72" s="220">
        <f>IFERROR(VLOOKUP(Table9[[#This Row],[Land Availability (Grade)​
(50%)]],'Detailed Rubric V3'!$B$8:$C$11,2), 0)</f>
        <v>2</v>
      </c>
      <c r="L72" s="220">
        <f>IFERROR(Table9[[#This Row],[Land Availability (Grade)​ Score]]*'Detailed Rubric V3'!$C$6, "")</f>
        <v>1</v>
      </c>
      <c r="M72" s="222">
        <v>110</v>
      </c>
      <c r="N72" s="222" cm="1">
        <f t="array" ref="N72">_xlfn.IFS(Table9[[#This Row],[Land Size (Acres)
(15%)]]&lt;100,0,Table9[[#This Row],[Land Size (Acres)
(15%)]]&gt;500,4,TRUE,2)</f>
        <v>2</v>
      </c>
      <c r="O72" s="222">
        <f>Table9[[#This Row],[Land Size (Acres) Score]]*'Detailed Rubric V3'!$G$6</f>
        <v>0.3</v>
      </c>
      <c r="P72" s="526"/>
      <c r="Q72" s="526">
        <f>IFERROR(Table9[[#This Row],[Site Filling Cost (Mn BDT)]]/Table9[[#This Row],[Land Size (Acres)
(15%)]],"")</f>
        <v>0</v>
      </c>
      <c r="R72" s="526" cm="1">
        <f t="array" ref="R72">IF(Table9[[#This Row],[Name]]="Sitakundo Economic Zone", 4, _xlfn.IFS(Table9[[#This Row],[Site Filling Cost (Mn BDT)]]="",0,Table9[[#This Row],[Land Suitability
(Cost of Land Filling in Million BDT per acre)
(25%)]]&gt;5,0,Table9[[#This Row],[Land Suitability
(Cost of Land Filling in Million BDT per acre)
(25%)]]&lt;2,4,TRUE,2))</f>
        <v>0</v>
      </c>
      <c r="S72" s="526">
        <f>Table9[[#This Row],[Land Suitability for Construction Score]]*'Detailed Rubric V3'!$J$6</f>
        <v>0</v>
      </c>
      <c r="T72" s="526"/>
      <c r="U72" s="526">
        <f>IFERROR(Table9[[#This Row],[Embankment/Dyke Cost (Mn BDT)]]/Table9[[#This Row],[Land Size (Acres)
(15%)]], 0)</f>
        <v>0</v>
      </c>
      <c r="V72" s="526" cm="1">
        <f t="array" ref="V72">IF(Table9[[#This Row],[Name]]="Sitakundo Economic Zone", 2, _xlfn.IFS(Table9[[#This Row],[Embankment/Dyke Cost (Mn BDT)]]="",0,Table9[[#This Row],[Cost of DRRI Infrastructure in million BDT per acre
(10%)]]&gt;5,0,Table9[[#This Row],[Cost of DRRI Infrastructure in million BDT per acre
(10%)]]&lt;2,4,TRUE,2))</f>
        <v>0</v>
      </c>
      <c r="W72" s="526">
        <f>Table9[[#This Row],[Requirement for Distaster Risk Reduction &amp; Resilience Infrastructure Score]]*'Detailed Rubric V3'!$M$6</f>
        <v>0</v>
      </c>
      <c r="X72"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0.26</v>
      </c>
      <c r="Y72" s="227" t="s">
        <v>440</v>
      </c>
      <c r="Z72" s="210">
        <f>IFERROR(VLOOKUP(Table9[[#This Row],[Zone Priority
(40%)]],'Detailed Rubric V3'!$B$18:$C$21, 2,FALSE), 0)</f>
        <v>4</v>
      </c>
      <c r="AA72" s="210">
        <f>IFERROR(Table9[[#This Row],[Zone Priority Score]]*'Detailed Rubric V3'!$C$16, 0)</f>
        <v>0</v>
      </c>
      <c r="AB72" s="237" t="s">
        <v>441</v>
      </c>
      <c r="AC72" s="237">
        <f>VLOOKUP(Table9[[#This Row],[Existing BEZA Report
(60%)]],'Detailed Rubric V3'!$E$18:$F$20,2,FALSE)</f>
        <v>0</v>
      </c>
      <c r="AD72" s="237">
        <f>Table9[[#This Row],[Existing BEZA Report Score]]*'Detailed Rubric V3'!F$16</f>
        <v>0</v>
      </c>
      <c r="AE72" s="237">
        <f>(Table9[[#This Row],[Zone Priority Weighted Score]]+Table9[[#This Row],[Existing BEZA Report Weighted Score]])*'Detailed Rubric V3'!$C$14</f>
        <v>0</v>
      </c>
      <c r="AF72" s="528">
        <v>5</v>
      </c>
      <c r="AG72" s="529" cm="1">
        <f t="array" ref="AG72">_xlfn.IFS(Table9[[#This Row],[Existing Sectors
(50%)]]&gt;10, 4,Table9[[#This Row],[Existing Sectors
(50%)]]&lt;5, 0, TRUE, 2)</f>
        <v>2</v>
      </c>
      <c r="AH72" s="529">
        <f>Table9[[#This Row],[Existing Sectors Score]]*'Detailed Rubric V3'!$C$25</f>
        <v>1</v>
      </c>
      <c r="AI72" s="529">
        <v>6</v>
      </c>
      <c r="AJ72" s="529">
        <v>1</v>
      </c>
      <c r="AK72" s="529" cm="1">
        <f t="array" ref="AK72">_xlfn.IFS(Table9[[#This Row],[Potential New Sectors
(50%)]]&gt;5, 4, Table9[[#This Row],[Potential New Sectors
(50%)]]&lt;2,0, TRUE, 2)</f>
        <v>0</v>
      </c>
      <c r="AL72" s="529">
        <f>Table9[[#This Row],[Potential New Sectors Score]]*'Detailed Rubric V3'!$F$25</f>
        <v>0</v>
      </c>
      <c r="AM72" s="232">
        <f>(Table9[[#This Row],[Existing Sectors Weighted Score]]+Table9[[#This Row],[Potential New Sectors Weighted Score]])*'Detailed Rubric V3'!$C$23</f>
        <v>0.15</v>
      </c>
      <c r="AN72" s="530">
        <f>SUM(Table9[[#This Row],[1.1. Land Details (20% weightage)]],Table9[[#This Row],[1.2. BEZA Existing plans (15% weightage)]],Table9[[#This Row],[1.3. Sector Demand (15% weightage):]])</f>
        <v>0.41000000000000003</v>
      </c>
      <c r="AO72" s="531">
        <f>_xlfn.RANK.EQ(Table9[[#This Row],[Level 1 Score]],$AN$3:$AN$103)</f>
        <v>68</v>
      </c>
      <c r="AP72" s="280"/>
      <c r="AQ72" s="280" cm="1">
        <f t="array" ref="AQ72">_xlfn.IFS(Table9[[#This Row],[National Highway Connectivity (km)
(15%)]]="", 0, Table9[[#This Row],[National Highway Connectivity (km)
(15%)]]&gt;50, 0, Table9[[#This Row],[National Highway Connectivity (km)
(15%)]]&lt;=25, 4, TRUE, 2)</f>
        <v>0</v>
      </c>
      <c r="AR72" s="280">
        <f>Table9[[#This Row],[National Highway Connectivity Score]]*'Detailed Rubric V3'!$C$35</f>
        <v>0</v>
      </c>
      <c r="AS72" s="280"/>
      <c r="AT72" s="280" cm="1">
        <f t="array" ref="AT72">_xlfn.IFS(Table9[[#This Row],[Connecting Road to Highway (km)
(15%)]]="", 0, Table9[[#This Row],[Connecting Road to Highway (km)
(15%)]]="Yes", 4, TRUE, 0)</f>
        <v>0</v>
      </c>
      <c r="AU72" s="280">
        <f>Table9[[#This Row],[Connecting Road to Highway Score]]*'Detailed Rubric V3'!$F$35</f>
        <v>0</v>
      </c>
      <c r="AV72" s="280"/>
      <c r="AW72" s="280" cm="1">
        <f t="array" ref="AW72">_xlfn.IFS(Table9[[#This Row],[Seaport Connectivity (km)
(30%)]]="",0, Table9[[#This Row],[Seaport Connectivity (km)
(30%)]]&gt;400, 0,Table9[[#This Row],[Seaport Connectivity (km)
(30%)]]&lt;=200,4, TRUE, 2)</f>
        <v>0</v>
      </c>
      <c r="AX72" s="280">
        <f>Table9[[#This Row],[Seaport Connectivity Score]]*'Detailed Rubric V3'!$I$35</f>
        <v>0</v>
      </c>
      <c r="AY72" s="280"/>
      <c r="AZ72" s="280" cm="1">
        <f t="array" ref="AZ72">_xlfn.IFS(Table9[[#This Row],[Airport Connectivity (km)
(10%)]]="", 0, Table9[[#This Row],[Airport Connectivity (km)
(10%)]]&gt;200, 0, Table9[[#This Row],[Airport Connectivity (km)
(10%)]]&lt;=100,4,TRUE, 2)</f>
        <v>0</v>
      </c>
      <c r="BA72" s="280">
        <f>Table9[[#This Row],[Airport Connectivity Score]]*'Detailed Rubric V3'!$C$41</f>
        <v>0</v>
      </c>
      <c r="BB72" s="280"/>
      <c r="BC72" s="280" cm="1">
        <f t="array" ref="BC72">_xlfn.IFS(Table9[[#This Row],[Railway Station (km)
(10%)]]="", 0, Table9[[#This Row],[Railway Station (km)
(10%)]]&gt;150, 0,Table9[[#This Row],[Railway Station (km)
(10%)]]&lt;=50,4, TRUE, 2)</f>
        <v>0</v>
      </c>
      <c r="BD72" s="280">
        <f>Table9[[#This Row],[Railway Station Score]]*'Detailed Rubric V3'!$F$41</f>
        <v>0</v>
      </c>
      <c r="BE72" s="280"/>
      <c r="BF72" s="280" cm="1">
        <f t="array" ref="BF72">_xlfn.IFS(Table9[[#This Row],[Inland waterway/ Land port (km)
(20%)]]="", 0, Table9[[#This Row],[Inland waterway/ Land port (km)
(20%)]]&gt;200, 0,Table9[[#This Row],[Inland waterway/ Land port (km)
(20%)]]&lt;=50,4, TRUE, 2)</f>
        <v>0</v>
      </c>
      <c r="BG72" s="280">
        <f>Table9[[#This Row],[Inland waterway/ Land port Score]]*'Detailed Rubric V3'!$I$41</f>
        <v>0</v>
      </c>
      <c r="BH72"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72" s="280"/>
      <c r="BJ72" s="280" cm="1">
        <f t="array" ref="BJ72">_xlfn.IFS(Table9[[#This Row],[Power Station (40%)]]="",0, Table9[[#This Row],[Power Station (40%)]]&gt;100, 0,Table9[[#This Row],[Power Station (40%)]]&lt;=50,4, TRUE, 2)</f>
        <v>0</v>
      </c>
      <c r="BK72" s="280">
        <f>Table9[[#This Row],[Power Station Score]]*'Detailed Rubric V3'!$C$53</f>
        <v>0</v>
      </c>
      <c r="BL72" s="280"/>
      <c r="BM72" s="280" cm="1">
        <f t="array" ref="BM72">IF(ISNUMBER(Table9[[#This Row],[Gas Station (20%)]]), _xlfn.IFS(Table9[[#This Row],[Gas Station (20%)]]="", 0, Table9[[#This Row],[Gas Station (20%)]]&gt;100, 0,Table9[[#This Row],[Gas Station (20%)]]&lt;=50,4, TRUE, 2), 0)</f>
        <v>0</v>
      </c>
      <c r="BN72" s="280">
        <f>Table9[[#This Row],[Gas Station Score]]*'Detailed Rubric V3'!$F$53</f>
        <v>0</v>
      </c>
      <c r="BO72" s="280"/>
      <c r="BP72" s="280" cm="1">
        <f t="array" ref="BP72">IF(ISNUMBER(Table9[[#This Row],[Source of Surface Water (40%)]]), _xlfn.IFS(Table9[[#This Row],[Source of Surface Water (40%)]]="", 0, Table9[[#This Row],[Source of Surface Water (40%)]]&gt;50, 0,Table9[[#This Row],[Source of Surface Water (40%)]]&lt;=20,4, TRUE, 2), 0)</f>
        <v>0</v>
      </c>
      <c r="BQ72" s="280">
        <f>Table9[[#This Row],[Source of Surface Water Score]]*'Detailed Rubric V3'!$I$53</f>
        <v>0</v>
      </c>
      <c r="BR72" s="280">
        <f>SUM(Table9[[#This Row],[Power Station Weighted Score]],Table9[[#This Row],[Gas Station Weighted Score]],Table9[[#This Row],[Source of Surface Water Weighted Score]])*'Detailed Rubric V3'!$C$51</f>
        <v>0</v>
      </c>
      <c r="BS72" s="280"/>
      <c r="BT72" s="280" cm="1">
        <f t="array" ref="BT72">_xlfn.IFS(Table9[[#This Row],[Other BEZA EZ (20%)]]="", 0, Table9[[#This Row],[Other BEZA EZ (20%)]]="Yes", 4, TRUE, 0)</f>
        <v>0</v>
      </c>
      <c r="BU72" s="280">
        <f>Table9[[#This Row],[Other BEZA EZ Score]]*'Detailed Rubric V3'!$C$66</f>
        <v>0</v>
      </c>
      <c r="BV72" s="280"/>
      <c r="BW72" s="280" cm="1">
        <f t="array" ref="BW72">_xlfn.IFS(Table9[[#This Row],[BEPZA/ BHPTA/ BSCIC (20%)]]="", 0, Table9[[#This Row],[BEPZA/ BHPTA/ BSCIC (20%)]]="Yes", 4, TRUE, 0)</f>
        <v>0</v>
      </c>
      <c r="BX72" s="280">
        <f>Table9[[#This Row],[BEPZA/ BHPTA/ BSCIC Score]]*'Detailed Rubric V3'!$F$66</f>
        <v>0</v>
      </c>
      <c r="BY72" s="280"/>
      <c r="BZ72" s="280" cm="1">
        <f t="array" ref="BZ72">_xlfn.IFS(Table9[[#This Row],[Cluster Industries (from SMI) (20%)]]="", 0, Table9[[#This Row],[Cluster Industries (from SMI) (20%)]]&gt;100, 4, Table9[[#This Row],[Cluster Industries (from SMI) (20%)]]&lt;50, 0, TRUE, 2)</f>
        <v>0</v>
      </c>
      <c r="CA72" s="280">
        <f>Table9[[#This Row],[Cluster Industries (from SMI) Score]]*'Detailed Rubric V3'!$I$66</f>
        <v>0</v>
      </c>
      <c r="CB72" s="280"/>
      <c r="CC72" s="280" cm="1">
        <f t="array" ref="CC72">_xlfn.IFS(Table9[[#This Row],[Located on Industrial corridor (40%)]]="", 0, Table9[[#This Row],[Located on Industrial corridor (40%)]]="Yes", 4, TRUE, 0)</f>
        <v>0</v>
      </c>
      <c r="CD72" s="280">
        <f>Table9[[#This Row],[Located on Industrial corridor Score]]*'Detailed Rubric V3'!$L$66</f>
        <v>0</v>
      </c>
      <c r="CE72" s="280">
        <f>SUM(Table9[[#This Row],[Other BEZA EZ Weighted Score]],Table9[[#This Row],[BEPZA/ BHPTA/ BSCIC Weighted Score]],Table9[[#This Row],[Unorganized (from SMI) Weighted Score]],Table9[[#This Row],[Located on Industrial corridor Weighted Score]])*'Detailed Rubric V3'!$C$64</f>
        <v>0</v>
      </c>
      <c r="CF72" s="280"/>
      <c r="CG72" s="280" cm="1">
        <f t="array" ref="CG72">_xlfn.IFS(Table9[[#This Row],[Economic/ Social priority (laggered area) (100%)]]="", 0, Table9[[#This Row],[Economic/ Social priority (laggered area) (100%)]]="Yes", 4, TRUE, 0)</f>
        <v>0</v>
      </c>
      <c r="CH72" s="280">
        <f>Table9[[#This Row],[Economic/ Social priority (laggered area) Score]]*'Detailed Rubric V3'!$C$82</f>
        <v>0</v>
      </c>
      <c r="CI72" s="280"/>
      <c r="CJ72" s="280" cm="1">
        <f t="array" ref="CJ72">_xlfn.IFS(Table9[[#This Row],[Regional Tax incentive  (0%)]]="", 0, Table9[[#This Row],[Regional Tax incentive  (0%)]]="Yes", 4, TRUE, 0)</f>
        <v>0</v>
      </c>
      <c r="CK72" s="280">
        <f>Table9[[#This Row],[Regional Tax incentive Score]]*'Detailed Rubric V3'!$F$82</f>
        <v>0</v>
      </c>
      <c r="CL72" s="280">
        <f>SUM(Table9[[#This Row],[Economic/ Social priority (laagered area) Weighted Score]],Table9[[#This Row],[Regional Tax incentive  Weighted Score]])*'Detailed Rubric V3'!$C$80</f>
        <v>0</v>
      </c>
      <c r="CM72" s="280"/>
      <c r="CN72" s="280" cm="1">
        <f t="array" ref="CN72">_xlfn.IFS(Table9[[#This Row],[Employable population (40%) 2013]]="", 0, Table9[[#This Row],[Employable population (40%) 2013]]&gt;200000, 4, Table9[[#This Row],[Employable population (40%) 2013]]&lt;100000,0, TRUE, 2)</f>
        <v>0</v>
      </c>
      <c r="CO72" s="280">
        <f>Table9[[#This Row],[Employable population Score]]*'Detailed Rubric V3'!$C$92</f>
        <v>0</v>
      </c>
      <c r="CP72" s="280"/>
      <c r="CQ72" s="280" cm="1">
        <f t="array" ref="CQ72">_xlfn.IFS(Table9[[#This Row],[Housing (20%)]]="", 0, Table9[[#This Row],[Housing (20%)]]&gt;50, 0, Table9[[#This Row],[Housing (20%)]]&lt;25, 4, TRUE, 2)</f>
        <v>0</v>
      </c>
      <c r="CR72" s="280">
        <f>Table9[[#This Row],[Housing Score]]*'Detailed Rubric V3'!$F$92</f>
        <v>0</v>
      </c>
      <c r="CS72" s="280"/>
      <c r="CT72" s="280" cm="1">
        <f t="array" ref="CT72">_xlfn.IFS(Table9[[#This Row],[Hotels (10%)]]="", 0, Table9[[#This Row],[Hotels (10%)]]&gt;25, 4, Table9[[#This Row],[Hotels (10%)]]&lt;5, 0, TRUE, 2)</f>
        <v>0</v>
      </c>
      <c r="CU72" s="280">
        <f>Table9[[#This Row],[Hotels Score]]*'Detailed Rubric V3'!$I$92</f>
        <v>0</v>
      </c>
      <c r="CV72" s="280"/>
      <c r="CW72" s="280" cm="1">
        <f t="array" ref="CW72">_xlfn.IFS(Table9[[#This Row],[Health (Hospital) (15%)]]="", 0, Table9[[#This Row],[Health (Hospital) (15%)]]&gt;10, 4, Table9[[#This Row],[Health (Hospital) (15%)]]&lt;5, 0, TRUE, 2)</f>
        <v>0</v>
      </c>
      <c r="CX72" s="280">
        <f>Table9[[#This Row],[Health (Hospital) Score]]*'Detailed Rubric V3'!$L$92</f>
        <v>0</v>
      </c>
      <c r="CY72" s="280"/>
      <c r="CZ72" s="280" cm="1">
        <f t="array" ref="CZ72">_xlfn.IFS(Table9[[#This Row],[University/ Technical &amp; Vocational Institutions (15%)]]="", 0, Table9[[#This Row],[University/ Technical &amp; Vocational Institutions (15%)]]&gt;3, 4, Table9[[#This Row],[University/ Technical &amp; Vocational Institutions (15%)]]&lt;1, 0, TRUE, 2)</f>
        <v>0</v>
      </c>
      <c r="DA72" s="280">
        <f>Table9[[#This Row],[University/ Technical &amp; Vocational Institutions Score]]*'Detailed Rubric V3'!$O$92</f>
        <v>0</v>
      </c>
      <c r="DB72"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72" s="280"/>
      <c r="DD72" s="280" cm="1">
        <f t="array" ref="DD72">_xlfn.IFS(Table9[[#This Row],[Environment compliance (30%)]]="", 0, Table9[[#This Row],[Environment compliance (30%)]]="Yes", 4, TRUE, 0)</f>
        <v>0</v>
      </c>
      <c r="DE72" s="280">
        <f>Table9[[#This Row],[Environment compliance Score]]*'Detailed Rubric V3'!$C$104</f>
        <v>0</v>
      </c>
      <c r="DF72" s="280" t="s">
        <v>421</v>
      </c>
      <c r="DG72" s="280" cm="1">
        <f t="array" ref="DG72">_xlfn.IFS(Table9[[#This Row],[Flood Risk Index (30%)]]="", 0, Table9[[#This Row],[Flood Risk Index (30%)]]="Very Low", 4, Table9[[#This Row],[Flood Risk Index (30%)]]="Moderate &amp; Low", 2, TRUE, 0)</f>
        <v>0</v>
      </c>
      <c r="DH72" s="280">
        <f>Table9[[#This Row],[Flood Risk Index Score]]*'Detailed Rubric V3'!$F$104</f>
        <v>0</v>
      </c>
      <c r="DI72" s="280" t="s">
        <v>421</v>
      </c>
      <c r="DJ72" s="280" cm="1">
        <f t="array" ref="DJ72">_xlfn.IFS(Table9[[#This Row],[Earth Quake Risk Index (10%)]]="", 0, Table9[[#This Row],[Earth Quake Risk Index (10%)]]="Very Low", 4, Table9[[#This Row],[Earth Quake Risk Index (10%)]]="Moderate &amp; Low", 2, TRUE, 0)</f>
        <v>0</v>
      </c>
      <c r="DK72" s="280">
        <f>Table9[[#This Row],[Earth Quake Risk Index Score]]*'Detailed Rubric V3'!$I$104</f>
        <v>0</v>
      </c>
      <c r="DL72" s="280" t="s">
        <v>428</v>
      </c>
      <c r="DM72" s="280" cm="1">
        <f t="array" ref="DM72">_xlfn.IFS(Table9[[#This Row],[Sea Level Rise Risk Index (10%)]]="", 0, Table9[[#This Row],[Sea Level Rise Risk Index (10%)]]="Very Low", 4, Table9[[#This Row],[Sea Level Rise Risk Index (10%)]]="Moderate &amp; Low", 2, TRUE, 0)</f>
        <v>4</v>
      </c>
      <c r="DN72" s="280">
        <f>Table9[[#This Row],[Sea Level Rise  Risk Index Score]]*'Detailed Rubric V3'!$L$104</f>
        <v>0.4</v>
      </c>
      <c r="DO72" s="280" t="s">
        <v>419</v>
      </c>
      <c r="DP72" s="280" cm="1">
        <f t="array" ref="DP72">_xlfn.IFS(Table9[[#This Row],[Cyclone Risk Index (10%)]]="", 0, Table9[[#This Row],[Cyclone Risk Index (10%)]]="Very Low", 4, Table9[[#This Row],[Cyclone Risk Index (10%)]]="Moderate &amp; Low", 2, TRUE, 0)</f>
        <v>2</v>
      </c>
      <c r="DQ72" s="280">
        <f>Table9[[#This Row],[Cyclone Risk Index Score]]*'Detailed Rubric V3'!$O$104</f>
        <v>0.2</v>
      </c>
      <c r="DR72" s="280" t="s">
        <v>428</v>
      </c>
      <c r="DS72" s="280" cm="1">
        <f t="array" ref="DS72">_xlfn.IFS(Table9[[#This Row],[Storm Surge Risk Index (10%)]]="", 0, Table9[[#This Row],[Storm Surge Risk Index (10%)]]="Very Low", 4, Table9[[#This Row],[Storm Surge Risk Index (10%)]]="Moderate &amp; Low", 2, TRUE, 0)</f>
        <v>4</v>
      </c>
      <c r="DT72" s="280">
        <f>Table9[[#This Row],[Storm Surge Risk Index Score]]*'Detailed Rubric V3'!$R$104</f>
        <v>0.4</v>
      </c>
      <c r="DU72"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72" s="309">
        <f>SUM(Table9[[#This Row],[2.1. Connectivity/ Logistics (10% weightage)]],Table9[[#This Row],[2.2. Utility (12% weightage)]],Table9[[#This Row],[2.3. Agglomeration effects (10% weightage)]],Table9[[#This Row],[2.4. Regional Policy (4% weightage)]],Table9[[#This Row],[2.5. Social (8% weightage)]],Table9[[#This Row],[2.6. Environment (6% weightage)]])</f>
        <v>0.06</v>
      </c>
      <c r="DW72" s="280">
        <f>_xlfn.RANK.EQ(Table9[[#This Row],[Level 2 Score]],$DV$3:$DV$103)</f>
        <v>88</v>
      </c>
      <c r="DX72" s="302">
        <f>Table9[[#This Row],[Level 1 Score]]+Table9[[#This Row],[Level 2 Score]]</f>
        <v>0.47000000000000003</v>
      </c>
      <c r="DY72" s="294">
        <f>_xlfn.RANK.EQ(Table9[[#This Row],[Total Score]],$DX$3:$DX$103)</f>
        <v>70</v>
      </c>
      <c r="DZ72" s="237" t="str">
        <f>IF(Table9[[#This Row],[Count of Blanks]]&lt;=2, "Yes", "No")</f>
        <v>No</v>
      </c>
      <c r="EA72" s="237">
        <f>COUNTBLANK(Table9[[#This Row],[Name]:[Total Score Rank]])</f>
        <v>23</v>
      </c>
      <c r="EB72" s="237"/>
    </row>
    <row r="73" spans="2:132" ht="27" x14ac:dyDescent="0.25">
      <c r="B73" s="220">
        <v>96</v>
      </c>
      <c r="C73" s="221" t="s">
        <v>160</v>
      </c>
      <c r="D73" s="220" t="s">
        <v>76</v>
      </c>
      <c r="E73" s="220" t="s">
        <v>117</v>
      </c>
      <c r="F73" s="220" t="s">
        <v>118</v>
      </c>
      <c r="G73" s="220" t="s">
        <v>92</v>
      </c>
      <c r="H73" s="525" t="s">
        <v>430</v>
      </c>
      <c r="I73" s="70" t="s">
        <v>447</v>
      </c>
      <c r="J73" s="227" t="s">
        <v>435</v>
      </c>
      <c r="K73" s="220">
        <f>IFERROR(VLOOKUP(Table9[[#This Row],[Land Availability (Grade)​
(50%)]],'Detailed Rubric V3'!$B$8:$C$11,2), 0)</f>
        <v>2</v>
      </c>
      <c r="L73" s="220">
        <f>IFERROR(Table9[[#This Row],[Land Availability (Grade)​ Score]]*'Detailed Rubric V3'!$C$6, "")</f>
        <v>1</v>
      </c>
      <c r="M73" s="222">
        <v>140</v>
      </c>
      <c r="N73" s="222" cm="1">
        <f t="array" ref="N73">_xlfn.IFS(Table9[[#This Row],[Land Size (Acres)
(15%)]]&lt;100,0,Table9[[#This Row],[Land Size (Acres)
(15%)]]&gt;500,4,TRUE,2)</f>
        <v>2</v>
      </c>
      <c r="O73" s="222">
        <f>Table9[[#This Row],[Land Size (Acres) Score]]*'Detailed Rubric V3'!$G$6</f>
        <v>0.3</v>
      </c>
      <c r="P73" s="526"/>
      <c r="Q73" s="526">
        <f>IFERROR(Table9[[#This Row],[Site Filling Cost (Mn BDT)]]/Table9[[#This Row],[Land Size (Acres)
(15%)]],"")</f>
        <v>0</v>
      </c>
      <c r="R73" s="526" cm="1">
        <f t="array" ref="R73">IF(Table9[[#This Row],[Name]]="Sitakundo Economic Zone", 4, _xlfn.IFS(Table9[[#This Row],[Site Filling Cost (Mn BDT)]]="",0,Table9[[#This Row],[Land Suitability
(Cost of Land Filling in Million BDT per acre)
(25%)]]&gt;5,0,Table9[[#This Row],[Land Suitability
(Cost of Land Filling in Million BDT per acre)
(25%)]]&lt;2,4,TRUE,2))</f>
        <v>0</v>
      </c>
      <c r="S73" s="526">
        <f>Table9[[#This Row],[Land Suitability for Construction Score]]*'Detailed Rubric V3'!$J$6</f>
        <v>0</v>
      </c>
      <c r="T73" s="526"/>
      <c r="U73" s="526">
        <f>IFERROR(Table9[[#This Row],[Embankment/Dyke Cost (Mn BDT)]]/Table9[[#This Row],[Land Size (Acres)
(15%)]], 0)</f>
        <v>0</v>
      </c>
      <c r="V73" s="526" cm="1">
        <f t="array" ref="V73">IF(Table9[[#This Row],[Name]]="Sitakundo Economic Zone", 2, _xlfn.IFS(Table9[[#This Row],[Embankment/Dyke Cost (Mn BDT)]]="",0,Table9[[#This Row],[Cost of DRRI Infrastructure in million BDT per acre
(10%)]]&gt;5,0,Table9[[#This Row],[Cost of DRRI Infrastructure in million BDT per acre
(10%)]]&lt;2,4,TRUE,2))</f>
        <v>0</v>
      </c>
      <c r="W73" s="526">
        <f>Table9[[#This Row],[Requirement for Distaster Risk Reduction &amp; Resilience Infrastructure Score]]*'Detailed Rubric V3'!$M$6</f>
        <v>0</v>
      </c>
      <c r="X73"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0.26</v>
      </c>
      <c r="Y73" s="227" t="s">
        <v>440</v>
      </c>
      <c r="Z73" s="210">
        <f>IFERROR(VLOOKUP(Table9[[#This Row],[Zone Priority
(40%)]],'Detailed Rubric V3'!$B$18:$C$21, 2,FALSE), 0)</f>
        <v>4</v>
      </c>
      <c r="AA73" s="210">
        <f>IFERROR(Table9[[#This Row],[Zone Priority Score]]*'Detailed Rubric V3'!$C$16, 0)</f>
        <v>0</v>
      </c>
      <c r="AB73" s="237" t="s">
        <v>441</v>
      </c>
      <c r="AC73" s="237">
        <f>VLOOKUP(Table9[[#This Row],[Existing BEZA Report
(60%)]],'Detailed Rubric V3'!$E$18:$F$20,2,FALSE)</f>
        <v>0</v>
      </c>
      <c r="AD73" s="237">
        <f>Table9[[#This Row],[Existing BEZA Report Score]]*'Detailed Rubric V3'!F$16</f>
        <v>0</v>
      </c>
      <c r="AE73" s="237">
        <f>(Table9[[#This Row],[Zone Priority Weighted Score]]+Table9[[#This Row],[Existing BEZA Report Weighted Score]])*'Detailed Rubric V3'!$C$14</f>
        <v>0</v>
      </c>
      <c r="AF73" s="528">
        <v>5</v>
      </c>
      <c r="AG73" s="529" cm="1">
        <f t="array" ref="AG73">_xlfn.IFS(Table9[[#This Row],[Existing Sectors
(50%)]]&gt;10, 4,Table9[[#This Row],[Existing Sectors
(50%)]]&lt;5, 0, TRUE, 2)</f>
        <v>2</v>
      </c>
      <c r="AH73" s="529">
        <f>Table9[[#This Row],[Existing Sectors Score]]*'Detailed Rubric V3'!$C$25</f>
        <v>1</v>
      </c>
      <c r="AI73" s="529">
        <v>6</v>
      </c>
      <c r="AJ73" s="529">
        <v>1</v>
      </c>
      <c r="AK73" s="529" cm="1">
        <f t="array" ref="AK73">_xlfn.IFS(Table9[[#This Row],[Potential New Sectors
(50%)]]&gt;5, 4, Table9[[#This Row],[Potential New Sectors
(50%)]]&lt;2,0, TRUE, 2)</f>
        <v>0</v>
      </c>
      <c r="AL73" s="529">
        <f>Table9[[#This Row],[Potential New Sectors Score]]*'Detailed Rubric V3'!$F$25</f>
        <v>0</v>
      </c>
      <c r="AM73" s="232">
        <f>(Table9[[#This Row],[Existing Sectors Weighted Score]]+Table9[[#This Row],[Potential New Sectors Weighted Score]])*'Detailed Rubric V3'!$C$23</f>
        <v>0.15</v>
      </c>
      <c r="AN73" s="530">
        <f>SUM(Table9[[#This Row],[1.1. Land Details (20% weightage)]],Table9[[#This Row],[1.2. BEZA Existing plans (15% weightage)]],Table9[[#This Row],[1.3. Sector Demand (15% weightage):]])</f>
        <v>0.41000000000000003</v>
      </c>
      <c r="AO73" s="531">
        <f>_xlfn.RANK.EQ(Table9[[#This Row],[Level 1 Score]],$AN$3:$AN$103)</f>
        <v>68</v>
      </c>
      <c r="AP73" s="280"/>
      <c r="AQ73" s="280" cm="1">
        <f t="array" ref="AQ73">_xlfn.IFS(Table9[[#This Row],[National Highway Connectivity (km)
(15%)]]="", 0, Table9[[#This Row],[National Highway Connectivity (km)
(15%)]]&gt;50, 0, Table9[[#This Row],[National Highway Connectivity (km)
(15%)]]&lt;=25, 4, TRUE, 2)</f>
        <v>0</v>
      </c>
      <c r="AR73" s="280">
        <f>Table9[[#This Row],[National Highway Connectivity Score]]*'Detailed Rubric V3'!$C$35</f>
        <v>0</v>
      </c>
      <c r="AS73" s="280"/>
      <c r="AT73" s="280" cm="1">
        <f t="array" ref="AT73">_xlfn.IFS(Table9[[#This Row],[Connecting Road to Highway (km)
(15%)]]="", 0, Table9[[#This Row],[Connecting Road to Highway (km)
(15%)]]="Yes", 4, TRUE, 0)</f>
        <v>0</v>
      </c>
      <c r="AU73" s="280">
        <f>Table9[[#This Row],[Connecting Road to Highway Score]]*'Detailed Rubric V3'!$F$35</f>
        <v>0</v>
      </c>
      <c r="AV73" s="280"/>
      <c r="AW73" s="280" cm="1">
        <f t="array" ref="AW73">_xlfn.IFS(Table9[[#This Row],[Seaport Connectivity (km)
(30%)]]="",0, Table9[[#This Row],[Seaport Connectivity (km)
(30%)]]&gt;400, 0,Table9[[#This Row],[Seaport Connectivity (km)
(30%)]]&lt;=200,4, TRUE, 2)</f>
        <v>0</v>
      </c>
      <c r="AX73" s="280">
        <f>Table9[[#This Row],[Seaport Connectivity Score]]*'Detailed Rubric V3'!$I$35</f>
        <v>0</v>
      </c>
      <c r="AY73" s="280"/>
      <c r="AZ73" s="280" cm="1">
        <f t="array" ref="AZ73">_xlfn.IFS(Table9[[#This Row],[Airport Connectivity (km)
(10%)]]="", 0, Table9[[#This Row],[Airport Connectivity (km)
(10%)]]&gt;200, 0, Table9[[#This Row],[Airport Connectivity (km)
(10%)]]&lt;=100,4,TRUE, 2)</f>
        <v>0</v>
      </c>
      <c r="BA73" s="280">
        <f>Table9[[#This Row],[Airport Connectivity Score]]*'Detailed Rubric V3'!$C$41</f>
        <v>0</v>
      </c>
      <c r="BB73" s="280"/>
      <c r="BC73" s="280" cm="1">
        <f t="array" ref="BC73">_xlfn.IFS(Table9[[#This Row],[Railway Station (km)
(10%)]]="", 0, Table9[[#This Row],[Railway Station (km)
(10%)]]&gt;150, 0,Table9[[#This Row],[Railway Station (km)
(10%)]]&lt;=50,4, TRUE, 2)</f>
        <v>0</v>
      </c>
      <c r="BD73" s="280">
        <f>Table9[[#This Row],[Railway Station Score]]*'Detailed Rubric V3'!$F$41</f>
        <v>0</v>
      </c>
      <c r="BE73" s="280"/>
      <c r="BF73" s="280" cm="1">
        <f t="array" ref="BF73">_xlfn.IFS(Table9[[#This Row],[Inland waterway/ Land port (km)
(20%)]]="", 0, Table9[[#This Row],[Inland waterway/ Land port (km)
(20%)]]&gt;200, 0,Table9[[#This Row],[Inland waterway/ Land port (km)
(20%)]]&lt;=50,4, TRUE, 2)</f>
        <v>0</v>
      </c>
      <c r="BG73" s="280">
        <f>Table9[[#This Row],[Inland waterway/ Land port Score]]*'Detailed Rubric V3'!$I$41</f>
        <v>0</v>
      </c>
      <c r="BH73"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73" s="280"/>
      <c r="BJ73" s="280" cm="1">
        <f t="array" ref="BJ73">_xlfn.IFS(Table9[[#This Row],[Power Station (40%)]]="",0, Table9[[#This Row],[Power Station (40%)]]&gt;100, 0,Table9[[#This Row],[Power Station (40%)]]&lt;=50,4, TRUE, 2)</f>
        <v>0</v>
      </c>
      <c r="BK73" s="280">
        <f>Table9[[#This Row],[Power Station Score]]*'Detailed Rubric V3'!$C$53</f>
        <v>0</v>
      </c>
      <c r="BL73" s="280"/>
      <c r="BM73" s="280" cm="1">
        <f t="array" ref="BM73">IF(ISNUMBER(Table9[[#This Row],[Gas Station (20%)]]), _xlfn.IFS(Table9[[#This Row],[Gas Station (20%)]]="", 0, Table9[[#This Row],[Gas Station (20%)]]&gt;100, 0,Table9[[#This Row],[Gas Station (20%)]]&lt;=50,4, TRUE, 2), 0)</f>
        <v>0</v>
      </c>
      <c r="BN73" s="280">
        <f>Table9[[#This Row],[Gas Station Score]]*'Detailed Rubric V3'!$F$53</f>
        <v>0</v>
      </c>
      <c r="BO73" s="280"/>
      <c r="BP73" s="280" cm="1">
        <f t="array" ref="BP73">IF(ISNUMBER(Table9[[#This Row],[Source of Surface Water (40%)]]), _xlfn.IFS(Table9[[#This Row],[Source of Surface Water (40%)]]="", 0, Table9[[#This Row],[Source of Surface Water (40%)]]&gt;50, 0,Table9[[#This Row],[Source of Surface Water (40%)]]&lt;=20,4, TRUE, 2), 0)</f>
        <v>0</v>
      </c>
      <c r="BQ73" s="280">
        <f>Table9[[#This Row],[Source of Surface Water Score]]*'Detailed Rubric V3'!$I$53</f>
        <v>0</v>
      </c>
      <c r="BR73" s="280">
        <f>SUM(Table9[[#This Row],[Power Station Weighted Score]],Table9[[#This Row],[Gas Station Weighted Score]],Table9[[#This Row],[Source of Surface Water Weighted Score]])*'Detailed Rubric V3'!$C$51</f>
        <v>0</v>
      </c>
      <c r="BS73" s="280"/>
      <c r="BT73" s="280" cm="1">
        <f t="array" ref="BT73">_xlfn.IFS(Table9[[#This Row],[Other BEZA EZ (20%)]]="", 0, Table9[[#This Row],[Other BEZA EZ (20%)]]="Yes", 4, TRUE, 0)</f>
        <v>0</v>
      </c>
      <c r="BU73" s="280">
        <f>Table9[[#This Row],[Other BEZA EZ Score]]*'Detailed Rubric V3'!$C$66</f>
        <v>0</v>
      </c>
      <c r="BV73" s="280"/>
      <c r="BW73" s="280" cm="1">
        <f t="array" ref="BW73">_xlfn.IFS(Table9[[#This Row],[BEPZA/ BHPTA/ BSCIC (20%)]]="", 0, Table9[[#This Row],[BEPZA/ BHPTA/ BSCIC (20%)]]="Yes", 4, TRUE, 0)</f>
        <v>0</v>
      </c>
      <c r="BX73" s="280">
        <f>Table9[[#This Row],[BEPZA/ BHPTA/ BSCIC Score]]*'Detailed Rubric V3'!$F$66</f>
        <v>0</v>
      </c>
      <c r="BY73" s="280"/>
      <c r="BZ73" s="280" cm="1">
        <f t="array" ref="BZ73">_xlfn.IFS(Table9[[#This Row],[Cluster Industries (from SMI) (20%)]]="", 0, Table9[[#This Row],[Cluster Industries (from SMI) (20%)]]&gt;100, 4, Table9[[#This Row],[Cluster Industries (from SMI) (20%)]]&lt;50, 0, TRUE, 2)</f>
        <v>0</v>
      </c>
      <c r="CA73" s="280">
        <f>Table9[[#This Row],[Cluster Industries (from SMI) Score]]*'Detailed Rubric V3'!$I$66</f>
        <v>0</v>
      </c>
      <c r="CB73" s="280"/>
      <c r="CC73" s="280" cm="1">
        <f t="array" ref="CC73">_xlfn.IFS(Table9[[#This Row],[Located on Industrial corridor (40%)]]="", 0, Table9[[#This Row],[Located on Industrial corridor (40%)]]="Yes", 4, TRUE, 0)</f>
        <v>0</v>
      </c>
      <c r="CD73" s="280">
        <f>Table9[[#This Row],[Located on Industrial corridor Score]]*'Detailed Rubric V3'!$L$66</f>
        <v>0</v>
      </c>
      <c r="CE73" s="280">
        <f>SUM(Table9[[#This Row],[Other BEZA EZ Weighted Score]],Table9[[#This Row],[BEPZA/ BHPTA/ BSCIC Weighted Score]],Table9[[#This Row],[Unorganized (from SMI) Weighted Score]],Table9[[#This Row],[Located on Industrial corridor Weighted Score]])*'Detailed Rubric V3'!$C$64</f>
        <v>0</v>
      </c>
      <c r="CF73" s="280"/>
      <c r="CG73" s="280" cm="1">
        <f t="array" ref="CG73">_xlfn.IFS(Table9[[#This Row],[Economic/ Social priority (laggered area) (100%)]]="", 0, Table9[[#This Row],[Economic/ Social priority (laggered area) (100%)]]="Yes", 4, TRUE, 0)</f>
        <v>0</v>
      </c>
      <c r="CH73" s="280">
        <f>Table9[[#This Row],[Economic/ Social priority (laggered area) Score]]*'Detailed Rubric V3'!$C$82</f>
        <v>0</v>
      </c>
      <c r="CI73" s="280"/>
      <c r="CJ73" s="280" cm="1">
        <f t="array" ref="CJ73">_xlfn.IFS(Table9[[#This Row],[Regional Tax incentive  (0%)]]="", 0, Table9[[#This Row],[Regional Tax incentive  (0%)]]="Yes", 4, TRUE, 0)</f>
        <v>0</v>
      </c>
      <c r="CK73" s="280">
        <f>Table9[[#This Row],[Regional Tax incentive Score]]*'Detailed Rubric V3'!$F$82</f>
        <v>0</v>
      </c>
      <c r="CL73" s="280">
        <f>SUM(Table9[[#This Row],[Economic/ Social priority (laagered area) Weighted Score]],Table9[[#This Row],[Regional Tax incentive  Weighted Score]])*'Detailed Rubric V3'!$C$80</f>
        <v>0</v>
      </c>
      <c r="CM73" s="280"/>
      <c r="CN73" s="280" cm="1">
        <f t="array" ref="CN73">_xlfn.IFS(Table9[[#This Row],[Employable population (40%) 2013]]="", 0, Table9[[#This Row],[Employable population (40%) 2013]]&gt;200000, 4, Table9[[#This Row],[Employable population (40%) 2013]]&lt;100000,0, TRUE, 2)</f>
        <v>0</v>
      </c>
      <c r="CO73" s="280">
        <f>Table9[[#This Row],[Employable population Score]]*'Detailed Rubric V3'!$C$92</f>
        <v>0</v>
      </c>
      <c r="CP73" s="280"/>
      <c r="CQ73" s="280" cm="1">
        <f t="array" ref="CQ73">_xlfn.IFS(Table9[[#This Row],[Housing (20%)]]="", 0, Table9[[#This Row],[Housing (20%)]]&gt;50, 0, Table9[[#This Row],[Housing (20%)]]&lt;25, 4, TRUE, 2)</f>
        <v>0</v>
      </c>
      <c r="CR73" s="280">
        <f>Table9[[#This Row],[Housing Score]]*'Detailed Rubric V3'!$F$92</f>
        <v>0</v>
      </c>
      <c r="CS73" s="280"/>
      <c r="CT73" s="280" cm="1">
        <f t="array" ref="CT73">_xlfn.IFS(Table9[[#This Row],[Hotels (10%)]]="", 0, Table9[[#This Row],[Hotels (10%)]]&gt;25, 4, Table9[[#This Row],[Hotels (10%)]]&lt;5, 0, TRUE, 2)</f>
        <v>0</v>
      </c>
      <c r="CU73" s="280">
        <f>Table9[[#This Row],[Hotels Score]]*'Detailed Rubric V3'!$I$92</f>
        <v>0</v>
      </c>
      <c r="CV73" s="280"/>
      <c r="CW73" s="280" cm="1">
        <f t="array" ref="CW73">_xlfn.IFS(Table9[[#This Row],[Health (Hospital) (15%)]]="", 0, Table9[[#This Row],[Health (Hospital) (15%)]]&gt;10, 4, Table9[[#This Row],[Health (Hospital) (15%)]]&lt;5, 0, TRUE, 2)</f>
        <v>0</v>
      </c>
      <c r="CX73" s="280">
        <f>Table9[[#This Row],[Health (Hospital) Score]]*'Detailed Rubric V3'!$L$92</f>
        <v>0</v>
      </c>
      <c r="CY73" s="280"/>
      <c r="CZ73" s="280" cm="1">
        <f t="array" ref="CZ73">_xlfn.IFS(Table9[[#This Row],[University/ Technical &amp; Vocational Institutions (15%)]]="", 0, Table9[[#This Row],[University/ Technical &amp; Vocational Institutions (15%)]]&gt;3, 4, Table9[[#This Row],[University/ Technical &amp; Vocational Institutions (15%)]]&lt;1, 0, TRUE, 2)</f>
        <v>0</v>
      </c>
      <c r="DA73" s="280">
        <f>Table9[[#This Row],[University/ Technical &amp; Vocational Institutions Score]]*'Detailed Rubric V3'!$O$92</f>
        <v>0</v>
      </c>
      <c r="DB73"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73" s="280"/>
      <c r="DD73" s="280" cm="1">
        <f t="array" ref="DD73">_xlfn.IFS(Table9[[#This Row],[Environment compliance (30%)]]="", 0, Table9[[#This Row],[Environment compliance (30%)]]="Yes", 4, TRUE, 0)</f>
        <v>0</v>
      </c>
      <c r="DE73" s="280">
        <f>Table9[[#This Row],[Environment compliance Score]]*'Detailed Rubric V3'!$C$104</f>
        <v>0</v>
      </c>
      <c r="DF73" s="280" t="s">
        <v>421</v>
      </c>
      <c r="DG73" s="280" cm="1">
        <f t="array" ref="DG73">_xlfn.IFS(Table9[[#This Row],[Flood Risk Index (30%)]]="", 0, Table9[[#This Row],[Flood Risk Index (30%)]]="Very Low", 4, Table9[[#This Row],[Flood Risk Index (30%)]]="Moderate &amp; Low", 2, TRUE, 0)</f>
        <v>0</v>
      </c>
      <c r="DH73" s="280">
        <f>Table9[[#This Row],[Flood Risk Index Score]]*'Detailed Rubric V3'!$F$104</f>
        <v>0</v>
      </c>
      <c r="DI73" s="280" t="s">
        <v>421</v>
      </c>
      <c r="DJ73" s="280" cm="1">
        <f t="array" ref="DJ73">_xlfn.IFS(Table9[[#This Row],[Earth Quake Risk Index (10%)]]="", 0, Table9[[#This Row],[Earth Quake Risk Index (10%)]]="Very Low", 4, Table9[[#This Row],[Earth Quake Risk Index (10%)]]="Moderate &amp; Low", 2, TRUE, 0)</f>
        <v>0</v>
      </c>
      <c r="DK73" s="280">
        <f>Table9[[#This Row],[Earth Quake Risk Index Score]]*'Detailed Rubric V3'!$I$104</f>
        <v>0</v>
      </c>
      <c r="DL73" s="280" t="s">
        <v>428</v>
      </c>
      <c r="DM73" s="280" cm="1">
        <f t="array" ref="DM73">_xlfn.IFS(Table9[[#This Row],[Sea Level Rise Risk Index (10%)]]="", 0, Table9[[#This Row],[Sea Level Rise Risk Index (10%)]]="Very Low", 4, Table9[[#This Row],[Sea Level Rise Risk Index (10%)]]="Moderate &amp; Low", 2, TRUE, 0)</f>
        <v>4</v>
      </c>
      <c r="DN73" s="280">
        <f>Table9[[#This Row],[Sea Level Rise  Risk Index Score]]*'Detailed Rubric V3'!$L$104</f>
        <v>0.4</v>
      </c>
      <c r="DO73" s="280" t="s">
        <v>419</v>
      </c>
      <c r="DP73" s="280" cm="1">
        <f t="array" ref="DP73">_xlfn.IFS(Table9[[#This Row],[Cyclone Risk Index (10%)]]="", 0, Table9[[#This Row],[Cyclone Risk Index (10%)]]="Very Low", 4, Table9[[#This Row],[Cyclone Risk Index (10%)]]="Moderate &amp; Low", 2, TRUE, 0)</f>
        <v>2</v>
      </c>
      <c r="DQ73" s="280">
        <f>Table9[[#This Row],[Cyclone Risk Index Score]]*'Detailed Rubric V3'!$O$104</f>
        <v>0.2</v>
      </c>
      <c r="DR73" s="280" t="s">
        <v>428</v>
      </c>
      <c r="DS73" s="280" cm="1">
        <f t="array" ref="DS73">_xlfn.IFS(Table9[[#This Row],[Storm Surge Risk Index (10%)]]="", 0, Table9[[#This Row],[Storm Surge Risk Index (10%)]]="Very Low", 4, Table9[[#This Row],[Storm Surge Risk Index (10%)]]="Moderate &amp; Low", 2, TRUE, 0)</f>
        <v>4</v>
      </c>
      <c r="DT73" s="280">
        <f>Table9[[#This Row],[Storm Surge Risk Index Score]]*'Detailed Rubric V3'!$R$104</f>
        <v>0.4</v>
      </c>
      <c r="DU73"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73" s="309">
        <f>SUM(Table9[[#This Row],[2.1. Connectivity/ Logistics (10% weightage)]],Table9[[#This Row],[2.2. Utility (12% weightage)]],Table9[[#This Row],[2.3. Agglomeration effects (10% weightage)]],Table9[[#This Row],[2.4. Regional Policy (4% weightage)]],Table9[[#This Row],[2.5. Social (8% weightage)]],Table9[[#This Row],[2.6. Environment (6% weightage)]])</f>
        <v>0.06</v>
      </c>
      <c r="DW73" s="280">
        <f>_xlfn.RANK.EQ(Table9[[#This Row],[Level 2 Score]],$DV$3:$DV$103)</f>
        <v>88</v>
      </c>
      <c r="DX73" s="302">
        <f>Table9[[#This Row],[Level 1 Score]]+Table9[[#This Row],[Level 2 Score]]</f>
        <v>0.47000000000000003</v>
      </c>
      <c r="DY73" s="294">
        <f>_xlfn.RANK.EQ(Table9[[#This Row],[Total Score]],$DX$3:$DX$103)</f>
        <v>70</v>
      </c>
      <c r="DZ73" s="237" t="str">
        <f>IF(Table9[[#This Row],[Count of Blanks]]&lt;=2, "Yes", "No")</f>
        <v>No</v>
      </c>
      <c r="EA73" s="237">
        <f>COUNTBLANK(Table9[[#This Row],[Name]:[Total Score Rank]])</f>
        <v>23</v>
      </c>
      <c r="EB73" s="237"/>
    </row>
    <row r="74" spans="2:132" x14ac:dyDescent="0.25">
      <c r="B74" s="220">
        <v>73</v>
      </c>
      <c r="C74" s="221" t="s">
        <v>161</v>
      </c>
      <c r="D74" s="220" t="s">
        <v>104</v>
      </c>
      <c r="E74" s="220" t="s">
        <v>104</v>
      </c>
      <c r="F74" s="220" t="s">
        <v>110</v>
      </c>
      <c r="G74" s="220" t="s">
        <v>92</v>
      </c>
      <c r="H74" s="525" t="s">
        <v>410</v>
      </c>
      <c r="I74" s="70" t="s">
        <v>455</v>
      </c>
      <c r="J74" s="227" t="s">
        <v>444</v>
      </c>
      <c r="K74" s="220">
        <f>IFERROR(VLOOKUP(Table9[[#This Row],[Land Availability (Grade)​
(50%)]],'Detailed Rubric V3'!$B$8:$C$11,2), 0)</f>
        <v>0</v>
      </c>
      <c r="L74" s="220">
        <f>IFERROR(Table9[[#This Row],[Land Availability (Grade)​ Score]]*'Detailed Rubric V3'!$C$6, "")</f>
        <v>0</v>
      </c>
      <c r="M74" s="222">
        <v>100</v>
      </c>
      <c r="N74" s="222" cm="1">
        <f t="array" ref="N74">_xlfn.IFS(Table9[[#This Row],[Land Size (Acres)
(15%)]]&lt;100,0,Table9[[#This Row],[Land Size (Acres)
(15%)]]&gt;500,4,TRUE,2)</f>
        <v>2</v>
      </c>
      <c r="O74" s="222">
        <f>Table9[[#This Row],[Land Size (Acres) Score]]*'Detailed Rubric V3'!$G$6</f>
        <v>0.3</v>
      </c>
      <c r="P74" s="526"/>
      <c r="Q74" s="526">
        <f>IFERROR(Table9[[#This Row],[Site Filling Cost (Mn BDT)]]/Table9[[#This Row],[Land Size (Acres)
(15%)]],"")</f>
        <v>0</v>
      </c>
      <c r="R74" s="526" cm="1">
        <f t="array" ref="R74">IF(Table9[[#This Row],[Name]]="Sitakundo Economic Zone", 4, _xlfn.IFS(Table9[[#This Row],[Site Filling Cost (Mn BDT)]]="",0,Table9[[#This Row],[Land Suitability
(Cost of Land Filling in Million BDT per acre)
(25%)]]&gt;5,0,Table9[[#This Row],[Land Suitability
(Cost of Land Filling in Million BDT per acre)
(25%)]]&lt;2,4,TRUE,2))</f>
        <v>0</v>
      </c>
      <c r="S74" s="526">
        <f>Table9[[#This Row],[Land Suitability for Construction Score]]*'Detailed Rubric V3'!$J$6</f>
        <v>0</v>
      </c>
      <c r="T74" s="526"/>
      <c r="U74" s="526">
        <f>IFERROR(Table9[[#This Row],[Embankment/Dyke Cost (Mn BDT)]]/Table9[[#This Row],[Land Size (Acres)
(15%)]], 0)</f>
        <v>0</v>
      </c>
      <c r="V74" s="526" cm="1">
        <f t="array" ref="V74">IF(Table9[[#This Row],[Name]]="Sitakundo Economic Zone", 2, _xlfn.IFS(Table9[[#This Row],[Embankment/Dyke Cost (Mn BDT)]]="",0,Table9[[#This Row],[Cost of DRRI Infrastructure in million BDT per acre
(10%)]]&gt;5,0,Table9[[#This Row],[Cost of DRRI Infrastructure in million BDT per acre
(10%)]]&lt;2,4,TRUE,2))</f>
        <v>0</v>
      </c>
      <c r="W74" s="526">
        <f>Table9[[#This Row],[Requirement for Distaster Risk Reduction &amp; Resilience Infrastructure Score]]*'Detailed Rubric V3'!$M$6</f>
        <v>0</v>
      </c>
      <c r="X74"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74" s="227" t="s">
        <v>440</v>
      </c>
      <c r="Z74" s="210">
        <f>IFERROR(VLOOKUP(Table9[[#This Row],[Zone Priority
(40%)]],'Detailed Rubric V3'!$B$18:$C$21, 2,FALSE), 0)</f>
        <v>4</v>
      </c>
      <c r="AA74" s="210">
        <f>IFERROR(Table9[[#This Row],[Zone Priority Score]]*'Detailed Rubric V3'!$C$16, 0)</f>
        <v>0</v>
      </c>
      <c r="AB74" s="237" t="s">
        <v>441</v>
      </c>
      <c r="AC74" s="237">
        <f>VLOOKUP(Table9[[#This Row],[Existing BEZA Report
(60%)]],'Detailed Rubric V3'!$E$18:$F$20,2,FALSE)</f>
        <v>0</v>
      </c>
      <c r="AD74" s="237">
        <f>Table9[[#This Row],[Existing BEZA Report Score]]*'Detailed Rubric V3'!F$16</f>
        <v>0</v>
      </c>
      <c r="AE74" s="237">
        <f>(Table9[[#This Row],[Zone Priority Weighted Score]]+Table9[[#This Row],[Existing BEZA Report Weighted Score]])*'Detailed Rubric V3'!$C$14</f>
        <v>0</v>
      </c>
      <c r="AF74" s="528">
        <v>5</v>
      </c>
      <c r="AG74" s="529" cm="1">
        <f t="array" ref="AG74">_xlfn.IFS(Table9[[#This Row],[Existing Sectors
(50%)]]&gt;10, 4,Table9[[#This Row],[Existing Sectors
(50%)]]&lt;5, 0, TRUE, 2)</f>
        <v>2</v>
      </c>
      <c r="AH74" s="529">
        <f>Table9[[#This Row],[Existing Sectors Score]]*'Detailed Rubric V3'!$C$25</f>
        <v>1</v>
      </c>
      <c r="AI74" s="529">
        <v>8</v>
      </c>
      <c r="AJ74" s="529">
        <v>3</v>
      </c>
      <c r="AK74" s="529" cm="1">
        <f t="array" ref="AK74">_xlfn.IFS(Table9[[#This Row],[Potential New Sectors
(50%)]]&gt;5, 4, Table9[[#This Row],[Potential New Sectors
(50%)]]&lt;2,0, TRUE, 2)</f>
        <v>2</v>
      </c>
      <c r="AL74" s="529">
        <f>Table9[[#This Row],[Potential New Sectors Score]]*'Detailed Rubric V3'!$F$25</f>
        <v>1</v>
      </c>
      <c r="AM74" s="232">
        <f>(Table9[[#This Row],[Existing Sectors Weighted Score]]+Table9[[#This Row],[Potential New Sectors Weighted Score]])*'Detailed Rubric V3'!$C$23</f>
        <v>0.3</v>
      </c>
      <c r="AN74" s="530">
        <f>SUM(Table9[[#This Row],[1.1. Land Details (20% weightage)]],Table9[[#This Row],[1.2. BEZA Existing plans (15% weightage)]],Table9[[#This Row],[1.3. Sector Demand (15% weightage):]])</f>
        <v>0.36</v>
      </c>
      <c r="AO74" s="531">
        <f>_xlfn.RANK.EQ(Table9[[#This Row],[Level 1 Score]],$AN$3:$AN$103)</f>
        <v>70</v>
      </c>
      <c r="AP74" s="280"/>
      <c r="AQ74" s="280" cm="1">
        <f t="array" ref="AQ74">_xlfn.IFS(Table9[[#This Row],[National Highway Connectivity (km)
(15%)]]="", 0, Table9[[#This Row],[National Highway Connectivity (km)
(15%)]]&gt;50, 0, Table9[[#This Row],[National Highway Connectivity (km)
(15%)]]&lt;=25, 4, TRUE, 2)</f>
        <v>0</v>
      </c>
      <c r="AR74" s="280">
        <f>Table9[[#This Row],[National Highway Connectivity Score]]*'Detailed Rubric V3'!$C$35</f>
        <v>0</v>
      </c>
      <c r="AS74" s="280"/>
      <c r="AT74" s="280" cm="1">
        <f t="array" ref="AT74">_xlfn.IFS(Table9[[#This Row],[Connecting Road to Highway (km)
(15%)]]="", 0, Table9[[#This Row],[Connecting Road to Highway (km)
(15%)]]="Yes", 4, TRUE, 0)</f>
        <v>0</v>
      </c>
      <c r="AU74" s="280">
        <f>Table9[[#This Row],[Connecting Road to Highway Score]]*'Detailed Rubric V3'!$F$35</f>
        <v>0</v>
      </c>
      <c r="AV74" s="280"/>
      <c r="AW74" s="280" cm="1">
        <f t="array" ref="AW74">_xlfn.IFS(Table9[[#This Row],[Seaport Connectivity (km)
(30%)]]="",0, Table9[[#This Row],[Seaport Connectivity (km)
(30%)]]&gt;400, 0,Table9[[#This Row],[Seaport Connectivity (km)
(30%)]]&lt;=200,4, TRUE, 2)</f>
        <v>0</v>
      </c>
      <c r="AX74" s="280">
        <f>Table9[[#This Row],[Seaport Connectivity Score]]*'Detailed Rubric V3'!$I$35</f>
        <v>0</v>
      </c>
      <c r="AY74" s="280"/>
      <c r="AZ74" s="280" cm="1">
        <f t="array" ref="AZ74">_xlfn.IFS(Table9[[#This Row],[Airport Connectivity (km)
(10%)]]="", 0, Table9[[#This Row],[Airport Connectivity (km)
(10%)]]&gt;200, 0, Table9[[#This Row],[Airport Connectivity (km)
(10%)]]&lt;=100,4,TRUE, 2)</f>
        <v>0</v>
      </c>
      <c r="BA74" s="280">
        <f>Table9[[#This Row],[Airport Connectivity Score]]*'Detailed Rubric V3'!$C$41</f>
        <v>0</v>
      </c>
      <c r="BB74" s="280"/>
      <c r="BC74" s="280" cm="1">
        <f t="array" ref="BC74">_xlfn.IFS(Table9[[#This Row],[Railway Station (km)
(10%)]]="", 0, Table9[[#This Row],[Railway Station (km)
(10%)]]&gt;150, 0,Table9[[#This Row],[Railway Station (km)
(10%)]]&lt;=50,4, TRUE, 2)</f>
        <v>0</v>
      </c>
      <c r="BD74" s="280">
        <f>Table9[[#This Row],[Railway Station Score]]*'Detailed Rubric V3'!$F$41</f>
        <v>0</v>
      </c>
      <c r="BE74" s="280"/>
      <c r="BF74" s="280" cm="1">
        <f t="array" ref="BF74">_xlfn.IFS(Table9[[#This Row],[Inland waterway/ Land port (km)
(20%)]]="", 0, Table9[[#This Row],[Inland waterway/ Land port (km)
(20%)]]&gt;200, 0,Table9[[#This Row],[Inland waterway/ Land port (km)
(20%)]]&lt;=50,4, TRUE, 2)</f>
        <v>0</v>
      </c>
      <c r="BG74" s="280">
        <f>Table9[[#This Row],[Inland waterway/ Land port Score]]*'Detailed Rubric V3'!$I$41</f>
        <v>0</v>
      </c>
      <c r="BH74"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74" s="280"/>
      <c r="BJ74" s="280" cm="1">
        <f t="array" ref="BJ74">_xlfn.IFS(Table9[[#This Row],[Power Station (40%)]]="",0, Table9[[#This Row],[Power Station (40%)]]&gt;100, 0,Table9[[#This Row],[Power Station (40%)]]&lt;=50,4, TRUE, 2)</f>
        <v>0</v>
      </c>
      <c r="BK74" s="280">
        <f>Table9[[#This Row],[Power Station Score]]*'Detailed Rubric V3'!$C$53</f>
        <v>0</v>
      </c>
      <c r="BL74" s="280"/>
      <c r="BM74" s="280" cm="1">
        <f t="array" ref="BM74">IF(ISNUMBER(Table9[[#This Row],[Gas Station (20%)]]), _xlfn.IFS(Table9[[#This Row],[Gas Station (20%)]]="", 0, Table9[[#This Row],[Gas Station (20%)]]&gt;100, 0,Table9[[#This Row],[Gas Station (20%)]]&lt;=50,4, TRUE, 2), 0)</f>
        <v>0</v>
      </c>
      <c r="BN74" s="280">
        <f>Table9[[#This Row],[Gas Station Score]]*'Detailed Rubric V3'!$F$53</f>
        <v>0</v>
      </c>
      <c r="BO74" s="280"/>
      <c r="BP74" s="280" cm="1">
        <f t="array" ref="BP74">IF(ISNUMBER(Table9[[#This Row],[Source of Surface Water (40%)]]), _xlfn.IFS(Table9[[#This Row],[Source of Surface Water (40%)]]="", 0, Table9[[#This Row],[Source of Surface Water (40%)]]&gt;50, 0,Table9[[#This Row],[Source of Surface Water (40%)]]&lt;=20,4, TRUE, 2), 0)</f>
        <v>0</v>
      </c>
      <c r="BQ74" s="280">
        <f>Table9[[#This Row],[Source of Surface Water Score]]*'Detailed Rubric V3'!$I$53</f>
        <v>0</v>
      </c>
      <c r="BR74" s="280">
        <f>SUM(Table9[[#This Row],[Power Station Weighted Score]],Table9[[#This Row],[Gas Station Weighted Score]],Table9[[#This Row],[Source of Surface Water Weighted Score]])*'Detailed Rubric V3'!$C$51</f>
        <v>0</v>
      </c>
      <c r="BS74" s="280"/>
      <c r="BT74" s="280" cm="1">
        <f t="array" ref="BT74">_xlfn.IFS(Table9[[#This Row],[Other BEZA EZ (20%)]]="", 0, Table9[[#This Row],[Other BEZA EZ (20%)]]="Yes", 4, TRUE, 0)</f>
        <v>0</v>
      </c>
      <c r="BU74" s="280">
        <f>Table9[[#This Row],[Other BEZA EZ Score]]*'Detailed Rubric V3'!$C$66</f>
        <v>0</v>
      </c>
      <c r="BV74" s="280"/>
      <c r="BW74" s="280" cm="1">
        <f t="array" ref="BW74">_xlfn.IFS(Table9[[#This Row],[BEPZA/ BHPTA/ BSCIC (20%)]]="", 0, Table9[[#This Row],[BEPZA/ BHPTA/ BSCIC (20%)]]="Yes", 4, TRUE, 0)</f>
        <v>0</v>
      </c>
      <c r="BX74" s="280">
        <f>Table9[[#This Row],[BEPZA/ BHPTA/ BSCIC Score]]*'Detailed Rubric V3'!$F$66</f>
        <v>0</v>
      </c>
      <c r="BY74" s="280"/>
      <c r="BZ74" s="280" cm="1">
        <f t="array" ref="BZ74">_xlfn.IFS(Table9[[#This Row],[Cluster Industries (from SMI) (20%)]]="", 0, Table9[[#This Row],[Cluster Industries (from SMI) (20%)]]&gt;100, 4, Table9[[#This Row],[Cluster Industries (from SMI) (20%)]]&lt;50, 0, TRUE, 2)</f>
        <v>0</v>
      </c>
      <c r="CA74" s="280">
        <f>Table9[[#This Row],[Cluster Industries (from SMI) Score]]*'Detailed Rubric V3'!$I$66</f>
        <v>0</v>
      </c>
      <c r="CB74" s="280"/>
      <c r="CC74" s="280" cm="1">
        <f t="array" ref="CC74">_xlfn.IFS(Table9[[#This Row],[Located on Industrial corridor (40%)]]="", 0, Table9[[#This Row],[Located on Industrial corridor (40%)]]="Yes", 4, TRUE, 0)</f>
        <v>0</v>
      </c>
      <c r="CD74" s="280">
        <f>Table9[[#This Row],[Located on Industrial corridor Score]]*'Detailed Rubric V3'!$L$66</f>
        <v>0</v>
      </c>
      <c r="CE74" s="280">
        <f>SUM(Table9[[#This Row],[Other BEZA EZ Weighted Score]],Table9[[#This Row],[BEPZA/ BHPTA/ BSCIC Weighted Score]],Table9[[#This Row],[Unorganized (from SMI) Weighted Score]],Table9[[#This Row],[Located on Industrial corridor Weighted Score]])*'Detailed Rubric V3'!$C$64</f>
        <v>0</v>
      </c>
      <c r="CF74" s="280"/>
      <c r="CG74" s="280" cm="1">
        <f t="array" ref="CG74">_xlfn.IFS(Table9[[#This Row],[Economic/ Social priority (laggered area) (100%)]]="", 0, Table9[[#This Row],[Economic/ Social priority (laggered area) (100%)]]="Yes", 4, TRUE, 0)</f>
        <v>0</v>
      </c>
      <c r="CH74" s="280">
        <f>Table9[[#This Row],[Economic/ Social priority (laggered area) Score]]*'Detailed Rubric V3'!$C$82</f>
        <v>0</v>
      </c>
      <c r="CI74" s="280"/>
      <c r="CJ74" s="280" cm="1">
        <f t="array" ref="CJ74">_xlfn.IFS(Table9[[#This Row],[Regional Tax incentive  (0%)]]="", 0, Table9[[#This Row],[Regional Tax incentive  (0%)]]="Yes", 4, TRUE, 0)</f>
        <v>0</v>
      </c>
      <c r="CK74" s="280">
        <f>Table9[[#This Row],[Regional Tax incentive Score]]*'Detailed Rubric V3'!$F$82</f>
        <v>0</v>
      </c>
      <c r="CL74" s="280">
        <f>SUM(Table9[[#This Row],[Economic/ Social priority (laagered area) Weighted Score]],Table9[[#This Row],[Regional Tax incentive  Weighted Score]])*'Detailed Rubric V3'!$C$80</f>
        <v>0</v>
      </c>
      <c r="CM74" s="280"/>
      <c r="CN74" s="280" cm="1">
        <f t="array" ref="CN74">_xlfn.IFS(Table9[[#This Row],[Employable population (40%) 2013]]="", 0, Table9[[#This Row],[Employable population (40%) 2013]]&gt;200000, 4, Table9[[#This Row],[Employable population (40%) 2013]]&lt;100000,0, TRUE, 2)</f>
        <v>0</v>
      </c>
      <c r="CO74" s="280">
        <f>Table9[[#This Row],[Employable population Score]]*'Detailed Rubric V3'!$C$92</f>
        <v>0</v>
      </c>
      <c r="CP74" s="280"/>
      <c r="CQ74" s="280" cm="1">
        <f t="array" ref="CQ74">_xlfn.IFS(Table9[[#This Row],[Housing (20%)]]="", 0, Table9[[#This Row],[Housing (20%)]]&gt;50, 0, Table9[[#This Row],[Housing (20%)]]&lt;25, 4, TRUE, 2)</f>
        <v>0</v>
      </c>
      <c r="CR74" s="280">
        <f>Table9[[#This Row],[Housing Score]]*'Detailed Rubric V3'!$F$92</f>
        <v>0</v>
      </c>
      <c r="CS74" s="280"/>
      <c r="CT74" s="280" cm="1">
        <f t="array" ref="CT74">_xlfn.IFS(Table9[[#This Row],[Hotels (10%)]]="", 0, Table9[[#This Row],[Hotels (10%)]]&gt;25, 4, Table9[[#This Row],[Hotels (10%)]]&lt;5, 0, TRUE, 2)</f>
        <v>0</v>
      </c>
      <c r="CU74" s="280">
        <f>Table9[[#This Row],[Hotels Score]]*'Detailed Rubric V3'!$I$92</f>
        <v>0</v>
      </c>
      <c r="CV74" s="280"/>
      <c r="CW74" s="280" cm="1">
        <f t="array" ref="CW74">_xlfn.IFS(Table9[[#This Row],[Health (Hospital) (15%)]]="", 0, Table9[[#This Row],[Health (Hospital) (15%)]]&gt;10, 4, Table9[[#This Row],[Health (Hospital) (15%)]]&lt;5, 0, TRUE, 2)</f>
        <v>0</v>
      </c>
      <c r="CX74" s="280">
        <f>Table9[[#This Row],[Health (Hospital) Score]]*'Detailed Rubric V3'!$L$92</f>
        <v>0</v>
      </c>
      <c r="CY74" s="280"/>
      <c r="CZ74" s="280" cm="1">
        <f t="array" ref="CZ74">_xlfn.IFS(Table9[[#This Row],[University/ Technical &amp; Vocational Institutions (15%)]]="", 0, Table9[[#This Row],[University/ Technical &amp; Vocational Institutions (15%)]]&gt;3, 4, Table9[[#This Row],[University/ Technical &amp; Vocational Institutions (15%)]]&lt;1, 0, TRUE, 2)</f>
        <v>0</v>
      </c>
      <c r="DA74" s="280">
        <f>Table9[[#This Row],[University/ Technical &amp; Vocational Institutions Score]]*'Detailed Rubric V3'!$O$92</f>
        <v>0</v>
      </c>
      <c r="DB74"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74" s="280"/>
      <c r="DD74" s="280" cm="1">
        <f t="array" ref="DD74">_xlfn.IFS(Table9[[#This Row],[Environment compliance (30%)]]="", 0, Table9[[#This Row],[Environment compliance (30%)]]="Yes", 4, TRUE, 0)</f>
        <v>0</v>
      </c>
      <c r="DE74" s="280">
        <f>Table9[[#This Row],[Environment compliance Score]]*'Detailed Rubric V3'!$C$104</f>
        <v>0</v>
      </c>
      <c r="DF74" s="280" t="s">
        <v>419</v>
      </c>
      <c r="DG74" s="280" cm="1">
        <f t="array" ref="DG74">_xlfn.IFS(Table9[[#This Row],[Flood Risk Index (30%)]]="", 0, Table9[[#This Row],[Flood Risk Index (30%)]]="Very Low", 4, Table9[[#This Row],[Flood Risk Index (30%)]]="Moderate &amp; Low", 2, TRUE, 0)</f>
        <v>2</v>
      </c>
      <c r="DH74" s="280">
        <f>Table9[[#This Row],[Flood Risk Index Score]]*'Detailed Rubric V3'!$F$104</f>
        <v>0.6</v>
      </c>
      <c r="DI74" s="280" t="s">
        <v>421</v>
      </c>
      <c r="DJ74" s="280" cm="1">
        <f t="array" ref="DJ74">_xlfn.IFS(Table9[[#This Row],[Earth Quake Risk Index (10%)]]="", 0, Table9[[#This Row],[Earth Quake Risk Index (10%)]]="Very Low", 4, Table9[[#This Row],[Earth Quake Risk Index (10%)]]="Moderate &amp; Low", 2, TRUE, 0)</f>
        <v>0</v>
      </c>
      <c r="DK74" s="280">
        <f>Table9[[#This Row],[Earth Quake Risk Index Score]]*'Detailed Rubric V3'!$I$104</f>
        <v>0</v>
      </c>
      <c r="DL74" s="280"/>
      <c r="DM74" s="280" cm="1">
        <f t="array" ref="DM74">_xlfn.IFS(Table9[[#This Row],[Sea Level Rise Risk Index (10%)]]="", 0, Table9[[#This Row],[Sea Level Rise Risk Index (10%)]]="Very Low", 4, Table9[[#This Row],[Sea Level Rise Risk Index (10%)]]="Moderate &amp; Low", 2, TRUE, 0)</f>
        <v>0</v>
      </c>
      <c r="DN74" s="280">
        <f>Table9[[#This Row],[Sea Level Rise  Risk Index Score]]*'Detailed Rubric V3'!$L$104</f>
        <v>0</v>
      </c>
      <c r="DO74" s="280" t="s">
        <v>419</v>
      </c>
      <c r="DP74" s="280" cm="1">
        <f t="array" ref="DP74">_xlfn.IFS(Table9[[#This Row],[Cyclone Risk Index (10%)]]="", 0, Table9[[#This Row],[Cyclone Risk Index (10%)]]="Very Low", 4, Table9[[#This Row],[Cyclone Risk Index (10%)]]="Moderate &amp; Low", 2, TRUE, 0)</f>
        <v>2</v>
      </c>
      <c r="DQ74" s="280">
        <f>Table9[[#This Row],[Cyclone Risk Index Score]]*'Detailed Rubric V3'!$O$104</f>
        <v>0.2</v>
      </c>
      <c r="DR74" s="280" t="s">
        <v>428</v>
      </c>
      <c r="DS74" s="280" cm="1">
        <f t="array" ref="DS74">_xlfn.IFS(Table9[[#This Row],[Storm Surge Risk Index (10%)]]="", 0, Table9[[#This Row],[Storm Surge Risk Index (10%)]]="Very Low", 4, Table9[[#This Row],[Storm Surge Risk Index (10%)]]="Moderate &amp; Low", 2, TRUE, 0)</f>
        <v>4</v>
      </c>
      <c r="DT74" s="280">
        <f>Table9[[#This Row],[Storm Surge Risk Index Score]]*'Detailed Rubric V3'!$R$104</f>
        <v>0.4</v>
      </c>
      <c r="DU74"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7.2000000000000008E-2</v>
      </c>
      <c r="DV74" s="309">
        <f>SUM(Table9[[#This Row],[2.1. Connectivity/ Logistics (10% weightage)]],Table9[[#This Row],[2.2. Utility (12% weightage)]],Table9[[#This Row],[2.3. Agglomeration effects (10% weightage)]],Table9[[#This Row],[2.4. Regional Policy (4% weightage)]],Table9[[#This Row],[2.5. Social (8% weightage)]],Table9[[#This Row],[2.6. Environment (6% weightage)]])</f>
        <v>7.2000000000000008E-2</v>
      </c>
      <c r="DW74" s="280">
        <f>_xlfn.RANK.EQ(Table9[[#This Row],[Level 2 Score]],$DV$3:$DV$103)</f>
        <v>78</v>
      </c>
      <c r="DX74" s="302">
        <f>Table9[[#This Row],[Level 1 Score]]+Table9[[#This Row],[Level 2 Score]]</f>
        <v>0.432</v>
      </c>
      <c r="DY74" s="294">
        <f>_xlfn.RANK.EQ(Table9[[#This Row],[Total Score]],$DX$3:$DX$103)</f>
        <v>72</v>
      </c>
      <c r="DZ74" s="237" t="str">
        <f>IF(Table9[[#This Row],[Count of Blanks]]&lt;=2, "Yes", "No")</f>
        <v>No</v>
      </c>
      <c r="EA74" s="237">
        <f>COUNTBLANK(Table9[[#This Row],[Name]:[Total Score Rank]])</f>
        <v>24</v>
      </c>
      <c r="EB74" s="237"/>
    </row>
    <row r="75" spans="2:132" x14ac:dyDescent="0.25">
      <c r="B75" s="220">
        <v>97</v>
      </c>
      <c r="C75" s="221" t="s">
        <v>165</v>
      </c>
      <c r="D75" s="220" t="s">
        <v>76</v>
      </c>
      <c r="E75" s="220" t="s">
        <v>76</v>
      </c>
      <c r="F75" s="220" t="s">
        <v>166</v>
      </c>
      <c r="G75" s="220" t="s">
        <v>92</v>
      </c>
      <c r="H75" s="525" t="s">
        <v>410</v>
      </c>
      <c r="I75" s="70" t="s">
        <v>467</v>
      </c>
      <c r="J75" s="227" t="s">
        <v>444</v>
      </c>
      <c r="K75" s="220">
        <f>IFERROR(VLOOKUP(Table9[[#This Row],[Land Availability (Grade)​
(50%)]],'Detailed Rubric V3'!$B$8:$C$11,2), 0)</f>
        <v>0</v>
      </c>
      <c r="L75" s="220">
        <f>IFERROR(Table9[[#This Row],[Land Availability (Grade)​ Score]]*'Detailed Rubric V3'!$C$6, "")</f>
        <v>0</v>
      </c>
      <c r="M75" s="222">
        <v>2.4300000000000002</v>
      </c>
      <c r="N75" s="222" cm="1">
        <f t="array" ref="N75">_xlfn.IFS(Table9[[#This Row],[Land Size (Acres)
(15%)]]&lt;100,0,Table9[[#This Row],[Land Size (Acres)
(15%)]]&gt;500,4,TRUE,2)</f>
        <v>0</v>
      </c>
      <c r="O75" s="222">
        <f>Table9[[#This Row],[Land Size (Acres) Score]]*'Detailed Rubric V3'!$G$6</f>
        <v>0</v>
      </c>
      <c r="P75" s="526"/>
      <c r="Q75" s="526">
        <f>IFERROR(Table9[[#This Row],[Site Filling Cost (Mn BDT)]]/Table9[[#This Row],[Land Size (Acres)
(15%)]],"")</f>
        <v>0</v>
      </c>
      <c r="R75" s="526" cm="1">
        <f t="array" ref="R75">IF(Table9[[#This Row],[Name]]="Sitakundo Economic Zone", 4, _xlfn.IFS(Table9[[#This Row],[Site Filling Cost (Mn BDT)]]="",0,Table9[[#This Row],[Land Suitability
(Cost of Land Filling in Million BDT per acre)
(25%)]]&gt;5,0,Table9[[#This Row],[Land Suitability
(Cost of Land Filling in Million BDT per acre)
(25%)]]&lt;2,4,TRUE,2))</f>
        <v>0</v>
      </c>
      <c r="S75" s="526">
        <f>Table9[[#This Row],[Land Suitability for Construction Score]]*'Detailed Rubric V3'!$J$6</f>
        <v>0</v>
      </c>
      <c r="T75" s="526"/>
      <c r="U75" s="526">
        <f>IFERROR(Table9[[#This Row],[Embankment/Dyke Cost (Mn BDT)]]/Table9[[#This Row],[Land Size (Acres)
(15%)]], 0)</f>
        <v>0</v>
      </c>
      <c r="V75" s="526" cm="1">
        <f t="array" ref="V75">IF(Table9[[#This Row],[Name]]="Sitakundo Economic Zone", 2, _xlfn.IFS(Table9[[#This Row],[Embankment/Dyke Cost (Mn BDT)]]="",0,Table9[[#This Row],[Cost of DRRI Infrastructure in million BDT per acre
(10%)]]&gt;5,0,Table9[[#This Row],[Cost of DRRI Infrastructure in million BDT per acre
(10%)]]&lt;2,4,TRUE,2))</f>
        <v>0</v>
      </c>
      <c r="W75" s="526">
        <f>Table9[[#This Row],[Requirement for Distaster Risk Reduction &amp; Resilience Infrastructure Score]]*'Detailed Rubric V3'!$M$6</f>
        <v>0</v>
      </c>
      <c r="X75"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v>
      </c>
      <c r="Y75" s="227" t="s">
        <v>440</v>
      </c>
      <c r="Z75" s="583">
        <f>IFERROR(VLOOKUP(Table9[[#This Row],[Zone Priority
(40%)]],'Detailed Rubric V3'!$B$18:$C$21, 2,FALSE), 0)</f>
        <v>4</v>
      </c>
      <c r="AA75" s="583">
        <f>IFERROR(Table9[[#This Row],[Zone Priority Score]]*'Detailed Rubric V3'!$C$16, 0)</f>
        <v>0</v>
      </c>
      <c r="AB75" s="584" t="s">
        <v>441</v>
      </c>
      <c r="AC75" s="584">
        <f>VLOOKUP(Table9[[#This Row],[Existing BEZA Report
(60%)]],'Detailed Rubric V3'!$E$18:$F$20,2,FALSE)</f>
        <v>0</v>
      </c>
      <c r="AD75" s="584">
        <f>Table9[[#This Row],[Existing BEZA Report Score]]*'Detailed Rubric V3'!F$16</f>
        <v>0</v>
      </c>
      <c r="AE75" s="237">
        <f>(Table9[[#This Row],[Zone Priority Weighted Score]]+Table9[[#This Row],[Existing BEZA Report Weighted Score]])*'Detailed Rubric V3'!$C$14</f>
        <v>0</v>
      </c>
      <c r="AF75" s="528">
        <v>15</v>
      </c>
      <c r="AG75" s="585" cm="1">
        <f t="array" ref="AG75">_xlfn.IFS(Table9[[#This Row],[Existing Sectors
(50%)]]&gt;10, 4,Table9[[#This Row],[Existing Sectors
(50%)]]&lt;5, 0, TRUE, 2)</f>
        <v>4</v>
      </c>
      <c r="AH75" s="585">
        <f>Table9[[#This Row],[Existing Sectors Score]]*'Detailed Rubric V3'!$C$25</f>
        <v>2</v>
      </c>
      <c r="AI75" s="585">
        <v>15</v>
      </c>
      <c r="AJ75" s="585">
        <v>0</v>
      </c>
      <c r="AK75" s="585" cm="1">
        <f t="array" ref="AK75">_xlfn.IFS(Table9[[#This Row],[Potential New Sectors
(50%)]]&gt;5, 4, Table9[[#This Row],[Potential New Sectors
(50%)]]&lt;2,0, TRUE, 2)</f>
        <v>0</v>
      </c>
      <c r="AL75" s="585">
        <f>Table9[[#This Row],[Potential New Sectors Score]]*'Detailed Rubric V3'!$F$25</f>
        <v>0</v>
      </c>
      <c r="AM75" s="586">
        <f>(Table9[[#This Row],[Existing Sectors Weighted Score]]+Table9[[#This Row],[Potential New Sectors Weighted Score]])*'Detailed Rubric V3'!$C$23</f>
        <v>0.3</v>
      </c>
      <c r="AN75" s="530">
        <f>SUM(Table9[[#This Row],[1.1. Land Details (20% weightage)]],Table9[[#This Row],[1.2. BEZA Existing plans (15% weightage)]],Table9[[#This Row],[1.3. Sector Demand (15% weightage):]])</f>
        <v>0.3</v>
      </c>
      <c r="AO75" s="531">
        <f>_xlfn.RANK.EQ(Table9[[#This Row],[Level 1 Score]],$AN$3:$AN$103)</f>
        <v>71</v>
      </c>
      <c r="AP75" s="280"/>
      <c r="AQ75" s="280" cm="1">
        <f t="array" ref="AQ75">_xlfn.IFS(Table9[[#This Row],[National Highway Connectivity (km)
(15%)]]="", 0, Table9[[#This Row],[National Highway Connectivity (km)
(15%)]]&gt;50, 0, Table9[[#This Row],[National Highway Connectivity (km)
(15%)]]&lt;=25, 4, TRUE, 2)</f>
        <v>0</v>
      </c>
      <c r="AR75" s="280">
        <f>Table9[[#This Row],[National Highway Connectivity Score]]*'Detailed Rubric V3'!$C$35</f>
        <v>0</v>
      </c>
      <c r="AS75" s="280"/>
      <c r="AT75" s="280" cm="1">
        <f t="array" ref="AT75">_xlfn.IFS(Table9[[#This Row],[Connecting Road to Highway (km)
(15%)]]="", 0, Table9[[#This Row],[Connecting Road to Highway (km)
(15%)]]="Yes", 4, TRUE, 0)</f>
        <v>0</v>
      </c>
      <c r="AU75" s="280">
        <f>Table9[[#This Row],[Connecting Road to Highway Score]]*'Detailed Rubric V3'!$F$35</f>
        <v>0</v>
      </c>
      <c r="AV75" s="280"/>
      <c r="AW75" s="280" cm="1">
        <f t="array" ref="AW75">_xlfn.IFS(Table9[[#This Row],[Seaport Connectivity (km)
(30%)]]="",0, Table9[[#This Row],[Seaport Connectivity (km)
(30%)]]&gt;400, 0,Table9[[#This Row],[Seaport Connectivity (km)
(30%)]]&lt;=200,4, TRUE, 2)</f>
        <v>0</v>
      </c>
      <c r="AX75" s="280">
        <f>Table9[[#This Row],[Seaport Connectivity Score]]*'Detailed Rubric V3'!$I$35</f>
        <v>0</v>
      </c>
      <c r="AY75" s="280"/>
      <c r="AZ75" s="280" cm="1">
        <f t="array" ref="AZ75">_xlfn.IFS(Table9[[#This Row],[Airport Connectivity (km)
(10%)]]="", 0, Table9[[#This Row],[Airport Connectivity (km)
(10%)]]&gt;200, 0, Table9[[#This Row],[Airport Connectivity (km)
(10%)]]&lt;=100,4,TRUE, 2)</f>
        <v>0</v>
      </c>
      <c r="BA75" s="280">
        <f>Table9[[#This Row],[Airport Connectivity Score]]*'Detailed Rubric V3'!$C$41</f>
        <v>0</v>
      </c>
      <c r="BB75" s="280"/>
      <c r="BC75" s="280" cm="1">
        <f t="array" ref="BC75">_xlfn.IFS(Table9[[#This Row],[Railway Station (km)
(10%)]]="", 0, Table9[[#This Row],[Railway Station (km)
(10%)]]&gt;150, 0,Table9[[#This Row],[Railway Station (km)
(10%)]]&lt;=50,4, TRUE, 2)</f>
        <v>0</v>
      </c>
      <c r="BD75" s="280">
        <f>Table9[[#This Row],[Railway Station Score]]*'Detailed Rubric V3'!$F$41</f>
        <v>0</v>
      </c>
      <c r="BE75" s="280"/>
      <c r="BF75" s="280" cm="1">
        <f t="array" ref="BF75">_xlfn.IFS(Table9[[#This Row],[Inland waterway/ Land port (km)
(20%)]]="", 0, Table9[[#This Row],[Inland waterway/ Land port (km)
(20%)]]&gt;200, 0,Table9[[#This Row],[Inland waterway/ Land port (km)
(20%)]]&lt;=50,4, TRUE, 2)</f>
        <v>0</v>
      </c>
      <c r="BG75" s="280">
        <f>Table9[[#This Row],[Inland waterway/ Land port Score]]*'Detailed Rubric V3'!$I$41</f>
        <v>0</v>
      </c>
      <c r="BH75"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75" s="280"/>
      <c r="BJ75" s="280" cm="1">
        <f t="array" ref="BJ75">_xlfn.IFS(Table9[[#This Row],[Power Station (40%)]]="",0, Table9[[#This Row],[Power Station (40%)]]&gt;100, 0,Table9[[#This Row],[Power Station (40%)]]&lt;=50,4, TRUE, 2)</f>
        <v>0</v>
      </c>
      <c r="BK75" s="280">
        <f>Table9[[#This Row],[Power Station Score]]*'Detailed Rubric V3'!$C$53</f>
        <v>0</v>
      </c>
      <c r="BL75" s="280"/>
      <c r="BM75" s="280" cm="1">
        <f t="array" ref="BM75">IF(ISNUMBER(Table9[[#This Row],[Gas Station (20%)]]), _xlfn.IFS(Table9[[#This Row],[Gas Station (20%)]]="", 0, Table9[[#This Row],[Gas Station (20%)]]&gt;100, 0,Table9[[#This Row],[Gas Station (20%)]]&lt;=50,4, TRUE, 2), 0)</f>
        <v>0</v>
      </c>
      <c r="BN75" s="280">
        <f>Table9[[#This Row],[Gas Station Score]]*'Detailed Rubric V3'!$F$53</f>
        <v>0</v>
      </c>
      <c r="BO75" s="280"/>
      <c r="BP75" s="280" cm="1">
        <f t="array" ref="BP75">IF(ISNUMBER(Table9[[#This Row],[Source of Surface Water (40%)]]), _xlfn.IFS(Table9[[#This Row],[Source of Surface Water (40%)]]="", 0, Table9[[#This Row],[Source of Surface Water (40%)]]&gt;50, 0,Table9[[#This Row],[Source of Surface Water (40%)]]&lt;=20,4, TRUE, 2), 0)</f>
        <v>0</v>
      </c>
      <c r="BQ75" s="280">
        <f>Table9[[#This Row],[Source of Surface Water Score]]*'Detailed Rubric V3'!$I$53</f>
        <v>0</v>
      </c>
      <c r="BR75" s="280">
        <f>SUM(Table9[[#This Row],[Power Station Weighted Score]],Table9[[#This Row],[Gas Station Weighted Score]],Table9[[#This Row],[Source of Surface Water Weighted Score]])*'Detailed Rubric V3'!$C$51</f>
        <v>0</v>
      </c>
      <c r="BS75" s="280"/>
      <c r="BT75" s="280" cm="1">
        <f t="array" ref="BT75">_xlfn.IFS(Table9[[#This Row],[Other BEZA EZ (20%)]]="", 0, Table9[[#This Row],[Other BEZA EZ (20%)]]="Yes", 4, TRUE, 0)</f>
        <v>0</v>
      </c>
      <c r="BU75" s="280">
        <f>Table9[[#This Row],[Other BEZA EZ Score]]*'Detailed Rubric V3'!$C$66</f>
        <v>0</v>
      </c>
      <c r="BV75" s="280"/>
      <c r="BW75" s="280" cm="1">
        <f t="array" ref="BW75">_xlfn.IFS(Table9[[#This Row],[BEPZA/ BHPTA/ BSCIC (20%)]]="", 0, Table9[[#This Row],[BEPZA/ BHPTA/ BSCIC (20%)]]="Yes", 4, TRUE, 0)</f>
        <v>0</v>
      </c>
      <c r="BX75" s="280">
        <f>Table9[[#This Row],[BEPZA/ BHPTA/ BSCIC Score]]*'Detailed Rubric V3'!$F$66</f>
        <v>0</v>
      </c>
      <c r="BY75" s="280"/>
      <c r="BZ75" s="280" cm="1">
        <f t="array" ref="BZ75">_xlfn.IFS(Table9[[#This Row],[Cluster Industries (from SMI) (20%)]]="", 0, Table9[[#This Row],[Cluster Industries (from SMI) (20%)]]&gt;100, 4, Table9[[#This Row],[Cluster Industries (from SMI) (20%)]]&lt;50, 0, TRUE, 2)</f>
        <v>0</v>
      </c>
      <c r="CA75" s="280">
        <f>Table9[[#This Row],[Cluster Industries (from SMI) Score]]*'Detailed Rubric V3'!$I$66</f>
        <v>0</v>
      </c>
      <c r="CB75" s="280"/>
      <c r="CC75" s="280" cm="1">
        <f t="array" ref="CC75">_xlfn.IFS(Table9[[#This Row],[Located on Industrial corridor (40%)]]="", 0, Table9[[#This Row],[Located on Industrial corridor (40%)]]="Yes", 4, TRUE, 0)</f>
        <v>0</v>
      </c>
      <c r="CD75" s="280">
        <f>Table9[[#This Row],[Located on Industrial corridor Score]]*'Detailed Rubric V3'!$L$66</f>
        <v>0</v>
      </c>
      <c r="CE75" s="280">
        <f>SUM(Table9[[#This Row],[Other BEZA EZ Weighted Score]],Table9[[#This Row],[BEPZA/ BHPTA/ BSCIC Weighted Score]],Table9[[#This Row],[Unorganized (from SMI) Weighted Score]],Table9[[#This Row],[Located on Industrial corridor Weighted Score]])*'Detailed Rubric V3'!$C$64</f>
        <v>0</v>
      </c>
      <c r="CF75" s="280"/>
      <c r="CG75" s="280" cm="1">
        <f t="array" ref="CG75">_xlfn.IFS(Table9[[#This Row],[Economic/ Social priority (laggered area) (100%)]]="", 0, Table9[[#This Row],[Economic/ Social priority (laggered area) (100%)]]="Yes", 4, TRUE, 0)</f>
        <v>0</v>
      </c>
      <c r="CH75" s="280">
        <f>Table9[[#This Row],[Economic/ Social priority (laggered area) Score]]*'Detailed Rubric V3'!$C$82</f>
        <v>0</v>
      </c>
      <c r="CI75" s="280"/>
      <c r="CJ75" s="280" cm="1">
        <f t="array" ref="CJ75">_xlfn.IFS(Table9[[#This Row],[Regional Tax incentive  (0%)]]="", 0, Table9[[#This Row],[Regional Tax incentive  (0%)]]="Yes", 4, TRUE, 0)</f>
        <v>0</v>
      </c>
      <c r="CK75" s="280">
        <f>Table9[[#This Row],[Regional Tax incentive Score]]*'Detailed Rubric V3'!$F$82</f>
        <v>0</v>
      </c>
      <c r="CL75" s="280">
        <f>SUM(Table9[[#This Row],[Economic/ Social priority (laagered area) Weighted Score]],Table9[[#This Row],[Regional Tax incentive  Weighted Score]])*'Detailed Rubric V3'!$C$80</f>
        <v>0</v>
      </c>
      <c r="CM75" s="280"/>
      <c r="CN75" s="280" cm="1">
        <f t="array" ref="CN75">_xlfn.IFS(Table9[[#This Row],[Employable population (40%) 2013]]="", 0, Table9[[#This Row],[Employable population (40%) 2013]]&gt;200000, 4, Table9[[#This Row],[Employable population (40%) 2013]]&lt;100000,0, TRUE, 2)</f>
        <v>0</v>
      </c>
      <c r="CO75" s="280">
        <f>Table9[[#This Row],[Employable population Score]]*'Detailed Rubric V3'!$C$92</f>
        <v>0</v>
      </c>
      <c r="CP75" s="280"/>
      <c r="CQ75" s="280" cm="1">
        <f t="array" ref="CQ75">_xlfn.IFS(Table9[[#This Row],[Housing (20%)]]="", 0, Table9[[#This Row],[Housing (20%)]]&gt;50, 0, Table9[[#This Row],[Housing (20%)]]&lt;25, 4, TRUE, 2)</f>
        <v>0</v>
      </c>
      <c r="CR75" s="280">
        <f>Table9[[#This Row],[Housing Score]]*'Detailed Rubric V3'!$F$92</f>
        <v>0</v>
      </c>
      <c r="CS75" s="280"/>
      <c r="CT75" s="280" cm="1">
        <f t="array" ref="CT75">_xlfn.IFS(Table9[[#This Row],[Hotels (10%)]]="", 0, Table9[[#This Row],[Hotels (10%)]]&gt;25, 4, Table9[[#This Row],[Hotels (10%)]]&lt;5, 0, TRUE, 2)</f>
        <v>0</v>
      </c>
      <c r="CU75" s="280">
        <f>Table9[[#This Row],[Hotels Score]]*'Detailed Rubric V3'!$I$92</f>
        <v>0</v>
      </c>
      <c r="CV75" s="280"/>
      <c r="CW75" s="280" cm="1">
        <f t="array" ref="CW75">_xlfn.IFS(Table9[[#This Row],[Health (Hospital) (15%)]]="", 0, Table9[[#This Row],[Health (Hospital) (15%)]]&gt;10, 4, Table9[[#This Row],[Health (Hospital) (15%)]]&lt;5, 0, TRUE, 2)</f>
        <v>0</v>
      </c>
      <c r="CX75" s="280">
        <f>Table9[[#This Row],[Health (Hospital) Score]]*'Detailed Rubric V3'!$L$92</f>
        <v>0</v>
      </c>
      <c r="CY75" s="280"/>
      <c r="CZ75" s="280" cm="1">
        <f t="array" ref="CZ75">_xlfn.IFS(Table9[[#This Row],[University/ Technical &amp; Vocational Institutions (15%)]]="", 0, Table9[[#This Row],[University/ Technical &amp; Vocational Institutions (15%)]]&gt;3, 4, Table9[[#This Row],[University/ Technical &amp; Vocational Institutions (15%)]]&lt;1, 0, TRUE, 2)</f>
        <v>0</v>
      </c>
      <c r="DA75" s="280">
        <f>Table9[[#This Row],[University/ Technical &amp; Vocational Institutions Score]]*'Detailed Rubric V3'!$O$92</f>
        <v>0</v>
      </c>
      <c r="DB75"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75" s="280"/>
      <c r="DD75" s="280" cm="1">
        <f t="array" ref="DD75">_xlfn.IFS(Table9[[#This Row],[Environment compliance (30%)]]="", 0, Table9[[#This Row],[Environment compliance (30%)]]="Yes", 4, TRUE, 0)</f>
        <v>0</v>
      </c>
      <c r="DE75" s="280">
        <f>Table9[[#This Row],[Environment compliance Score]]*'Detailed Rubric V3'!$C$104</f>
        <v>0</v>
      </c>
      <c r="DF75" s="280" t="s">
        <v>419</v>
      </c>
      <c r="DG75" s="280" cm="1">
        <f t="array" ref="DG75">_xlfn.IFS(Table9[[#This Row],[Flood Risk Index (30%)]]="", 0, Table9[[#This Row],[Flood Risk Index (30%)]]="Very Low", 4, Table9[[#This Row],[Flood Risk Index (30%)]]="Moderate &amp; Low", 2, TRUE, 0)</f>
        <v>2</v>
      </c>
      <c r="DH75" s="280">
        <f>Table9[[#This Row],[Flood Risk Index Score]]*'Detailed Rubric V3'!$F$104</f>
        <v>0.6</v>
      </c>
      <c r="DI75" s="280" t="s">
        <v>419</v>
      </c>
      <c r="DJ75" s="280" cm="1">
        <f t="array" ref="DJ75">_xlfn.IFS(Table9[[#This Row],[Earth Quake Risk Index (10%)]]="", 0, Table9[[#This Row],[Earth Quake Risk Index (10%)]]="Very Low", 4, Table9[[#This Row],[Earth Quake Risk Index (10%)]]="Moderate &amp; Low", 2, TRUE, 0)</f>
        <v>2</v>
      </c>
      <c r="DK75" s="280">
        <f>Table9[[#This Row],[Earth Quake Risk Index Score]]*'Detailed Rubric V3'!$I$104</f>
        <v>0.2</v>
      </c>
      <c r="DL75" s="280" t="s">
        <v>428</v>
      </c>
      <c r="DM75" s="280" cm="1">
        <f t="array" ref="DM75">_xlfn.IFS(Table9[[#This Row],[Sea Level Rise Risk Index (10%)]]="", 0, Table9[[#This Row],[Sea Level Rise Risk Index (10%)]]="Very Low", 4, Table9[[#This Row],[Sea Level Rise Risk Index (10%)]]="Moderate &amp; Low", 2, TRUE, 0)</f>
        <v>4</v>
      </c>
      <c r="DN75" s="280">
        <f>Table9[[#This Row],[Sea Level Rise  Risk Index Score]]*'Detailed Rubric V3'!$L$104</f>
        <v>0.4</v>
      </c>
      <c r="DO75" s="280" t="s">
        <v>419</v>
      </c>
      <c r="DP75" s="280" cm="1">
        <f t="array" ref="DP75">_xlfn.IFS(Table9[[#This Row],[Cyclone Risk Index (10%)]]="", 0, Table9[[#This Row],[Cyclone Risk Index (10%)]]="Very Low", 4, Table9[[#This Row],[Cyclone Risk Index (10%)]]="Moderate &amp; Low", 2, TRUE, 0)</f>
        <v>2</v>
      </c>
      <c r="DQ75" s="280">
        <f>Table9[[#This Row],[Cyclone Risk Index Score]]*'Detailed Rubric V3'!$O$104</f>
        <v>0.2</v>
      </c>
      <c r="DR75" s="280" t="s">
        <v>428</v>
      </c>
      <c r="DS75" s="280" cm="1">
        <f t="array" ref="DS75">_xlfn.IFS(Table9[[#This Row],[Storm Surge Risk Index (10%)]]="", 0, Table9[[#This Row],[Storm Surge Risk Index (10%)]]="Very Low", 4, Table9[[#This Row],[Storm Surge Risk Index (10%)]]="Moderate &amp; Low", 2, TRUE, 0)</f>
        <v>4</v>
      </c>
      <c r="DT75" s="280">
        <f>Table9[[#This Row],[Storm Surge Risk Index Score]]*'Detailed Rubric V3'!$R$104</f>
        <v>0.4</v>
      </c>
      <c r="DU75"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75" s="309">
        <f>SUM(Table9[[#This Row],[2.1. Connectivity/ Logistics (10% weightage)]],Table9[[#This Row],[2.2. Utility (12% weightage)]],Table9[[#This Row],[2.3. Agglomeration effects (10% weightage)]],Table9[[#This Row],[2.4. Regional Policy (4% weightage)]],Table9[[#This Row],[2.5. Social (8% weightage)]],Table9[[#This Row],[2.6. Environment (6% weightage)]])</f>
        <v>0.10800000000000001</v>
      </c>
      <c r="DW75" s="280">
        <f>_xlfn.RANK.EQ(Table9[[#This Row],[Level 2 Score]],$DV$3:$DV$103)</f>
        <v>64</v>
      </c>
      <c r="DX75" s="302">
        <f>Table9[[#This Row],[Level 1 Score]]+Table9[[#This Row],[Level 2 Score]]</f>
        <v>0.40800000000000003</v>
      </c>
      <c r="DY75" s="294">
        <f>_xlfn.RANK.EQ(Table9[[#This Row],[Total Score]],$DX$3:$DX$103)</f>
        <v>73</v>
      </c>
      <c r="DZ75" s="237" t="str">
        <f>IF(Table9[[#This Row],[Count of Blanks]]&lt;=2, "Yes", "No")</f>
        <v>No</v>
      </c>
      <c r="EA75" s="237">
        <f>COUNTBLANK(Table9[[#This Row],[Name]:[Total Score Rank]])</f>
        <v>23</v>
      </c>
      <c r="EB75" s="237"/>
    </row>
    <row r="76" spans="2:132" ht="27" x14ac:dyDescent="0.25">
      <c r="B76" s="220">
        <v>14</v>
      </c>
      <c r="C76" s="221" t="s">
        <v>207</v>
      </c>
      <c r="D76" s="220" t="s">
        <v>121</v>
      </c>
      <c r="E76" s="220" t="s">
        <v>208</v>
      </c>
      <c r="F76" s="220" t="s">
        <v>209</v>
      </c>
      <c r="G76" s="220" t="s">
        <v>70</v>
      </c>
      <c r="H76" s="525" t="s">
        <v>430</v>
      </c>
      <c r="I76" s="70" t="s">
        <v>434</v>
      </c>
      <c r="J76" s="227" t="s">
        <v>435</v>
      </c>
      <c r="K76" s="220">
        <f>IFERROR(VLOOKUP(Table9[[#This Row],[Land Availability (Grade)​
(50%)]],'Detailed Rubric V3'!$B$8:$C$11,2), 0)</f>
        <v>2</v>
      </c>
      <c r="L76" s="220">
        <f>IFERROR(Table9[[#This Row],[Land Availability (Grade)​ Score]]*'Detailed Rubric V3'!$C$6, "")</f>
        <v>1</v>
      </c>
      <c r="M76" s="222">
        <v>344.16500000000002</v>
      </c>
      <c r="N76" s="222" cm="1">
        <f t="array" ref="N76">_xlfn.IFS(Table9[[#This Row],[Land Size (Acres)
(15%)]]&lt;100,0,Table9[[#This Row],[Land Size (Acres)
(15%)]]&gt;500,4,TRUE,2)</f>
        <v>2</v>
      </c>
      <c r="O76" s="222">
        <f>Table9[[#This Row],[Land Size (Acres) Score]]*'Detailed Rubric V3'!$G$6</f>
        <v>0.3</v>
      </c>
      <c r="P76" s="526"/>
      <c r="Q76" s="526">
        <f>IFERROR(Table9[[#This Row],[Site Filling Cost (Mn BDT)]]/Table9[[#This Row],[Land Size (Acres)
(15%)]],"")</f>
        <v>0</v>
      </c>
      <c r="R76" s="526" cm="1">
        <f t="array" ref="R76">IF(Table9[[#This Row],[Name]]="Sitakundo Economic Zone", 4, _xlfn.IFS(Table9[[#This Row],[Site Filling Cost (Mn BDT)]]="",0,Table9[[#This Row],[Land Suitability
(Cost of Land Filling in Million BDT per acre)
(25%)]]&gt;5,0,Table9[[#This Row],[Land Suitability
(Cost of Land Filling in Million BDT per acre)
(25%)]]&lt;2,4,TRUE,2))</f>
        <v>0</v>
      </c>
      <c r="S76" s="526">
        <f>Table9[[#This Row],[Land Suitability for Construction Score]]*'Detailed Rubric V3'!$J$6</f>
        <v>0</v>
      </c>
      <c r="T76" s="526"/>
      <c r="U76" s="526">
        <f>IFERROR(Table9[[#This Row],[Embankment/Dyke Cost (Mn BDT)]]/Table9[[#This Row],[Land Size (Acres)
(15%)]], 0)</f>
        <v>0</v>
      </c>
      <c r="V76" s="526" cm="1">
        <f t="array" ref="V76">IF(Table9[[#This Row],[Name]]="Sitakundo Economic Zone", 2, _xlfn.IFS(Table9[[#This Row],[Embankment/Dyke Cost (Mn BDT)]]="",0,Table9[[#This Row],[Cost of DRRI Infrastructure in million BDT per acre
(10%)]]&gt;5,0,Table9[[#This Row],[Cost of DRRI Infrastructure in million BDT per acre
(10%)]]&lt;2,4,TRUE,2))</f>
        <v>0</v>
      </c>
      <c r="W76" s="526">
        <f>Table9[[#This Row],[Requirement for Distaster Risk Reduction &amp; Resilience Infrastructure Score]]*'Detailed Rubric V3'!$M$6</f>
        <v>0</v>
      </c>
      <c r="X76"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0.26</v>
      </c>
      <c r="Y76" s="452" t="s">
        <v>436</v>
      </c>
      <c r="Z76" s="210">
        <f>IFERROR(VLOOKUP(Table9[[#This Row],[Zone Priority
(40%)]],'Detailed Rubric V3'!$B$18:$C$21, 2,FALSE), 0)</f>
        <v>0</v>
      </c>
      <c r="AA76" s="210">
        <f>IFERROR(Table9[[#This Row],[Zone Priority Score]]*'Detailed Rubric V3'!$C$16, 0)</f>
        <v>0</v>
      </c>
      <c r="AB76" s="237" t="s">
        <v>441</v>
      </c>
      <c r="AC76" s="237">
        <f>VLOOKUP(Table9[[#This Row],[Existing BEZA Report
(60%)]],'Detailed Rubric V3'!$E$18:$F$20,2,FALSE)</f>
        <v>0</v>
      </c>
      <c r="AD76" s="237">
        <f>Table9[[#This Row],[Existing BEZA Report Score]]*'Detailed Rubric V3'!F$16</f>
        <v>0</v>
      </c>
      <c r="AE76" s="237">
        <f>(Table9[[#This Row],[Zone Priority Weighted Score]]+Table9[[#This Row],[Existing BEZA Report Weighted Score]])*'Detailed Rubric V3'!$C$14</f>
        <v>0</v>
      </c>
      <c r="AF76" s="528">
        <v>1</v>
      </c>
      <c r="AG76" s="529" cm="1">
        <f t="array" ref="AG76">_xlfn.IFS(Table9[[#This Row],[Existing Sectors
(50%)]]&gt;10, 4,Table9[[#This Row],[Existing Sectors
(50%)]]&lt;5, 0, TRUE, 2)</f>
        <v>0</v>
      </c>
      <c r="AH76" s="529">
        <f>Table9[[#This Row],[Existing Sectors Score]]*'Detailed Rubric V3'!$C$25</f>
        <v>0</v>
      </c>
      <c r="AI76" s="529">
        <v>2</v>
      </c>
      <c r="AJ76" s="529">
        <v>1</v>
      </c>
      <c r="AK76" s="529" cm="1">
        <f t="array" ref="AK76">_xlfn.IFS(Table9[[#This Row],[Potential New Sectors
(50%)]]&gt;5, 4, Table9[[#This Row],[Potential New Sectors
(50%)]]&lt;2,0, TRUE, 2)</f>
        <v>0</v>
      </c>
      <c r="AL76" s="529">
        <f>Table9[[#This Row],[Potential New Sectors Score]]*'Detailed Rubric V3'!$F$25</f>
        <v>0</v>
      </c>
      <c r="AM76" s="232">
        <f>(Table9[[#This Row],[Existing Sectors Weighted Score]]+Table9[[#This Row],[Potential New Sectors Weighted Score]])*'Detailed Rubric V3'!$C$23</f>
        <v>0</v>
      </c>
      <c r="AN76" s="530">
        <f>SUM(Table9[[#This Row],[1.1. Land Details (20% weightage)]],Table9[[#This Row],[1.2. BEZA Existing plans (15% weightage)]],Table9[[#This Row],[1.3. Sector Demand (15% weightage):]])</f>
        <v>0.26</v>
      </c>
      <c r="AO76" s="531">
        <f>_xlfn.RANK.EQ(Table9[[#This Row],[Level 1 Score]],$AN$3:$AN$103)</f>
        <v>77</v>
      </c>
      <c r="AP76" s="280"/>
      <c r="AQ76" s="280" cm="1">
        <f t="array" ref="AQ76">_xlfn.IFS(Table9[[#This Row],[National Highway Connectivity (km)
(15%)]]="", 0, Table9[[#This Row],[National Highway Connectivity (km)
(15%)]]&gt;50, 0, Table9[[#This Row],[National Highway Connectivity (km)
(15%)]]&lt;=25, 4, TRUE, 2)</f>
        <v>0</v>
      </c>
      <c r="AR76" s="280">
        <f>Table9[[#This Row],[National Highway Connectivity Score]]*'Detailed Rubric V3'!$C$35</f>
        <v>0</v>
      </c>
      <c r="AS76" s="280"/>
      <c r="AT76" s="280" cm="1">
        <f t="array" ref="AT76">_xlfn.IFS(Table9[[#This Row],[Connecting Road to Highway (km)
(15%)]]="", 0, Table9[[#This Row],[Connecting Road to Highway (km)
(15%)]]="Yes", 4, TRUE, 0)</f>
        <v>0</v>
      </c>
      <c r="AU76" s="280">
        <f>Table9[[#This Row],[Connecting Road to Highway Score]]*'Detailed Rubric V3'!$F$35</f>
        <v>0</v>
      </c>
      <c r="AV76" s="280"/>
      <c r="AW76" s="280" cm="1">
        <f t="array" ref="AW76">_xlfn.IFS(Table9[[#This Row],[Seaport Connectivity (km)
(30%)]]="",0, Table9[[#This Row],[Seaport Connectivity (km)
(30%)]]&gt;400, 0,Table9[[#This Row],[Seaport Connectivity (km)
(30%)]]&lt;=200,4, TRUE, 2)</f>
        <v>0</v>
      </c>
      <c r="AX76" s="280">
        <f>Table9[[#This Row],[Seaport Connectivity Score]]*'Detailed Rubric V3'!$I$35</f>
        <v>0</v>
      </c>
      <c r="AY76" s="280"/>
      <c r="AZ76" s="280" cm="1">
        <f t="array" ref="AZ76">_xlfn.IFS(Table9[[#This Row],[Airport Connectivity (km)
(10%)]]="", 0, Table9[[#This Row],[Airport Connectivity (km)
(10%)]]&gt;200, 0, Table9[[#This Row],[Airport Connectivity (km)
(10%)]]&lt;=100,4,TRUE, 2)</f>
        <v>0</v>
      </c>
      <c r="BA76" s="280">
        <f>Table9[[#This Row],[Airport Connectivity Score]]*'Detailed Rubric V3'!$C$41</f>
        <v>0</v>
      </c>
      <c r="BB76" s="280"/>
      <c r="BC76" s="280" cm="1">
        <f t="array" ref="BC76">_xlfn.IFS(Table9[[#This Row],[Railway Station (km)
(10%)]]="", 0, Table9[[#This Row],[Railway Station (km)
(10%)]]&gt;150, 0,Table9[[#This Row],[Railway Station (km)
(10%)]]&lt;=50,4, TRUE, 2)</f>
        <v>0</v>
      </c>
      <c r="BD76" s="280">
        <f>Table9[[#This Row],[Railway Station Score]]*'Detailed Rubric V3'!$F$41</f>
        <v>0</v>
      </c>
      <c r="BE76" s="280"/>
      <c r="BF76" s="280" cm="1">
        <f t="array" ref="BF76">_xlfn.IFS(Table9[[#This Row],[Inland waterway/ Land port (km)
(20%)]]="", 0, Table9[[#This Row],[Inland waterway/ Land port (km)
(20%)]]&gt;200, 0,Table9[[#This Row],[Inland waterway/ Land port (km)
(20%)]]&lt;=50,4, TRUE, 2)</f>
        <v>0</v>
      </c>
      <c r="BG76" s="280">
        <f>Table9[[#This Row],[Inland waterway/ Land port Score]]*'Detailed Rubric V3'!$I$41</f>
        <v>0</v>
      </c>
      <c r="BH76"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76" s="280"/>
      <c r="BJ76" s="280" cm="1">
        <f t="array" ref="BJ76">_xlfn.IFS(Table9[[#This Row],[Power Station (40%)]]="",0, Table9[[#This Row],[Power Station (40%)]]&gt;100, 0,Table9[[#This Row],[Power Station (40%)]]&lt;=50,4, TRUE, 2)</f>
        <v>0</v>
      </c>
      <c r="BK76" s="280">
        <f>Table9[[#This Row],[Power Station Score]]*'Detailed Rubric V3'!$C$53</f>
        <v>0</v>
      </c>
      <c r="BL76" s="280"/>
      <c r="BM76" s="280" cm="1">
        <f t="array" ref="BM76">IF(ISNUMBER(Table9[[#This Row],[Gas Station (20%)]]), _xlfn.IFS(Table9[[#This Row],[Gas Station (20%)]]="", 0, Table9[[#This Row],[Gas Station (20%)]]&gt;100, 0,Table9[[#This Row],[Gas Station (20%)]]&lt;=50,4, TRUE, 2), 0)</f>
        <v>0</v>
      </c>
      <c r="BN76" s="280">
        <f>Table9[[#This Row],[Gas Station Score]]*'Detailed Rubric V3'!$F$53</f>
        <v>0</v>
      </c>
      <c r="BO76" s="280"/>
      <c r="BP76" s="280" cm="1">
        <f t="array" ref="BP76">IF(ISNUMBER(Table9[[#This Row],[Source of Surface Water (40%)]]), _xlfn.IFS(Table9[[#This Row],[Source of Surface Water (40%)]]="", 0, Table9[[#This Row],[Source of Surface Water (40%)]]&gt;50, 0,Table9[[#This Row],[Source of Surface Water (40%)]]&lt;=20,4, TRUE, 2), 0)</f>
        <v>0</v>
      </c>
      <c r="BQ76" s="280">
        <f>Table9[[#This Row],[Source of Surface Water Score]]*'Detailed Rubric V3'!$I$53</f>
        <v>0</v>
      </c>
      <c r="BR76" s="280">
        <f>SUM(Table9[[#This Row],[Power Station Weighted Score]],Table9[[#This Row],[Gas Station Weighted Score]],Table9[[#This Row],[Source of Surface Water Weighted Score]])*'Detailed Rubric V3'!$C$51</f>
        <v>0</v>
      </c>
      <c r="BS76" s="280"/>
      <c r="BT76" s="280" cm="1">
        <f t="array" ref="BT76">_xlfn.IFS(Table9[[#This Row],[Other BEZA EZ (20%)]]="", 0, Table9[[#This Row],[Other BEZA EZ (20%)]]="Yes", 4, TRUE, 0)</f>
        <v>0</v>
      </c>
      <c r="BU76" s="280">
        <f>Table9[[#This Row],[Other BEZA EZ Score]]*'Detailed Rubric V3'!$C$66</f>
        <v>0</v>
      </c>
      <c r="BV76" s="280"/>
      <c r="BW76" s="280" cm="1">
        <f t="array" ref="BW76">_xlfn.IFS(Table9[[#This Row],[BEPZA/ BHPTA/ BSCIC (20%)]]="", 0, Table9[[#This Row],[BEPZA/ BHPTA/ BSCIC (20%)]]="Yes", 4, TRUE, 0)</f>
        <v>0</v>
      </c>
      <c r="BX76" s="280">
        <f>Table9[[#This Row],[BEPZA/ BHPTA/ BSCIC Score]]*'Detailed Rubric V3'!$F$66</f>
        <v>0</v>
      </c>
      <c r="BY76" s="280"/>
      <c r="BZ76" s="280" cm="1">
        <f t="array" ref="BZ76">_xlfn.IFS(Table9[[#This Row],[Cluster Industries (from SMI) (20%)]]="", 0, Table9[[#This Row],[Cluster Industries (from SMI) (20%)]]&gt;100, 4, Table9[[#This Row],[Cluster Industries (from SMI) (20%)]]&lt;50, 0, TRUE, 2)</f>
        <v>0</v>
      </c>
      <c r="CA76" s="280">
        <f>Table9[[#This Row],[Cluster Industries (from SMI) Score]]*'Detailed Rubric V3'!$I$66</f>
        <v>0</v>
      </c>
      <c r="CB76" s="280"/>
      <c r="CC76" s="280" cm="1">
        <f t="array" ref="CC76">_xlfn.IFS(Table9[[#This Row],[Located on Industrial corridor (40%)]]="", 0, Table9[[#This Row],[Located on Industrial corridor (40%)]]="Yes", 4, TRUE, 0)</f>
        <v>0</v>
      </c>
      <c r="CD76" s="280">
        <f>Table9[[#This Row],[Located on Industrial corridor Score]]*'Detailed Rubric V3'!$L$66</f>
        <v>0</v>
      </c>
      <c r="CE76" s="280">
        <f>SUM(Table9[[#This Row],[Other BEZA EZ Weighted Score]],Table9[[#This Row],[BEPZA/ BHPTA/ BSCIC Weighted Score]],Table9[[#This Row],[Unorganized (from SMI) Weighted Score]],Table9[[#This Row],[Located on Industrial corridor Weighted Score]])*'Detailed Rubric V3'!$C$64</f>
        <v>0</v>
      </c>
      <c r="CF76" s="280"/>
      <c r="CG76" s="280" cm="1">
        <f t="array" ref="CG76">_xlfn.IFS(Table9[[#This Row],[Economic/ Social priority (laggered area) (100%)]]="", 0, Table9[[#This Row],[Economic/ Social priority (laggered area) (100%)]]="Yes", 4, TRUE, 0)</f>
        <v>0</v>
      </c>
      <c r="CH76" s="280">
        <f>Table9[[#This Row],[Economic/ Social priority (laggered area) Score]]*'Detailed Rubric V3'!$C$82</f>
        <v>0</v>
      </c>
      <c r="CI76" s="280"/>
      <c r="CJ76" s="280" cm="1">
        <f t="array" ref="CJ76">_xlfn.IFS(Table9[[#This Row],[Regional Tax incentive  (0%)]]="", 0, Table9[[#This Row],[Regional Tax incentive  (0%)]]="Yes", 4, TRUE, 0)</f>
        <v>0</v>
      </c>
      <c r="CK76" s="280">
        <f>Table9[[#This Row],[Regional Tax incentive Score]]*'Detailed Rubric V3'!$F$82</f>
        <v>0</v>
      </c>
      <c r="CL76" s="280">
        <f>SUM(Table9[[#This Row],[Economic/ Social priority (laagered area) Weighted Score]],Table9[[#This Row],[Regional Tax incentive  Weighted Score]])*'Detailed Rubric V3'!$C$80</f>
        <v>0</v>
      </c>
      <c r="CM76" s="280"/>
      <c r="CN76" s="280" cm="1">
        <f t="array" ref="CN76">_xlfn.IFS(Table9[[#This Row],[Employable population (40%) 2013]]="", 0, Table9[[#This Row],[Employable population (40%) 2013]]&gt;200000, 4, Table9[[#This Row],[Employable population (40%) 2013]]&lt;100000,0, TRUE, 2)</f>
        <v>0</v>
      </c>
      <c r="CO76" s="280">
        <f>Table9[[#This Row],[Employable population Score]]*'Detailed Rubric V3'!$C$92</f>
        <v>0</v>
      </c>
      <c r="CP76" s="280"/>
      <c r="CQ76" s="280" cm="1">
        <f t="array" ref="CQ76">_xlfn.IFS(Table9[[#This Row],[Housing (20%)]]="", 0, Table9[[#This Row],[Housing (20%)]]&gt;50, 0, Table9[[#This Row],[Housing (20%)]]&lt;25, 4, TRUE, 2)</f>
        <v>0</v>
      </c>
      <c r="CR76" s="280">
        <f>Table9[[#This Row],[Housing Score]]*'Detailed Rubric V3'!$F$92</f>
        <v>0</v>
      </c>
      <c r="CS76" s="280"/>
      <c r="CT76" s="280" cm="1">
        <f t="array" ref="CT76">_xlfn.IFS(Table9[[#This Row],[Hotels (10%)]]="", 0, Table9[[#This Row],[Hotels (10%)]]&gt;25, 4, Table9[[#This Row],[Hotels (10%)]]&lt;5, 0, TRUE, 2)</f>
        <v>0</v>
      </c>
      <c r="CU76" s="280">
        <f>Table9[[#This Row],[Hotels Score]]*'Detailed Rubric V3'!$I$92</f>
        <v>0</v>
      </c>
      <c r="CV76" s="280"/>
      <c r="CW76" s="280" cm="1">
        <f t="array" ref="CW76">_xlfn.IFS(Table9[[#This Row],[Health (Hospital) (15%)]]="", 0, Table9[[#This Row],[Health (Hospital) (15%)]]&gt;10, 4, Table9[[#This Row],[Health (Hospital) (15%)]]&lt;5, 0, TRUE, 2)</f>
        <v>0</v>
      </c>
      <c r="CX76" s="280">
        <f>Table9[[#This Row],[Health (Hospital) Score]]*'Detailed Rubric V3'!$L$92</f>
        <v>0</v>
      </c>
      <c r="CY76" s="280"/>
      <c r="CZ76" s="280" cm="1">
        <f t="array" ref="CZ76">_xlfn.IFS(Table9[[#This Row],[University/ Technical &amp; Vocational Institutions (15%)]]="", 0, Table9[[#This Row],[University/ Technical &amp; Vocational Institutions (15%)]]&gt;3, 4, Table9[[#This Row],[University/ Technical &amp; Vocational Institutions (15%)]]&lt;1, 0, TRUE, 2)</f>
        <v>0</v>
      </c>
      <c r="DA76" s="280">
        <f>Table9[[#This Row],[University/ Technical &amp; Vocational Institutions Score]]*'Detailed Rubric V3'!$O$92</f>
        <v>0</v>
      </c>
      <c r="DB76"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76" s="280"/>
      <c r="DD76" s="280" cm="1">
        <f t="array" ref="DD76">_xlfn.IFS(Table9[[#This Row],[Environment compliance (30%)]]="", 0, Table9[[#This Row],[Environment compliance (30%)]]="Yes", 4, TRUE, 0)</f>
        <v>0</v>
      </c>
      <c r="DE76" s="280">
        <f>Table9[[#This Row],[Environment compliance Score]]*'Detailed Rubric V3'!$C$104</f>
        <v>0</v>
      </c>
      <c r="DF76" s="280" t="s">
        <v>419</v>
      </c>
      <c r="DG76" s="280" cm="1">
        <f t="array" ref="DG76">_xlfn.IFS(Table9[[#This Row],[Flood Risk Index (30%)]]="", 0, Table9[[#This Row],[Flood Risk Index (30%)]]="Very Low", 4, Table9[[#This Row],[Flood Risk Index (30%)]]="Moderate &amp; Low", 2, TRUE, 0)</f>
        <v>2</v>
      </c>
      <c r="DH76" s="280">
        <f>Table9[[#This Row],[Flood Risk Index Score]]*'Detailed Rubric V3'!$F$104</f>
        <v>0.6</v>
      </c>
      <c r="DI76" s="280" t="s">
        <v>419</v>
      </c>
      <c r="DJ76" s="280" cm="1">
        <f t="array" ref="DJ76">_xlfn.IFS(Table9[[#This Row],[Earth Quake Risk Index (10%)]]="", 0, Table9[[#This Row],[Earth Quake Risk Index (10%)]]="Very Low", 4, Table9[[#This Row],[Earth Quake Risk Index (10%)]]="Moderate &amp; Low", 2, TRUE, 0)</f>
        <v>2</v>
      </c>
      <c r="DK76" s="280">
        <f>Table9[[#This Row],[Earth Quake Risk Index Score]]*'Detailed Rubric V3'!$I$104</f>
        <v>0.2</v>
      </c>
      <c r="DL76" s="280" t="s">
        <v>428</v>
      </c>
      <c r="DM76" s="280" cm="1">
        <f t="array" ref="DM76">_xlfn.IFS(Table9[[#This Row],[Sea Level Rise Risk Index (10%)]]="", 0, Table9[[#This Row],[Sea Level Rise Risk Index (10%)]]="Very Low", 4, Table9[[#This Row],[Sea Level Rise Risk Index (10%)]]="Moderate &amp; Low", 2, TRUE, 0)</f>
        <v>4</v>
      </c>
      <c r="DN76" s="280">
        <f>Table9[[#This Row],[Sea Level Rise  Risk Index Score]]*'Detailed Rubric V3'!$L$104</f>
        <v>0.4</v>
      </c>
      <c r="DO76" s="280" t="s">
        <v>428</v>
      </c>
      <c r="DP76" s="280" cm="1">
        <f t="array" ref="DP76">_xlfn.IFS(Table9[[#This Row],[Cyclone Risk Index (10%)]]="", 0, Table9[[#This Row],[Cyclone Risk Index (10%)]]="Very Low", 4, Table9[[#This Row],[Cyclone Risk Index (10%)]]="Moderate &amp; Low", 2, TRUE, 0)</f>
        <v>4</v>
      </c>
      <c r="DQ76" s="280">
        <f>Table9[[#This Row],[Cyclone Risk Index Score]]*'Detailed Rubric V3'!$O$104</f>
        <v>0.4</v>
      </c>
      <c r="DR76" s="280" t="s">
        <v>428</v>
      </c>
      <c r="DS76" s="280" cm="1">
        <f t="array" ref="DS76">_xlfn.IFS(Table9[[#This Row],[Storm Surge Risk Index (10%)]]="", 0, Table9[[#This Row],[Storm Surge Risk Index (10%)]]="Very Low", 4, Table9[[#This Row],[Storm Surge Risk Index (10%)]]="Moderate &amp; Low", 2, TRUE, 0)</f>
        <v>4</v>
      </c>
      <c r="DT76" s="280">
        <f>Table9[[#This Row],[Storm Surge Risk Index Score]]*'Detailed Rubric V3'!$R$104</f>
        <v>0.4</v>
      </c>
      <c r="DU76"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0.12</v>
      </c>
      <c r="DV76" s="309">
        <f>SUM(Table9[[#This Row],[2.1. Connectivity/ Logistics (10% weightage)]],Table9[[#This Row],[2.2. Utility (12% weightage)]],Table9[[#This Row],[2.3. Agglomeration effects (10% weightage)]],Table9[[#This Row],[2.4. Regional Policy (4% weightage)]],Table9[[#This Row],[2.5. Social (8% weightage)]],Table9[[#This Row],[2.6. Environment (6% weightage)]])</f>
        <v>0.12</v>
      </c>
      <c r="DW76" s="280">
        <f>_xlfn.RANK.EQ(Table9[[#This Row],[Level 2 Score]],$DV$3:$DV$103)</f>
        <v>61</v>
      </c>
      <c r="DX76" s="302">
        <f>Table9[[#This Row],[Level 1 Score]]+Table9[[#This Row],[Level 2 Score]]</f>
        <v>0.38</v>
      </c>
      <c r="DY76" s="294">
        <f>_xlfn.RANK.EQ(Table9[[#This Row],[Total Score]],$DX$3:$DX$103)</f>
        <v>74</v>
      </c>
      <c r="DZ76" s="237" t="str">
        <f>IF(Table9[[#This Row],[Count of Blanks]]&lt;=2, "Yes", "No")</f>
        <v>No</v>
      </c>
      <c r="EA76" s="237">
        <f>COUNTBLANK(Table9[[#This Row],[Name]:[Total Score Rank]])</f>
        <v>23</v>
      </c>
      <c r="EB76" s="237"/>
    </row>
    <row r="77" spans="2:132" x14ac:dyDescent="0.25">
      <c r="B77" s="220">
        <v>15</v>
      </c>
      <c r="C77" s="221" t="s">
        <v>210</v>
      </c>
      <c r="D77" s="220" t="s">
        <v>76</v>
      </c>
      <c r="E77" s="220" t="s">
        <v>211</v>
      </c>
      <c r="F77" s="220" t="s">
        <v>212</v>
      </c>
      <c r="G77" s="220" t="s">
        <v>70</v>
      </c>
      <c r="H77" s="525" t="s">
        <v>430</v>
      </c>
      <c r="I77" s="70" t="s">
        <v>445</v>
      </c>
      <c r="J77" s="227" t="s">
        <v>444</v>
      </c>
      <c r="K77" s="220">
        <f>IFERROR(VLOOKUP(Table9[[#This Row],[Land Availability (Grade)​
(50%)]],'Detailed Rubric V3'!$B$8:$C$11,2), 0)</f>
        <v>0</v>
      </c>
      <c r="L77" s="220">
        <f>IFERROR(Table9[[#This Row],[Land Availability (Grade)​ Score]]*'Detailed Rubric V3'!$C$6, "")</f>
        <v>0</v>
      </c>
      <c r="M77" s="222">
        <v>888.28</v>
      </c>
      <c r="N77" s="222" cm="1">
        <f t="array" ref="N77">_xlfn.IFS(Table9[[#This Row],[Land Size (Acres)
(15%)]]&lt;100,0,Table9[[#This Row],[Land Size (Acres)
(15%)]]&gt;500,4,TRUE,2)</f>
        <v>4</v>
      </c>
      <c r="O77" s="222">
        <f>Table9[[#This Row],[Land Size (Acres) Score]]*'Detailed Rubric V3'!$G$6</f>
        <v>0.6</v>
      </c>
      <c r="P77" s="526"/>
      <c r="Q77" s="526">
        <f>IFERROR(Table9[[#This Row],[Site Filling Cost (Mn BDT)]]/Table9[[#This Row],[Land Size (Acres)
(15%)]],"")</f>
        <v>0</v>
      </c>
      <c r="R77" s="526" cm="1">
        <f t="array" ref="R77">IF(Table9[[#This Row],[Name]]="Sitakundo Economic Zone", 4, _xlfn.IFS(Table9[[#This Row],[Site Filling Cost (Mn BDT)]]="",0,Table9[[#This Row],[Land Suitability
(Cost of Land Filling in Million BDT per acre)
(25%)]]&gt;5,0,Table9[[#This Row],[Land Suitability
(Cost of Land Filling in Million BDT per acre)
(25%)]]&lt;2,4,TRUE,2))</f>
        <v>0</v>
      </c>
      <c r="S77" s="526">
        <f>Table9[[#This Row],[Land Suitability for Construction Score]]*'Detailed Rubric V3'!$J$6</f>
        <v>0</v>
      </c>
      <c r="T77" s="526"/>
      <c r="U77" s="526">
        <f>IFERROR(Table9[[#This Row],[Embankment/Dyke Cost (Mn BDT)]]/Table9[[#This Row],[Land Size (Acres)
(15%)]], 0)</f>
        <v>0</v>
      </c>
      <c r="V77" s="526" cm="1">
        <f t="array" ref="V77">IF(Table9[[#This Row],[Name]]="Sitakundo Economic Zone", 2, _xlfn.IFS(Table9[[#This Row],[Embankment/Dyke Cost (Mn BDT)]]="",0,Table9[[#This Row],[Cost of DRRI Infrastructure in million BDT per acre
(10%)]]&gt;5,0,Table9[[#This Row],[Cost of DRRI Infrastructure in million BDT per acre
(10%)]]&lt;2,4,TRUE,2))</f>
        <v>0</v>
      </c>
      <c r="W77" s="526">
        <f>Table9[[#This Row],[Requirement for Distaster Risk Reduction &amp; Resilience Infrastructure Score]]*'Detailed Rubric V3'!$M$6</f>
        <v>0</v>
      </c>
      <c r="X77"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77" s="452" t="s">
        <v>436</v>
      </c>
      <c r="Z77" s="210">
        <f>IFERROR(VLOOKUP(Table9[[#This Row],[Zone Priority
(40%)]],'Detailed Rubric V3'!$B$18:$C$21, 2,FALSE), 0)</f>
        <v>0</v>
      </c>
      <c r="AA77" s="210">
        <f>IFERROR(Table9[[#This Row],[Zone Priority Score]]*'Detailed Rubric V3'!$C$16, 0)</f>
        <v>0</v>
      </c>
      <c r="AB77" s="237" t="s">
        <v>441</v>
      </c>
      <c r="AC77" s="237">
        <f>VLOOKUP(Table9[[#This Row],[Existing BEZA Report
(60%)]],'Detailed Rubric V3'!$E$18:$F$20,2,FALSE)</f>
        <v>0</v>
      </c>
      <c r="AD77" s="237">
        <f>Table9[[#This Row],[Existing BEZA Report Score]]*'Detailed Rubric V3'!F$16</f>
        <v>0</v>
      </c>
      <c r="AE77" s="237">
        <f>(Table9[[#This Row],[Zone Priority Weighted Score]]+Table9[[#This Row],[Existing BEZA Report Weighted Score]])*'Detailed Rubric V3'!$C$14</f>
        <v>0</v>
      </c>
      <c r="AF77" s="528">
        <v>0</v>
      </c>
      <c r="AG77" s="529" cm="1">
        <f t="array" ref="AG77">_xlfn.IFS(Table9[[#This Row],[Existing Sectors
(50%)]]&gt;10, 4,Table9[[#This Row],[Existing Sectors
(50%)]]&lt;5, 0, TRUE, 2)</f>
        <v>0</v>
      </c>
      <c r="AH77" s="529">
        <f>Table9[[#This Row],[Existing Sectors Score]]*'Detailed Rubric V3'!$C$25</f>
        <v>0</v>
      </c>
      <c r="AI77" s="529">
        <v>2</v>
      </c>
      <c r="AJ77" s="529">
        <v>2</v>
      </c>
      <c r="AK77" s="529" cm="1">
        <f t="array" ref="AK77">_xlfn.IFS(Table9[[#This Row],[Potential New Sectors
(50%)]]&gt;5, 4, Table9[[#This Row],[Potential New Sectors
(50%)]]&lt;2,0, TRUE, 2)</f>
        <v>2</v>
      </c>
      <c r="AL77" s="529">
        <f>Table9[[#This Row],[Potential New Sectors Score]]*'Detailed Rubric V3'!$F$25</f>
        <v>1</v>
      </c>
      <c r="AM77" s="232">
        <f>(Table9[[#This Row],[Existing Sectors Weighted Score]]+Table9[[#This Row],[Potential New Sectors Weighted Score]])*'Detailed Rubric V3'!$C$23</f>
        <v>0.15</v>
      </c>
      <c r="AN77" s="530">
        <f>SUM(Table9[[#This Row],[1.1. Land Details (20% weightage)]],Table9[[#This Row],[1.2. BEZA Existing plans (15% weightage)]],Table9[[#This Row],[1.3. Sector Demand (15% weightage):]])</f>
        <v>0.27</v>
      </c>
      <c r="AO77" s="531">
        <f>_xlfn.RANK.EQ(Table9[[#This Row],[Level 1 Score]],$AN$3:$AN$103)</f>
        <v>72</v>
      </c>
      <c r="AP77" s="280"/>
      <c r="AQ77" s="280" cm="1">
        <f t="array" ref="AQ77">_xlfn.IFS(Table9[[#This Row],[National Highway Connectivity (km)
(15%)]]="", 0, Table9[[#This Row],[National Highway Connectivity (km)
(15%)]]&gt;50, 0, Table9[[#This Row],[National Highway Connectivity (km)
(15%)]]&lt;=25, 4, TRUE, 2)</f>
        <v>0</v>
      </c>
      <c r="AR77" s="280">
        <f>Table9[[#This Row],[National Highway Connectivity Score]]*'Detailed Rubric V3'!$C$35</f>
        <v>0</v>
      </c>
      <c r="AS77" s="280"/>
      <c r="AT77" s="280" cm="1">
        <f t="array" ref="AT77">_xlfn.IFS(Table9[[#This Row],[Connecting Road to Highway (km)
(15%)]]="", 0, Table9[[#This Row],[Connecting Road to Highway (km)
(15%)]]="Yes", 4, TRUE, 0)</f>
        <v>0</v>
      </c>
      <c r="AU77" s="280">
        <f>Table9[[#This Row],[Connecting Road to Highway Score]]*'Detailed Rubric V3'!$F$35</f>
        <v>0</v>
      </c>
      <c r="AV77" s="280"/>
      <c r="AW77" s="280" cm="1">
        <f t="array" ref="AW77">_xlfn.IFS(Table9[[#This Row],[Seaport Connectivity (km)
(30%)]]="",0, Table9[[#This Row],[Seaport Connectivity (km)
(30%)]]&gt;400, 0,Table9[[#This Row],[Seaport Connectivity (km)
(30%)]]&lt;=200,4, TRUE, 2)</f>
        <v>0</v>
      </c>
      <c r="AX77" s="280">
        <f>Table9[[#This Row],[Seaport Connectivity Score]]*'Detailed Rubric V3'!$I$35</f>
        <v>0</v>
      </c>
      <c r="AY77" s="280"/>
      <c r="AZ77" s="280" cm="1">
        <f t="array" ref="AZ77">_xlfn.IFS(Table9[[#This Row],[Airport Connectivity (km)
(10%)]]="", 0, Table9[[#This Row],[Airport Connectivity (km)
(10%)]]&gt;200, 0, Table9[[#This Row],[Airport Connectivity (km)
(10%)]]&lt;=100,4,TRUE, 2)</f>
        <v>0</v>
      </c>
      <c r="BA77" s="280">
        <f>Table9[[#This Row],[Airport Connectivity Score]]*'Detailed Rubric V3'!$C$41</f>
        <v>0</v>
      </c>
      <c r="BB77" s="280"/>
      <c r="BC77" s="280" cm="1">
        <f t="array" ref="BC77">_xlfn.IFS(Table9[[#This Row],[Railway Station (km)
(10%)]]="", 0, Table9[[#This Row],[Railway Station (km)
(10%)]]&gt;150, 0,Table9[[#This Row],[Railway Station (km)
(10%)]]&lt;=50,4, TRUE, 2)</f>
        <v>0</v>
      </c>
      <c r="BD77" s="280">
        <f>Table9[[#This Row],[Railway Station Score]]*'Detailed Rubric V3'!$F$41</f>
        <v>0</v>
      </c>
      <c r="BE77" s="280"/>
      <c r="BF77" s="280" cm="1">
        <f t="array" ref="BF77">_xlfn.IFS(Table9[[#This Row],[Inland waterway/ Land port (km)
(20%)]]="", 0, Table9[[#This Row],[Inland waterway/ Land port (km)
(20%)]]&gt;200, 0,Table9[[#This Row],[Inland waterway/ Land port (km)
(20%)]]&lt;=50,4, TRUE, 2)</f>
        <v>0</v>
      </c>
      <c r="BG77" s="280">
        <f>Table9[[#This Row],[Inland waterway/ Land port Score]]*'Detailed Rubric V3'!$I$41</f>
        <v>0</v>
      </c>
      <c r="BH77"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77" s="280"/>
      <c r="BJ77" s="280" cm="1">
        <f t="array" ref="BJ77">_xlfn.IFS(Table9[[#This Row],[Power Station (40%)]]="",0, Table9[[#This Row],[Power Station (40%)]]&gt;100, 0,Table9[[#This Row],[Power Station (40%)]]&lt;=50,4, TRUE, 2)</f>
        <v>0</v>
      </c>
      <c r="BK77" s="280">
        <f>Table9[[#This Row],[Power Station Score]]*'Detailed Rubric V3'!$C$53</f>
        <v>0</v>
      </c>
      <c r="BL77" s="280"/>
      <c r="BM77" s="280" cm="1">
        <f t="array" ref="BM77">IF(ISNUMBER(Table9[[#This Row],[Gas Station (20%)]]), _xlfn.IFS(Table9[[#This Row],[Gas Station (20%)]]="", 0, Table9[[#This Row],[Gas Station (20%)]]&gt;100, 0,Table9[[#This Row],[Gas Station (20%)]]&lt;=50,4, TRUE, 2), 0)</f>
        <v>0</v>
      </c>
      <c r="BN77" s="280">
        <f>Table9[[#This Row],[Gas Station Score]]*'Detailed Rubric V3'!$F$53</f>
        <v>0</v>
      </c>
      <c r="BO77" s="280"/>
      <c r="BP77" s="280" cm="1">
        <f t="array" ref="BP77">IF(ISNUMBER(Table9[[#This Row],[Source of Surface Water (40%)]]), _xlfn.IFS(Table9[[#This Row],[Source of Surface Water (40%)]]="", 0, Table9[[#This Row],[Source of Surface Water (40%)]]&gt;50, 0,Table9[[#This Row],[Source of Surface Water (40%)]]&lt;=20,4, TRUE, 2), 0)</f>
        <v>0</v>
      </c>
      <c r="BQ77" s="280">
        <f>Table9[[#This Row],[Source of Surface Water Score]]*'Detailed Rubric V3'!$I$53</f>
        <v>0</v>
      </c>
      <c r="BR77" s="280">
        <f>SUM(Table9[[#This Row],[Power Station Weighted Score]],Table9[[#This Row],[Gas Station Weighted Score]],Table9[[#This Row],[Source of Surface Water Weighted Score]])*'Detailed Rubric V3'!$C$51</f>
        <v>0</v>
      </c>
      <c r="BS77" s="280"/>
      <c r="BT77" s="280" cm="1">
        <f t="array" ref="BT77">_xlfn.IFS(Table9[[#This Row],[Other BEZA EZ (20%)]]="", 0, Table9[[#This Row],[Other BEZA EZ (20%)]]="Yes", 4, TRUE, 0)</f>
        <v>0</v>
      </c>
      <c r="BU77" s="280">
        <f>Table9[[#This Row],[Other BEZA EZ Score]]*'Detailed Rubric V3'!$C$66</f>
        <v>0</v>
      </c>
      <c r="BV77" s="280"/>
      <c r="BW77" s="280" cm="1">
        <f t="array" ref="BW77">_xlfn.IFS(Table9[[#This Row],[BEPZA/ BHPTA/ BSCIC (20%)]]="", 0, Table9[[#This Row],[BEPZA/ BHPTA/ BSCIC (20%)]]="Yes", 4, TRUE, 0)</f>
        <v>0</v>
      </c>
      <c r="BX77" s="280">
        <f>Table9[[#This Row],[BEPZA/ BHPTA/ BSCIC Score]]*'Detailed Rubric V3'!$F$66</f>
        <v>0</v>
      </c>
      <c r="BY77" s="280"/>
      <c r="BZ77" s="280" cm="1">
        <f t="array" ref="BZ77">_xlfn.IFS(Table9[[#This Row],[Cluster Industries (from SMI) (20%)]]="", 0, Table9[[#This Row],[Cluster Industries (from SMI) (20%)]]&gt;100, 4, Table9[[#This Row],[Cluster Industries (from SMI) (20%)]]&lt;50, 0, TRUE, 2)</f>
        <v>0</v>
      </c>
      <c r="CA77" s="280">
        <f>Table9[[#This Row],[Cluster Industries (from SMI) Score]]*'Detailed Rubric V3'!$I$66</f>
        <v>0</v>
      </c>
      <c r="CB77" s="280"/>
      <c r="CC77" s="280" cm="1">
        <f t="array" ref="CC77">_xlfn.IFS(Table9[[#This Row],[Located on Industrial corridor (40%)]]="", 0, Table9[[#This Row],[Located on Industrial corridor (40%)]]="Yes", 4, TRUE, 0)</f>
        <v>0</v>
      </c>
      <c r="CD77" s="280">
        <f>Table9[[#This Row],[Located on Industrial corridor Score]]*'Detailed Rubric V3'!$L$66</f>
        <v>0</v>
      </c>
      <c r="CE77" s="280">
        <f>SUM(Table9[[#This Row],[Other BEZA EZ Weighted Score]],Table9[[#This Row],[BEPZA/ BHPTA/ BSCIC Weighted Score]],Table9[[#This Row],[Unorganized (from SMI) Weighted Score]],Table9[[#This Row],[Located on Industrial corridor Weighted Score]])*'Detailed Rubric V3'!$C$64</f>
        <v>0</v>
      </c>
      <c r="CF77" s="280"/>
      <c r="CG77" s="280" cm="1">
        <f t="array" ref="CG77">_xlfn.IFS(Table9[[#This Row],[Economic/ Social priority (laggered area) (100%)]]="", 0, Table9[[#This Row],[Economic/ Social priority (laggered area) (100%)]]="Yes", 4, TRUE, 0)</f>
        <v>0</v>
      </c>
      <c r="CH77" s="280">
        <f>Table9[[#This Row],[Economic/ Social priority (laggered area) Score]]*'Detailed Rubric V3'!$C$82</f>
        <v>0</v>
      </c>
      <c r="CI77" s="280"/>
      <c r="CJ77" s="280" cm="1">
        <f t="array" ref="CJ77">_xlfn.IFS(Table9[[#This Row],[Regional Tax incentive  (0%)]]="", 0, Table9[[#This Row],[Regional Tax incentive  (0%)]]="Yes", 4, TRUE, 0)</f>
        <v>0</v>
      </c>
      <c r="CK77" s="280">
        <f>Table9[[#This Row],[Regional Tax incentive Score]]*'Detailed Rubric V3'!$F$82</f>
        <v>0</v>
      </c>
      <c r="CL77" s="280">
        <f>SUM(Table9[[#This Row],[Economic/ Social priority (laagered area) Weighted Score]],Table9[[#This Row],[Regional Tax incentive  Weighted Score]])*'Detailed Rubric V3'!$C$80</f>
        <v>0</v>
      </c>
      <c r="CM77" s="280"/>
      <c r="CN77" s="280" cm="1">
        <f t="array" ref="CN77">_xlfn.IFS(Table9[[#This Row],[Employable population (40%) 2013]]="", 0, Table9[[#This Row],[Employable population (40%) 2013]]&gt;200000, 4, Table9[[#This Row],[Employable population (40%) 2013]]&lt;100000,0, TRUE, 2)</f>
        <v>0</v>
      </c>
      <c r="CO77" s="280">
        <f>Table9[[#This Row],[Employable population Score]]*'Detailed Rubric V3'!$C$92</f>
        <v>0</v>
      </c>
      <c r="CP77" s="280"/>
      <c r="CQ77" s="280" cm="1">
        <f t="array" ref="CQ77">_xlfn.IFS(Table9[[#This Row],[Housing (20%)]]="", 0, Table9[[#This Row],[Housing (20%)]]&gt;50, 0, Table9[[#This Row],[Housing (20%)]]&lt;25, 4, TRUE, 2)</f>
        <v>0</v>
      </c>
      <c r="CR77" s="280">
        <f>Table9[[#This Row],[Housing Score]]*'Detailed Rubric V3'!$F$92</f>
        <v>0</v>
      </c>
      <c r="CS77" s="280"/>
      <c r="CT77" s="280" cm="1">
        <f t="array" ref="CT77">_xlfn.IFS(Table9[[#This Row],[Hotels (10%)]]="", 0, Table9[[#This Row],[Hotels (10%)]]&gt;25, 4, Table9[[#This Row],[Hotels (10%)]]&lt;5, 0, TRUE, 2)</f>
        <v>0</v>
      </c>
      <c r="CU77" s="280">
        <f>Table9[[#This Row],[Hotels Score]]*'Detailed Rubric V3'!$I$92</f>
        <v>0</v>
      </c>
      <c r="CV77" s="280"/>
      <c r="CW77" s="280" cm="1">
        <f t="array" ref="CW77">_xlfn.IFS(Table9[[#This Row],[Health (Hospital) (15%)]]="", 0, Table9[[#This Row],[Health (Hospital) (15%)]]&gt;10, 4, Table9[[#This Row],[Health (Hospital) (15%)]]&lt;5, 0, TRUE, 2)</f>
        <v>0</v>
      </c>
      <c r="CX77" s="280">
        <f>Table9[[#This Row],[Health (Hospital) Score]]*'Detailed Rubric V3'!$L$92</f>
        <v>0</v>
      </c>
      <c r="CY77" s="280"/>
      <c r="CZ77" s="280" cm="1">
        <f t="array" ref="CZ77">_xlfn.IFS(Table9[[#This Row],[University/ Technical &amp; Vocational Institutions (15%)]]="", 0, Table9[[#This Row],[University/ Technical &amp; Vocational Institutions (15%)]]&gt;3, 4, Table9[[#This Row],[University/ Technical &amp; Vocational Institutions (15%)]]&lt;1, 0, TRUE, 2)</f>
        <v>0</v>
      </c>
      <c r="DA77" s="280">
        <f>Table9[[#This Row],[University/ Technical &amp; Vocational Institutions Score]]*'Detailed Rubric V3'!$O$92</f>
        <v>0</v>
      </c>
      <c r="DB77"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77" s="280"/>
      <c r="DD77" s="280" cm="1">
        <f t="array" ref="DD77">_xlfn.IFS(Table9[[#This Row],[Environment compliance (30%)]]="", 0, Table9[[#This Row],[Environment compliance (30%)]]="Yes", 4, TRUE, 0)</f>
        <v>0</v>
      </c>
      <c r="DE77" s="280">
        <f>Table9[[#This Row],[Environment compliance Score]]*'Detailed Rubric V3'!$C$104</f>
        <v>0</v>
      </c>
      <c r="DF77" s="280" t="s">
        <v>419</v>
      </c>
      <c r="DG77" s="280" cm="1">
        <f t="array" ref="DG77">_xlfn.IFS(Table9[[#This Row],[Flood Risk Index (30%)]]="", 0, Table9[[#This Row],[Flood Risk Index (30%)]]="Very Low", 4, Table9[[#This Row],[Flood Risk Index (30%)]]="Moderate &amp; Low", 2, TRUE, 0)</f>
        <v>2</v>
      </c>
      <c r="DH77" s="280">
        <f>Table9[[#This Row],[Flood Risk Index Score]]*'Detailed Rubric V3'!$F$104</f>
        <v>0.6</v>
      </c>
      <c r="DI77" s="280" t="s">
        <v>419</v>
      </c>
      <c r="DJ77" s="280" cm="1">
        <f t="array" ref="DJ77">_xlfn.IFS(Table9[[#This Row],[Earth Quake Risk Index (10%)]]="", 0, Table9[[#This Row],[Earth Quake Risk Index (10%)]]="Very Low", 4, Table9[[#This Row],[Earth Quake Risk Index (10%)]]="Moderate &amp; Low", 2, TRUE, 0)</f>
        <v>2</v>
      </c>
      <c r="DK77" s="280">
        <f>Table9[[#This Row],[Earth Quake Risk Index Score]]*'Detailed Rubric V3'!$I$104</f>
        <v>0.2</v>
      </c>
      <c r="DL77" s="280" t="s">
        <v>428</v>
      </c>
      <c r="DM77" s="280" cm="1">
        <f t="array" ref="DM77">_xlfn.IFS(Table9[[#This Row],[Sea Level Rise Risk Index (10%)]]="", 0, Table9[[#This Row],[Sea Level Rise Risk Index (10%)]]="Very Low", 4, Table9[[#This Row],[Sea Level Rise Risk Index (10%)]]="Moderate &amp; Low", 2, TRUE, 0)</f>
        <v>4</v>
      </c>
      <c r="DN77" s="280">
        <f>Table9[[#This Row],[Sea Level Rise  Risk Index Score]]*'Detailed Rubric V3'!$L$104</f>
        <v>0.4</v>
      </c>
      <c r="DO77" s="280" t="s">
        <v>419</v>
      </c>
      <c r="DP77" s="280" cm="1">
        <f t="array" ref="DP77">_xlfn.IFS(Table9[[#This Row],[Cyclone Risk Index (10%)]]="", 0, Table9[[#This Row],[Cyclone Risk Index (10%)]]="Very Low", 4, Table9[[#This Row],[Cyclone Risk Index (10%)]]="Moderate &amp; Low", 2, TRUE, 0)</f>
        <v>2</v>
      </c>
      <c r="DQ77" s="280">
        <f>Table9[[#This Row],[Cyclone Risk Index Score]]*'Detailed Rubric V3'!$O$104</f>
        <v>0.2</v>
      </c>
      <c r="DR77" s="280" t="s">
        <v>428</v>
      </c>
      <c r="DS77" s="280" cm="1">
        <f t="array" ref="DS77">_xlfn.IFS(Table9[[#This Row],[Storm Surge Risk Index (10%)]]="", 0, Table9[[#This Row],[Storm Surge Risk Index (10%)]]="Very Low", 4, Table9[[#This Row],[Storm Surge Risk Index (10%)]]="Moderate &amp; Low", 2, TRUE, 0)</f>
        <v>4</v>
      </c>
      <c r="DT77" s="280">
        <f>Table9[[#This Row],[Storm Surge Risk Index Score]]*'Detailed Rubric V3'!$R$104</f>
        <v>0.4</v>
      </c>
      <c r="DU77"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77" s="309">
        <f>SUM(Table9[[#This Row],[2.1. Connectivity/ Logistics (10% weightage)]],Table9[[#This Row],[2.2. Utility (12% weightage)]],Table9[[#This Row],[2.3. Agglomeration effects (10% weightage)]],Table9[[#This Row],[2.4. Regional Policy (4% weightage)]],Table9[[#This Row],[2.5. Social (8% weightage)]],Table9[[#This Row],[2.6. Environment (6% weightage)]])</f>
        <v>0.10800000000000001</v>
      </c>
      <c r="DW77" s="280">
        <f>_xlfn.RANK.EQ(Table9[[#This Row],[Level 2 Score]],$DV$3:$DV$103)</f>
        <v>64</v>
      </c>
      <c r="DX77" s="302">
        <f>Table9[[#This Row],[Level 1 Score]]+Table9[[#This Row],[Level 2 Score]]</f>
        <v>0.378</v>
      </c>
      <c r="DY77" s="294">
        <f>_xlfn.RANK.EQ(Table9[[#This Row],[Total Score]],$DX$3:$DX$103)</f>
        <v>75</v>
      </c>
      <c r="DZ77" s="237" t="str">
        <f>IF(Table9[[#This Row],[Count of Blanks]]&lt;=2, "Yes", "No")</f>
        <v>No</v>
      </c>
      <c r="EA77" s="237">
        <f>COUNTBLANK(Table9[[#This Row],[Name]:[Total Score Rank]])</f>
        <v>23</v>
      </c>
      <c r="EB77" s="237"/>
    </row>
    <row r="78" spans="2:132" ht="27" x14ac:dyDescent="0.25">
      <c r="B78" s="220">
        <v>70</v>
      </c>
      <c r="C78" s="582" t="s">
        <v>169</v>
      </c>
      <c r="D78" s="220" t="s">
        <v>76</v>
      </c>
      <c r="E78" s="220" t="s">
        <v>170</v>
      </c>
      <c r="F78" s="220" t="s">
        <v>171</v>
      </c>
      <c r="G78" s="220" t="s">
        <v>92</v>
      </c>
      <c r="H78" s="525" t="s">
        <v>410</v>
      </c>
      <c r="I78" s="70" t="s">
        <v>462</v>
      </c>
      <c r="J78" s="227" t="s">
        <v>435</v>
      </c>
      <c r="K78" s="220">
        <f>IFERROR(VLOOKUP(Table9[[#This Row],[Land Availability (Grade)​
(50%)]],'Detailed Rubric V3'!$B$8:$C$11,2), 0)</f>
        <v>2</v>
      </c>
      <c r="L78" s="220">
        <f>IFERROR(Table9[[#This Row],[Land Availability (Grade)​ Score]]*'Detailed Rubric V3'!$C$6, "")</f>
        <v>1</v>
      </c>
      <c r="M78" s="222">
        <v>200</v>
      </c>
      <c r="N78" s="222" cm="1">
        <f t="array" ref="N78">_xlfn.IFS(Table9[[#This Row],[Land Size (Acres)
(15%)]]&lt;100,0,Table9[[#This Row],[Land Size (Acres)
(15%)]]&gt;500,4,TRUE,2)</f>
        <v>2</v>
      </c>
      <c r="O78" s="222">
        <f>Table9[[#This Row],[Land Size (Acres) Score]]*'Detailed Rubric V3'!$G$6</f>
        <v>0.3</v>
      </c>
      <c r="P78" s="526"/>
      <c r="Q78" s="526">
        <f>IFERROR(Table9[[#This Row],[Site Filling Cost (Mn BDT)]]/Table9[[#This Row],[Land Size (Acres)
(15%)]],"")</f>
        <v>0</v>
      </c>
      <c r="R78" s="526" cm="1">
        <f t="array" ref="R78">IF(Table9[[#This Row],[Name]]="Sitakundo Economic Zone", 4, _xlfn.IFS(Table9[[#This Row],[Site Filling Cost (Mn BDT)]]="",0,Table9[[#This Row],[Land Suitability
(Cost of Land Filling in Million BDT per acre)
(25%)]]&gt;5,0,Table9[[#This Row],[Land Suitability
(Cost of Land Filling in Million BDT per acre)
(25%)]]&lt;2,4,TRUE,2))</f>
        <v>0</v>
      </c>
      <c r="S78" s="526">
        <f>Table9[[#This Row],[Land Suitability for Construction Score]]*'Detailed Rubric V3'!$J$6</f>
        <v>0</v>
      </c>
      <c r="T78" s="526"/>
      <c r="U78" s="526">
        <f>IFERROR(Table9[[#This Row],[Embankment/Dyke Cost (Mn BDT)]]/Table9[[#This Row],[Land Size (Acres)
(15%)]], 0)</f>
        <v>0</v>
      </c>
      <c r="V78" s="526" cm="1">
        <f t="array" ref="V78">IF(Table9[[#This Row],[Name]]="Sitakundo Economic Zone", 2, _xlfn.IFS(Table9[[#This Row],[Embankment/Dyke Cost (Mn BDT)]]="",0,Table9[[#This Row],[Cost of DRRI Infrastructure in million BDT per acre
(10%)]]&gt;5,0,Table9[[#This Row],[Cost of DRRI Infrastructure in million BDT per acre
(10%)]]&lt;2,4,TRUE,2))</f>
        <v>0</v>
      </c>
      <c r="W78" s="526">
        <f>Table9[[#This Row],[Requirement for Distaster Risk Reduction &amp; Resilience Infrastructure Score]]*'Detailed Rubric V3'!$M$6</f>
        <v>0</v>
      </c>
      <c r="X78"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0.26</v>
      </c>
      <c r="Y78" s="227" t="s">
        <v>440</v>
      </c>
      <c r="Z78" s="210">
        <f>IFERROR(VLOOKUP(Table9[[#This Row],[Zone Priority
(40%)]],'Detailed Rubric V3'!$B$18:$C$21, 2,FALSE), 0)</f>
        <v>4</v>
      </c>
      <c r="AA78" s="210">
        <f>IFERROR(Table9[[#This Row],[Zone Priority Score]]*'Detailed Rubric V3'!$C$16, 0)</f>
        <v>0</v>
      </c>
      <c r="AB78" s="237" t="s">
        <v>441</v>
      </c>
      <c r="AC78" s="237">
        <f>VLOOKUP(Table9[[#This Row],[Existing BEZA Report
(60%)]],'Detailed Rubric V3'!$E$18:$F$20,2,FALSE)</f>
        <v>0</v>
      </c>
      <c r="AD78" s="237">
        <f>Table9[[#This Row],[Existing BEZA Report Score]]*'Detailed Rubric V3'!F$16</f>
        <v>0</v>
      </c>
      <c r="AE78" s="237">
        <f>(Table9[[#This Row],[Zone Priority Weighted Score]]+Table9[[#This Row],[Existing BEZA Report Weighted Score]])*'Detailed Rubric V3'!$C$14</f>
        <v>0</v>
      </c>
      <c r="AF78" s="528">
        <v>3</v>
      </c>
      <c r="AG78" s="529" cm="1">
        <f t="array" ref="AG78">_xlfn.IFS(Table9[[#This Row],[Existing Sectors
(50%)]]&gt;10, 4,Table9[[#This Row],[Existing Sectors
(50%)]]&lt;5, 0, TRUE, 2)</f>
        <v>0</v>
      </c>
      <c r="AH78" s="529">
        <f>Table9[[#This Row],[Existing Sectors Score]]*'Detailed Rubric V3'!$C$25</f>
        <v>0</v>
      </c>
      <c r="AI78" s="529">
        <v>3</v>
      </c>
      <c r="AJ78" s="529">
        <v>0</v>
      </c>
      <c r="AK78" s="529" cm="1">
        <f t="array" ref="AK78">_xlfn.IFS(Table9[[#This Row],[Potential New Sectors
(50%)]]&gt;5, 4, Table9[[#This Row],[Potential New Sectors
(50%)]]&lt;2,0, TRUE, 2)</f>
        <v>0</v>
      </c>
      <c r="AL78" s="529">
        <f>Table9[[#This Row],[Potential New Sectors Score]]*'Detailed Rubric V3'!$F$25</f>
        <v>0</v>
      </c>
      <c r="AM78" s="232">
        <f>(Table9[[#This Row],[Existing Sectors Weighted Score]]+Table9[[#This Row],[Potential New Sectors Weighted Score]])*'Detailed Rubric V3'!$C$23</f>
        <v>0</v>
      </c>
      <c r="AN78" s="530">
        <f>SUM(Table9[[#This Row],[1.1. Land Details (20% weightage)]],Table9[[#This Row],[1.2. BEZA Existing plans (15% weightage)]],Table9[[#This Row],[1.3. Sector Demand (15% weightage):]])</f>
        <v>0.26</v>
      </c>
      <c r="AO78" s="531">
        <f>_xlfn.RANK.EQ(Table9[[#This Row],[Level 1 Score]],$AN$3:$AN$103)</f>
        <v>77</v>
      </c>
      <c r="AP78" s="280"/>
      <c r="AQ78" s="280" cm="1">
        <f t="array" ref="AQ78">_xlfn.IFS(Table9[[#This Row],[National Highway Connectivity (km)
(15%)]]="", 0, Table9[[#This Row],[National Highway Connectivity (km)
(15%)]]&gt;50, 0, Table9[[#This Row],[National Highway Connectivity (km)
(15%)]]&lt;=25, 4, TRUE, 2)</f>
        <v>0</v>
      </c>
      <c r="AR78" s="280">
        <f>Table9[[#This Row],[National Highway Connectivity Score]]*'Detailed Rubric V3'!$C$35</f>
        <v>0</v>
      </c>
      <c r="AS78" s="280"/>
      <c r="AT78" s="280" cm="1">
        <f t="array" ref="AT78">_xlfn.IFS(Table9[[#This Row],[Connecting Road to Highway (km)
(15%)]]="", 0, Table9[[#This Row],[Connecting Road to Highway (km)
(15%)]]="Yes", 4, TRUE, 0)</f>
        <v>0</v>
      </c>
      <c r="AU78" s="280">
        <f>Table9[[#This Row],[Connecting Road to Highway Score]]*'Detailed Rubric V3'!$F$35</f>
        <v>0</v>
      </c>
      <c r="AV78" s="280"/>
      <c r="AW78" s="280" cm="1">
        <f t="array" ref="AW78">_xlfn.IFS(Table9[[#This Row],[Seaport Connectivity (km)
(30%)]]="",0, Table9[[#This Row],[Seaport Connectivity (km)
(30%)]]&gt;400, 0,Table9[[#This Row],[Seaport Connectivity (km)
(30%)]]&lt;=200,4, TRUE, 2)</f>
        <v>0</v>
      </c>
      <c r="AX78" s="280">
        <f>Table9[[#This Row],[Seaport Connectivity Score]]*'Detailed Rubric V3'!$I$35</f>
        <v>0</v>
      </c>
      <c r="AY78" s="280"/>
      <c r="AZ78" s="280" cm="1">
        <f t="array" ref="AZ78">_xlfn.IFS(Table9[[#This Row],[Airport Connectivity (km)
(10%)]]="", 0, Table9[[#This Row],[Airport Connectivity (km)
(10%)]]&gt;200, 0, Table9[[#This Row],[Airport Connectivity (km)
(10%)]]&lt;=100,4,TRUE, 2)</f>
        <v>0</v>
      </c>
      <c r="BA78" s="280">
        <f>Table9[[#This Row],[Airport Connectivity Score]]*'Detailed Rubric V3'!$C$41</f>
        <v>0</v>
      </c>
      <c r="BB78" s="280"/>
      <c r="BC78" s="280" cm="1">
        <f t="array" ref="BC78">_xlfn.IFS(Table9[[#This Row],[Railway Station (km)
(10%)]]="", 0, Table9[[#This Row],[Railway Station (km)
(10%)]]&gt;150, 0,Table9[[#This Row],[Railway Station (km)
(10%)]]&lt;=50,4, TRUE, 2)</f>
        <v>0</v>
      </c>
      <c r="BD78" s="280">
        <f>Table9[[#This Row],[Railway Station Score]]*'Detailed Rubric V3'!$F$41</f>
        <v>0</v>
      </c>
      <c r="BE78" s="280"/>
      <c r="BF78" s="280" cm="1">
        <f t="array" ref="BF78">_xlfn.IFS(Table9[[#This Row],[Inland waterway/ Land port (km)
(20%)]]="", 0, Table9[[#This Row],[Inland waterway/ Land port (km)
(20%)]]&gt;200, 0,Table9[[#This Row],[Inland waterway/ Land port (km)
(20%)]]&lt;=50,4, TRUE, 2)</f>
        <v>0</v>
      </c>
      <c r="BG78" s="280">
        <f>Table9[[#This Row],[Inland waterway/ Land port Score]]*'Detailed Rubric V3'!$I$41</f>
        <v>0</v>
      </c>
      <c r="BH78"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78" s="280"/>
      <c r="BJ78" s="280" cm="1">
        <f t="array" ref="BJ78">_xlfn.IFS(Table9[[#This Row],[Power Station (40%)]]="",0, Table9[[#This Row],[Power Station (40%)]]&gt;100, 0,Table9[[#This Row],[Power Station (40%)]]&lt;=50,4, TRUE, 2)</f>
        <v>0</v>
      </c>
      <c r="BK78" s="280">
        <f>Table9[[#This Row],[Power Station Score]]*'Detailed Rubric V3'!$C$53</f>
        <v>0</v>
      </c>
      <c r="BL78" s="280"/>
      <c r="BM78" s="280" cm="1">
        <f t="array" ref="BM78">IF(ISNUMBER(Table9[[#This Row],[Gas Station (20%)]]), _xlfn.IFS(Table9[[#This Row],[Gas Station (20%)]]="", 0, Table9[[#This Row],[Gas Station (20%)]]&gt;100, 0,Table9[[#This Row],[Gas Station (20%)]]&lt;=50,4, TRUE, 2), 0)</f>
        <v>0</v>
      </c>
      <c r="BN78" s="280">
        <f>Table9[[#This Row],[Gas Station Score]]*'Detailed Rubric V3'!$F$53</f>
        <v>0</v>
      </c>
      <c r="BO78" s="280"/>
      <c r="BP78" s="280" cm="1">
        <f t="array" ref="BP78">IF(ISNUMBER(Table9[[#This Row],[Source of Surface Water (40%)]]), _xlfn.IFS(Table9[[#This Row],[Source of Surface Water (40%)]]="", 0, Table9[[#This Row],[Source of Surface Water (40%)]]&gt;50, 0,Table9[[#This Row],[Source of Surface Water (40%)]]&lt;=20,4, TRUE, 2), 0)</f>
        <v>0</v>
      </c>
      <c r="BQ78" s="280">
        <f>Table9[[#This Row],[Source of Surface Water Score]]*'Detailed Rubric V3'!$I$53</f>
        <v>0</v>
      </c>
      <c r="BR78" s="280">
        <f>SUM(Table9[[#This Row],[Power Station Weighted Score]],Table9[[#This Row],[Gas Station Weighted Score]],Table9[[#This Row],[Source of Surface Water Weighted Score]])*'Detailed Rubric V3'!$C$51</f>
        <v>0</v>
      </c>
      <c r="BS78" s="280"/>
      <c r="BT78" s="280" cm="1">
        <f t="array" ref="BT78">_xlfn.IFS(Table9[[#This Row],[Other BEZA EZ (20%)]]="", 0, Table9[[#This Row],[Other BEZA EZ (20%)]]="Yes", 4, TRUE, 0)</f>
        <v>0</v>
      </c>
      <c r="BU78" s="280">
        <f>Table9[[#This Row],[Other BEZA EZ Score]]*'Detailed Rubric V3'!$C$66</f>
        <v>0</v>
      </c>
      <c r="BV78" s="280"/>
      <c r="BW78" s="280" cm="1">
        <f t="array" ref="BW78">_xlfn.IFS(Table9[[#This Row],[BEPZA/ BHPTA/ BSCIC (20%)]]="", 0, Table9[[#This Row],[BEPZA/ BHPTA/ BSCIC (20%)]]="Yes", 4, TRUE, 0)</f>
        <v>0</v>
      </c>
      <c r="BX78" s="280">
        <f>Table9[[#This Row],[BEPZA/ BHPTA/ BSCIC Score]]*'Detailed Rubric V3'!$F$66</f>
        <v>0</v>
      </c>
      <c r="BY78" s="280"/>
      <c r="BZ78" s="280" cm="1">
        <f t="array" ref="BZ78">_xlfn.IFS(Table9[[#This Row],[Cluster Industries (from SMI) (20%)]]="", 0, Table9[[#This Row],[Cluster Industries (from SMI) (20%)]]&gt;100, 4, Table9[[#This Row],[Cluster Industries (from SMI) (20%)]]&lt;50, 0, TRUE, 2)</f>
        <v>0</v>
      </c>
      <c r="CA78" s="280">
        <f>Table9[[#This Row],[Cluster Industries (from SMI) Score]]*'Detailed Rubric V3'!$I$66</f>
        <v>0</v>
      </c>
      <c r="CB78" s="280"/>
      <c r="CC78" s="280" cm="1">
        <f t="array" ref="CC78">_xlfn.IFS(Table9[[#This Row],[Located on Industrial corridor (40%)]]="", 0, Table9[[#This Row],[Located on Industrial corridor (40%)]]="Yes", 4, TRUE, 0)</f>
        <v>0</v>
      </c>
      <c r="CD78" s="280">
        <f>Table9[[#This Row],[Located on Industrial corridor Score]]*'Detailed Rubric V3'!$L$66</f>
        <v>0</v>
      </c>
      <c r="CE78" s="280">
        <f>SUM(Table9[[#This Row],[Other BEZA EZ Weighted Score]],Table9[[#This Row],[BEPZA/ BHPTA/ BSCIC Weighted Score]],Table9[[#This Row],[Unorganized (from SMI) Weighted Score]],Table9[[#This Row],[Located on Industrial corridor Weighted Score]])*'Detailed Rubric V3'!$C$64</f>
        <v>0</v>
      </c>
      <c r="CF78" s="280"/>
      <c r="CG78" s="280" cm="1">
        <f t="array" ref="CG78">_xlfn.IFS(Table9[[#This Row],[Economic/ Social priority (laggered area) (100%)]]="", 0, Table9[[#This Row],[Economic/ Social priority (laggered area) (100%)]]="Yes", 4, TRUE, 0)</f>
        <v>0</v>
      </c>
      <c r="CH78" s="280">
        <f>Table9[[#This Row],[Economic/ Social priority (laggered area) Score]]*'Detailed Rubric V3'!$C$82</f>
        <v>0</v>
      </c>
      <c r="CI78" s="280"/>
      <c r="CJ78" s="280" cm="1">
        <f t="array" ref="CJ78">_xlfn.IFS(Table9[[#This Row],[Regional Tax incentive  (0%)]]="", 0, Table9[[#This Row],[Regional Tax incentive  (0%)]]="Yes", 4, TRUE, 0)</f>
        <v>0</v>
      </c>
      <c r="CK78" s="280">
        <f>Table9[[#This Row],[Regional Tax incentive Score]]*'Detailed Rubric V3'!$F$82</f>
        <v>0</v>
      </c>
      <c r="CL78" s="280">
        <f>SUM(Table9[[#This Row],[Economic/ Social priority (laagered area) Weighted Score]],Table9[[#This Row],[Regional Tax incentive  Weighted Score]])*'Detailed Rubric V3'!$C$80</f>
        <v>0</v>
      </c>
      <c r="CM78" s="280"/>
      <c r="CN78" s="280" cm="1">
        <f t="array" ref="CN78">_xlfn.IFS(Table9[[#This Row],[Employable population (40%) 2013]]="", 0, Table9[[#This Row],[Employable population (40%) 2013]]&gt;200000, 4, Table9[[#This Row],[Employable population (40%) 2013]]&lt;100000,0, TRUE, 2)</f>
        <v>0</v>
      </c>
      <c r="CO78" s="280">
        <f>Table9[[#This Row],[Employable population Score]]*'Detailed Rubric V3'!$C$92</f>
        <v>0</v>
      </c>
      <c r="CP78" s="280"/>
      <c r="CQ78" s="280" cm="1">
        <f t="array" ref="CQ78">_xlfn.IFS(Table9[[#This Row],[Housing (20%)]]="", 0, Table9[[#This Row],[Housing (20%)]]&gt;50, 0, Table9[[#This Row],[Housing (20%)]]&lt;25, 4, TRUE, 2)</f>
        <v>0</v>
      </c>
      <c r="CR78" s="280">
        <f>Table9[[#This Row],[Housing Score]]*'Detailed Rubric V3'!$F$92</f>
        <v>0</v>
      </c>
      <c r="CS78" s="280"/>
      <c r="CT78" s="280" cm="1">
        <f t="array" ref="CT78">_xlfn.IFS(Table9[[#This Row],[Hotels (10%)]]="", 0, Table9[[#This Row],[Hotels (10%)]]&gt;25, 4, Table9[[#This Row],[Hotels (10%)]]&lt;5, 0, TRUE, 2)</f>
        <v>0</v>
      </c>
      <c r="CU78" s="280">
        <f>Table9[[#This Row],[Hotels Score]]*'Detailed Rubric V3'!$I$92</f>
        <v>0</v>
      </c>
      <c r="CV78" s="280"/>
      <c r="CW78" s="280" cm="1">
        <f t="array" ref="CW78">_xlfn.IFS(Table9[[#This Row],[Health (Hospital) (15%)]]="", 0, Table9[[#This Row],[Health (Hospital) (15%)]]&gt;10, 4, Table9[[#This Row],[Health (Hospital) (15%)]]&lt;5, 0, TRUE, 2)</f>
        <v>0</v>
      </c>
      <c r="CX78" s="280">
        <f>Table9[[#This Row],[Health (Hospital) Score]]*'Detailed Rubric V3'!$L$92</f>
        <v>0</v>
      </c>
      <c r="CY78" s="280"/>
      <c r="CZ78" s="280" cm="1">
        <f t="array" ref="CZ78">_xlfn.IFS(Table9[[#This Row],[University/ Technical &amp; Vocational Institutions (15%)]]="", 0, Table9[[#This Row],[University/ Technical &amp; Vocational Institutions (15%)]]&gt;3, 4, Table9[[#This Row],[University/ Technical &amp; Vocational Institutions (15%)]]&lt;1, 0, TRUE, 2)</f>
        <v>0</v>
      </c>
      <c r="DA78" s="280">
        <f>Table9[[#This Row],[University/ Technical &amp; Vocational Institutions Score]]*'Detailed Rubric V3'!$O$92</f>
        <v>0</v>
      </c>
      <c r="DB78"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78" s="280"/>
      <c r="DD78" s="280" cm="1">
        <f t="array" ref="DD78">_xlfn.IFS(Table9[[#This Row],[Environment compliance (30%)]]="", 0, Table9[[#This Row],[Environment compliance (30%)]]="Yes", 4, TRUE, 0)</f>
        <v>0</v>
      </c>
      <c r="DE78" s="280">
        <f>Table9[[#This Row],[Environment compliance Score]]*'Detailed Rubric V3'!$C$104</f>
        <v>0</v>
      </c>
      <c r="DF78" s="280" t="s">
        <v>419</v>
      </c>
      <c r="DG78" s="280" cm="1">
        <f t="array" ref="DG78">_xlfn.IFS(Table9[[#This Row],[Flood Risk Index (30%)]]="", 0, Table9[[#This Row],[Flood Risk Index (30%)]]="Very Low", 4, Table9[[#This Row],[Flood Risk Index (30%)]]="Moderate &amp; Low", 2, TRUE, 0)</f>
        <v>2</v>
      </c>
      <c r="DH78" s="280">
        <f>Table9[[#This Row],[Flood Risk Index Score]]*'Detailed Rubric V3'!$F$104</f>
        <v>0.6</v>
      </c>
      <c r="DI78" s="280" t="s">
        <v>421</v>
      </c>
      <c r="DJ78" s="280" cm="1">
        <f t="array" ref="DJ78">_xlfn.IFS(Table9[[#This Row],[Earth Quake Risk Index (10%)]]="", 0, Table9[[#This Row],[Earth Quake Risk Index (10%)]]="Very Low", 4, Table9[[#This Row],[Earth Quake Risk Index (10%)]]="Moderate &amp; Low", 2, TRUE, 0)</f>
        <v>0</v>
      </c>
      <c r="DK78" s="280">
        <f>Table9[[#This Row],[Earth Quake Risk Index Score]]*'Detailed Rubric V3'!$I$104</f>
        <v>0</v>
      </c>
      <c r="DL78" s="280" t="s">
        <v>428</v>
      </c>
      <c r="DM78" s="280" cm="1">
        <f t="array" ref="DM78">_xlfn.IFS(Table9[[#This Row],[Sea Level Rise Risk Index (10%)]]="", 0, Table9[[#This Row],[Sea Level Rise Risk Index (10%)]]="Very Low", 4, Table9[[#This Row],[Sea Level Rise Risk Index (10%)]]="Moderate &amp; Low", 2, TRUE, 0)</f>
        <v>4</v>
      </c>
      <c r="DN78" s="280">
        <f>Table9[[#This Row],[Sea Level Rise  Risk Index Score]]*'Detailed Rubric V3'!$L$104</f>
        <v>0.4</v>
      </c>
      <c r="DO78" s="280" t="s">
        <v>419</v>
      </c>
      <c r="DP78" s="280" cm="1">
        <f t="array" ref="DP78">_xlfn.IFS(Table9[[#This Row],[Cyclone Risk Index (10%)]]="", 0, Table9[[#This Row],[Cyclone Risk Index (10%)]]="Very Low", 4, Table9[[#This Row],[Cyclone Risk Index (10%)]]="Moderate &amp; Low", 2, TRUE, 0)</f>
        <v>2</v>
      </c>
      <c r="DQ78" s="280">
        <f>Table9[[#This Row],[Cyclone Risk Index Score]]*'Detailed Rubric V3'!$O$104</f>
        <v>0.2</v>
      </c>
      <c r="DR78" s="280" t="s">
        <v>428</v>
      </c>
      <c r="DS78" s="280" cm="1">
        <f t="array" ref="DS78">_xlfn.IFS(Table9[[#This Row],[Storm Surge Risk Index (10%)]]="", 0, Table9[[#This Row],[Storm Surge Risk Index (10%)]]="Very Low", 4, Table9[[#This Row],[Storm Surge Risk Index (10%)]]="Moderate &amp; Low", 2, TRUE, 0)</f>
        <v>4</v>
      </c>
      <c r="DT78" s="280">
        <f>Table9[[#This Row],[Storm Surge Risk Index Score]]*'Detailed Rubric V3'!$R$104</f>
        <v>0.4</v>
      </c>
      <c r="DU78"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9.6000000000000002E-2</v>
      </c>
      <c r="DV78" s="309">
        <f>SUM(Table9[[#This Row],[2.1. Connectivity/ Logistics (10% weightage)]],Table9[[#This Row],[2.2. Utility (12% weightage)]],Table9[[#This Row],[2.3. Agglomeration effects (10% weightage)]],Table9[[#This Row],[2.4. Regional Policy (4% weightage)]],Table9[[#This Row],[2.5. Social (8% weightage)]],Table9[[#This Row],[2.6. Environment (6% weightage)]])</f>
        <v>9.6000000000000002E-2</v>
      </c>
      <c r="DW78" s="280">
        <f>_xlfn.RANK.EQ(Table9[[#This Row],[Level 2 Score]],$DV$3:$DV$103)</f>
        <v>73</v>
      </c>
      <c r="DX78" s="302">
        <f>Table9[[#This Row],[Level 1 Score]]+Table9[[#This Row],[Level 2 Score]]</f>
        <v>0.35599999999999998</v>
      </c>
      <c r="DY78" s="294">
        <f>_xlfn.RANK.EQ(Table9[[#This Row],[Total Score]],$DX$3:$DX$103)</f>
        <v>76</v>
      </c>
      <c r="DZ78" s="237" t="str">
        <f>IF(Table9[[#This Row],[Count of Blanks]]&lt;=2, "Yes", "No")</f>
        <v>No</v>
      </c>
      <c r="EA78" s="237">
        <f>COUNTBLANK(Table9[[#This Row],[Name]:[Total Score Rank]])</f>
        <v>23</v>
      </c>
      <c r="EB78" s="237"/>
    </row>
    <row r="79" spans="2:132" ht="54" x14ac:dyDescent="0.25">
      <c r="B79" s="220">
        <v>29</v>
      </c>
      <c r="C79" s="221" t="s">
        <v>215</v>
      </c>
      <c r="D79" s="220" t="s">
        <v>68</v>
      </c>
      <c r="E79" s="220" t="s">
        <v>74</v>
      </c>
      <c r="F79" s="220" t="s">
        <v>88</v>
      </c>
      <c r="G79" s="220" t="s">
        <v>70</v>
      </c>
      <c r="H79" s="525" t="s">
        <v>430</v>
      </c>
      <c r="I79" s="70" t="s">
        <v>453</v>
      </c>
      <c r="J79" s="227" t="s">
        <v>444</v>
      </c>
      <c r="K79" s="220">
        <f>IFERROR(VLOOKUP(Table9[[#This Row],[Land Availability (Grade)​
(50%)]],'Detailed Rubric V3'!$B$8:$C$11,2), 0)</f>
        <v>0</v>
      </c>
      <c r="L79" s="220">
        <f>IFERROR(Table9[[#This Row],[Land Availability (Grade)​ Score]]*'Detailed Rubric V3'!$C$6, "")</f>
        <v>0</v>
      </c>
      <c r="M79" s="222">
        <v>827.31</v>
      </c>
      <c r="N79" s="222" cm="1">
        <f t="array" ref="N79">_xlfn.IFS(Table9[[#This Row],[Land Size (Acres)
(15%)]]&lt;100,0,Table9[[#This Row],[Land Size (Acres)
(15%)]]&gt;500,4,TRUE,2)</f>
        <v>4</v>
      </c>
      <c r="O79" s="222">
        <f>Table9[[#This Row],[Land Size (Acres) Score]]*'Detailed Rubric V3'!$G$6</f>
        <v>0.6</v>
      </c>
      <c r="P79" s="526"/>
      <c r="Q79" s="526">
        <f>IFERROR(Table9[[#This Row],[Site Filling Cost (Mn BDT)]]/Table9[[#This Row],[Land Size (Acres)
(15%)]],"")</f>
        <v>0</v>
      </c>
      <c r="R79" s="526" cm="1">
        <f t="array" ref="R79">IF(Table9[[#This Row],[Name]]="Sitakundo Economic Zone", 4, _xlfn.IFS(Table9[[#This Row],[Site Filling Cost (Mn BDT)]]="",0,Table9[[#This Row],[Land Suitability
(Cost of Land Filling in Million BDT per acre)
(25%)]]&gt;5,0,Table9[[#This Row],[Land Suitability
(Cost of Land Filling in Million BDT per acre)
(25%)]]&lt;2,4,TRUE,2))</f>
        <v>0</v>
      </c>
      <c r="S79" s="526">
        <f>Table9[[#This Row],[Land Suitability for Construction Score]]*'Detailed Rubric V3'!$J$6</f>
        <v>0</v>
      </c>
      <c r="T79" s="526"/>
      <c r="U79" s="526">
        <f>IFERROR(Table9[[#This Row],[Embankment/Dyke Cost (Mn BDT)]]/Table9[[#This Row],[Land Size (Acres)
(15%)]], 0)</f>
        <v>0</v>
      </c>
      <c r="V79" s="526" cm="1">
        <f t="array" ref="V79">IF(Table9[[#This Row],[Name]]="Sitakundo Economic Zone", 2, _xlfn.IFS(Table9[[#This Row],[Embankment/Dyke Cost (Mn BDT)]]="",0,Table9[[#This Row],[Cost of DRRI Infrastructure in million BDT per acre
(10%)]]&gt;5,0,Table9[[#This Row],[Cost of DRRI Infrastructure in million BDT per acre
(10%)]]&lt;2,4,TRUE,2))</f>
        <v>0</v>
      </c>
      <c r="W79" s="526">
        <f>Table9[[#This Row],[Requirement for Distaster Risk Reduction &amp; Resilience Infrastructure Score]]*'Detailed Rubric V3'!$M$6</f>
        <v>0</v>
      </c>
      <c r="X79"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79" s="452" t="s">
        <v>436</v>
      </c>
      <c r="Z79" s="210">
        <f>IFERROR(VLOOKUP(Table9[[#This Row],[Zone Priority
(40%)]],'Detailed Rubric V3'!$B$18:$C$21, 2,FALSE), 0)</f>
        <v>0</v>
      </c>
      <c r="AA79" s="210">
        <f>IFERROR(Table9[[#This Row],[Zone Priority Score]]*'Detailed Rubric V3'!$C$16, 0)</f>
        <v>0</v>
      </c>
      <c r="AB79" s="237" t="s">
        <v>441</v>
      </c>
      <c r="AC79" s="237">
        <f>VLOOKUP(Table9[[#This Row],[Existing BEZA Report
(60%)]],'Detailed Rubric V3'!$E$18:$F$20,2,FALSE)</f>
        <v>0</v>
      </c>
      <c r="AD79" s="237">
        <f>Table9[[#This Row],[Existing BEZA Report Score]]*'Detailed Rubric V3'!F$16</f>
        <v>0</v>
      </c>
      <c r="AE79" s="237">
        <f>(Table9[[#This Row],[Zone Priority Weighted Score]]+Table9[[#This Row],[Existing BEZA Report Weighted Score]])*'Detailed Rubric V3'!$C$14</f>
        <v>0</v>
      </c>
      <c r="AF79" s="528">
        <v>1</v>
      </c>
      <c r="AG79" s="529" cm="1">
        <f t="array" ref="AG79">_xlfn.IFS(Table9[[#This Row],[Existing Sectors
(50%)]]&gt;10, 4,Table9[[#This Row],[Existing Sectors
(50%)]]&lt;5, 0, TRUE, 2)</f>
        <v>0</v>
      </c>
      <c r="AH79" s="529">
        <f>Table9[[#This Row],[Existing Sectors Score]]*'Detailed Rubric V3'!$C$25</f>
        <v>0</v>
      </c>
      <c r="AI79" s="529">
        <v>4</v>
      </c>
      <c r="AJ79" s="529">
        <v>3</v>
      </c>
      <c r="AK79" s="529" cm="1">
        <f t="array" ref="AK79">_xlfn.IFS(Table9[[#This Row],[Potential New Sectors
(50%)]]&gt;5, 4, Table9[[#This Row],[Potential New Sectors
(50%)]]&lt;2,0, TRUE, 2)</f>
        <v>2</v>
      </c>
      <c r="AL79" s="529">
        <f>Table9[[#This Row],[Potential New Sectors Score]]*'Detailed Rubric V3'!$F$25</f>
        <v>1</v>
      </c>
      <c r="AM79" s="232">
        <f>(Table9[[#This Row],[Existing Sectors Weighted Score]]+Table9[[#This Row],[Potential New Sectors Weighted Score]])*'Detailed Rubric V3'!$C$23</f>
        <v>0.15</v>
      </c>
      <c r="AN79" s="530">
        <f>SUM(Table9[[#This Row],[1.1. Land Details (20% weightage)]],Table9[[#This Row],[1.2. BEZA Existing plans (15% weightage)]],Table9[[#This Row],[1.3. Sector Demand (15% weightage):]])</f>
        <v>0.27</v>
      </c>
      <c r="AO79" s="531">
        <f>_xlfn.RANK.EQ(Table9[[#This Row],[Level 1 Score]],$AN$3:$AN$103)</f>
        <v>72</v>
      </c>
      <c r="AP79" s="280"/>
      <c r="AQ79" s="280" cm="1">
        <f t="array" ref="AQ79">_xlfn.IFS(Table9[[#This Row],[National Highway Connectivity (km)
(15%)]]="", 0, Table9[[#This Row],[National Highway Connectivity (km)
(15%)]]&gt;50, 0, Table9[[#This Row],[National Highway Connectivity (km)
(15%)]]&lt;=25, 4, TRUE, 2)</f>
        <v>0</v>
      </c>
      <c r="AR79" s="280">
        <f>Table9[[#This Row],[National Highway Connectivity Score]]*'Detailed Rubric V3'!$C$35</f>
        <v>0</v>
      </c>
      <c r="AS79" s="280"/>
      <c r="AT79" s="280" cm="1">
        <f t="array" ref="AT79">_xlfn.IFS(Table9[[#This Row],[Connecting Road to Highway (km)
(15%)]]="", 0, Table9[[#This Row],[Connecting Road to Highway (km)
(15%)]]="Yes", 4, TRUE, 0)</f>
        <v>0</v>
      </c>
      <c r="AU79" s="280">
        <f>Table9[[#This Row],[Connecting Road to Highway Score]]*'Detailed Rubric V3'!$F$35</f>
        <v>0</v>
      </c>
      <c r="AV79" s="280"/>
      <c r="AW79" s="280" cm="1">
        <f t="array" ref="AW79">_xlfn.IFS(Table9[[#This Row],[Seaport Connectivity (km)
(30%)]]="",0, Table9[[#This Row],[Seaport Connectivity (km)
(30%)]]&gt;400, 0,Table9[[#This Row],[Seaport Connectivity (km)
(30%)]]&lt;=200,4, TRUE, 2)</f>
        <v>0</v>
      </c>
      <c r="AX79" s="280">
        <f>Table9[[#This Row],[Seaport Connectivity Score]]*'Detailed Rubric V3'!$I$35</f>
        <v>0</v>
      </c>
      <c r="AY79" s="280"/>
      <c r="AZ79" s="280" cm="1">
        <f t="array" ref="AZ79">_xlfn.IFS(Table9[[#This Row],[Airport Connectivity (km)
(10%)]]="", 0, Table9[[#This Row],[Airport Connectivity (km)
(10%)]]&gt;200, 0, Table9[[#This Row],[Airport Connectivity (km)
(10%)]]&lt;=100,4,TRUE, 2)</f>
        <v>0</v>
      </c>
      <c r="BA79" s="280">
        <f>Table9[[#This Row],[Airport Connectivity Score]]*'Detailed Rubric V3'!$C$41</f>
        <v>0</v>
      </c>
      <c r="BB79" s="280"/>
      <c r="BC79" s="280" cm="1">
        <f t="array" ref="BC79">_xlfn.IFS(Table9[[#This Row],[Railway Station (km)
(10%)]]="", 0, Table9[[#This Row],[Railway Station (km)
(10%)]]&gt;150, 0,Table9[[#This Row],[Railway Station (km)
(10%)]]&lt;=50,4, TRUE, 2)</f>
        <v>0</v>
      </c>
      <c r="BD79" s="280">
        <f>Table9[[#This Row],[Railway Station Score]]*'Detailed Rubric V3'!$F$41</f>
        <v>0</v>
      </c>
      <c r="BE79" s="280"/>
      <c r="BF79" s="280" cm="1">
        <f t="array" ref="BF79">_xlfn.IFS(Table9[[#This Row],[Inland waterway/ Land port (km)
(20%)]]="", 0, Table9[[#This Row],[Inland waterway/ Land port (km)
(20%)]]&gt;200, 0,Table9[[#This Row],[Inland waterway/ Land port (km)
(20%)]]&lt;=50,4, TRUE, 2)</f>
        <v>0</v>
      </c>
      <c r="BG79" s="280">
        <f>Table9[[#This Row],[Inland waterway/ Land port Score]]*'Detailed Rubric V3'!$I$41</f>
        <v>0</v>
      </c>
      <c r="BH79"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79" s="280"/>
      <c r="BJ79" s="280" cm="1">
        <f t="array" ref="BJ79">_xlfn.IFS(Table9[[#This Row],[Power Station (40%)]]="",0, Table9[[#This Row],[Power Station (40%)]]&gt;100, 0,Table9[[#This Row],[Power Station (40%)]]&lt;=50,4, TRUE, 2)</f>
        <v>0</v>
      </c>
      <c r="BK79" s="280">
        <f>Table9[[#This Row],[Power Station Score]]*'Detailed Rubric V3'!$C$53</f>
        <v>0</v>
      </c>
      <c r="BL79" s="280"/>
      <c r="BM79" s="280" cm="1">
        <f t="array" ref="BM79">IF(ISNUMBER(Table9[[#This Row],[Gas Station (20%)]]), _xlfn.IFS(Table9[[#This Row],[Gas Station (20%)]]="", 0, Table9[[#This Row],[Gas Station (20%)]]&gt;100, 0,Table9[[#This Row],[Gas Station (20%)]]&lt;=50,4, TRUE, 2), 0)</f>
        <v>0</v>
      </c>
      <c r="BN79" s="280">
        <f>Table9[[#This Row],[Gas Station Score]]*'Detailed Rubric V3'!$F$53</f>
        <v>0</v>
      </c>
      <c r="BO79" s="280"/>
      <c r="BP79" s="280" cm="1">
        <f t="array" ref="BP79">IF(ISNUMBER(Table9[[#This Row],[Source of Surface Water (40%)]]), _xlfn.IFS(Table9[[#This Row],[Source of Surface Water (40%)]]="", 0, Table9[[#This Row],[Source of Surface Water (40%)]]&gt;50, 0,Table9[[#This Row],[Source of Surface Water (40%)]]&lt;=20,4, TRUE, 2), 0)</f>
        <v>0</v>
      </c>
      <c r="BQ79" s="280">
        <f>Table9[[#This Row],[Source of Surface Water Score]]*'Detailed Rubric V3'!$I$53</f>
        <v>0</v>
      </c>
      <c r="BR79" s="280">
        <f>SUM(Table9[[#This Row],[Power Station Weighted Score]],Table9[[#This Row],[Gas Station Weighted Score]],Table9[[#This Row],[Source of Surface Water Weighted Score]])*'Detailed Rubric V3'!$C$51</f>
        <v>0</v>
      </c>
      <c r="BS79" s="280"/>
      <c r="BT79" s="280" cm="1">
        <f t="array" ref="BT79">_xlfn.IFS(Table9[[#This Row],[Other BEZA EZ (20%)]]="", 0, Table9[[#This Row],[Other BEZA EZ (20%)]]="Yes", 4, TRUE, 0)</f>
        <v>0</v>
      </c>
      <c r="BU79" s="280">
        <f>Table9[[#This Row],[Other BEZA EZ Score]]*'Detailed Rubric V3'!$C$66</f>
        <v>0</v>
      </c>
      <c r="BV79" s="280"/>
      <c r="BW79" s="280" cm="1">
        <f t="array" ref="BW79">_xlfn.IFS(Table9[[#This Row],[BEPZA/ BHPTA/ BSCIC (20%)]]="", 0, Table9[[#This Row],[BEPZA/ BHPTA/ BSCIC (20%)]]="Yes", 4, TRUE, 0)</f>
        <v>0</v>
      </c>
      <c r="BX79" s="280">
        <f>Table9[[#This Row],[BEPZA/ BHPTA/ BSCIC Score]]*'Detailed Rubric V3'!$F$66</f>
        <v>0</v>
      </c>
      <c r="BY79" s="280"/>
      <c r="BZ79" s="280" cm="1">
        <f t="array" ref="BZ79">_xlfn.IFS(Table9[[#This Row],[Cluster Industries (from SMI) (20%)]]="", 0, Table9[[#This Row],[Cluster Industries (from SMI) (20%)]]&gt;100, 4, Table9[[#This Row],[Cluster Industries (from SMI) (20%)]]&lt;50, 0, TRUE, 2)</f>
        <v>0</v>
      </c>
      <c r="CA79" s="280">
        <f>Table9[[#This Row],[Cluster Industries (from SMI) Score]]*'Detailed Rubric V3'!$I$66</f>
        <v>0</v>
      </c>
      <c r="CB79" s="280"/>
      <c r="CC79" s="280" cm="1">
        <f t="array" ref="CC79">_xlfn.IFS(Table9[[#This Row],[Located on Industrial corridor (40%)]]="", 0, Table9[[#This Row],[Located on Industrial corridor (40%)]]="Yes", 4, TRUE, 0)</f>
        <v>0</v>
      </c>
      <c r="CD79" s="280">
        <f>Table9[[#This Row],[Located on Industrial corridor Score]]*'Detailed Rubric V3'!$L$66</f>
        <v>0</v>
      </c>
      <c r="CE79" s="280">
        <f>SUM(Table9[[#This Row],[Other BEZA EZ Weighted Score]],Table9[[#This Row],[BEPZA/ BHPTA/ BSCIC Weighted Score]],Table9[[#This Row],[Unorganized (from SMI) Weighted Score]],Table9[[#This Row],[Located on Industrial corridor Weighted Score]])*'Detailed Rubric V3'!$C$64</f>
        <v>0</v>
      </c>
      <c r="CF79" s="280"/>
      <c r="CG79" s="280" cm="1">
        <f t="array" ref="CG79">_xlfn.IFS(Table9[[#This Row],[Economic/ Social priority (laggered area) (100%)]]="", 0, Table9[[#This Row],[Economic/ Social priority (laggered area) (100%)]]="Yes", 4, TRUE, 0)</f>
        <v>0</v>
      </c>
      <c r="CH79" s="280">
        <f>Table9[[#This Row],[Economic/ Social priority (laggered area) Score]]*'Detailed Rubric V3'!$C$82</f>
        <v>0</v>
      </c>
      <c r="CI79" s="280"/>
      <c r="CJ79" s="280" cm="1">
        <f t="array" ref="CJ79">_xlfn.IFS(Table9[[#This Row],[Regional Tax incentive  (0%)]]="", 0, Table9[[#This Row],[Regional Tax incentive  (0%)]]="Yes", 4, TRUE, 0)</f>
        <v>0</v>
      </c>
      <c r="CK79" s="280">
        <f>Table9[[#This Row],[Regional Tax incentive Score]]*'Detailed Rubric V3'!$F$82</f>
        <v>0</v>
      </c>
      <c r="CL79" s="280">
        <f>SUM(Table9[[#This Row],[Economic/ Social priority (laagered area) Weighted Score]],Table9[[#This Row],[Regional Tax incentive  Weighted Score]])*'Detailed Rubric V3'!$C$80</f>
        <v>0</v>
      </c>
      <c r="CM79" s="280"/>
      <c r="CN79" s="280" cm="1">
        <f t="array" ref="CN79">_xlfn.IFS(Table9[[#This Row],[Employable population (40%) 2013]]="", 0, Table9[[#This Row],[Employable population (40%) 2013]]&gt;200000, 4, Table9[[#This Row],[Employable population (40%) 2013]]&lt;100000,0, TRUE, 2)</f>
        <v>0</v>
      </c>
      <c r="CO79" s="280">
        <f>Table9[[#This Row],[Employable population Score]]*'Detailed Rubric V3'!$C$92</f>
        <v>0</v>
      </c>
      <c r="CP79" s="280"/>
      <c r="CQ79" s="280" cm="1">
        <f t="array" ref="CQ79">_xlfn.IFS(Table9[[#This Row],[Housing (20%)]]="", 0, Table9[[#This Row],[Housing (20%)]]&gt;50, 0, Table9[[#This Row],[Housing (20%)]]&lt;25, 4, TRUE, 2)</f>
        <v>0</v>
      </c>
      <c r="CR79" s="280">
        <f>Table9[[#This Row],[Housing Score]]*'Detailed Rubric V3'!$F$92</f>
        <v>0</v>
      </c>
      <c r="CS79" s="280"/>
      <c r="CT79" s="280" cm="1">
        <f t="array" ref="CT79">_xlfn.IFS(Table9[[#This Row],[Hotels (10%)]]="", 0, Table9[[#This Row],[Hotels (10%)]]&gt;25, 4, Table9[[#This Row],[Hotels (10%)]]&lt;5, 0, TRUE, 2)</f>
        <v>0</v>
      </c>
      <c r="CU79" s="280">
        <f>Table9[[#This Row],[Hotels Score]]*'Detailed Rubric V3'!$I$92</f>
        <v>0</v>
      </c>
      <c r="CV79" s="280"/>
      <c r="CW79" s="280" cm="1">
        <f t="array" ref="CW79">_xlfn.IFS(Table9[[#This Row],[Health (Hospital) (15%)]]="", 0, Table9[[#This Row],[Health (Hospital) (15%)]]&gt;10, 4, Table9[[#This Row],[Health (Hospital) (15%)]]&lt;5, 0, TRUE, 2)</f>
        <v>0</v>
      </c>
      <c r="CX79" s="280">
        <f>Table9[[#This Row],[Health (Hospital) Score]]*'Detailed Rubric V3'!$L$92</f>
        <v>0</v>
      </c>
      <c r="CY79" s="280"/>
      <c r="CZ79" s="280" cm="1">
        <f t="array" ref="CZ79">_xlfn.IFS(Table9[[#This Row],[University/ Technical &amp; Vocational Institutions (15%)]]="", 0, Table9[[#This Row],[University/ Technical &amp; Vocational Institutions (15%)]]&gt;3, 4, Table9[[#This Row],[University/ Technical &amp; Vocational Institutions (15%)]]&lt;1, 0, TRUE, 2)</f>
        <v>0</v>
      </c>
      <c r="DA79" s="280">
        <f>Table9[[#This Row],[University/ Technical &amp; Vocational Institutions Score]]*'Detailed Rubric V3'!$O$92</f>
        <v>0</v>
      </c>
      <c r="DB79"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79" s="280"/>
      <c r="DD79" s="280" cm="1">
        <f t="array" ref="DD79">_xlfn.IFS(Table9[[#This Row],[Environment compliance (30%)]]="", 0, Table9[[#This Row],[Environment compliance (30%)]]="Yes", 4, TRUE, 0)</f>
        <v>0</v>
      </c>
      <c r="DE79" s="280">
        <f>Table9[[#This Row],[Environment compliance Score]]*'Detailed Rubric V3'!$C$104</f>
        <v>0</v>
      </c>
      <c r="DF79" s="280" t="s">
        <v>419</v>
      </c>
      <c r="DG79" s="280" cm="1">
        <f t="array" ref="DG79">_xlfn.IFS(Table9[[#This Row],[Flood Risk Index (30%)]]="", 0, Table9[[#This Row],[Flood Risk Index (30%)]]="Very Low", 4, Table9[[#This Row],[Flood Risk Index (30%)]]="Moderate &amp; Low", 2, TRUE, 0)</f>
        <v>2</v>
      </c>
      <c r="DH79" s="280">
        <f>Table9[[#This Row],[Flood Risk Index Score]]*'Detailed Rubric V3'!$F$104</f>
        <v>0.6</v>
      </c>
      <c r="DI79" s="280" t="s">
        <v>419</v>
      </c>
      <c r="DJ79" s="280" cm="1">
        <f t="array" ref="DJ79">_xlfn.IFS(Table9[[#This Row],[Earth Quake Risk Index (10%)]]="", 0, Table9[[#This Row],[Earth Quake Risk Index (10%)]]="Very Low", 4, Table9[[#This Row],[Earth Quake Risk Index (10%)]]="Moderate &amp; Low", 2, TRUE, 0)</f>
        <v>2</v>
      </c>
      <c r="DK79" s="280">
        <f>Table9[[#This Row],[Earth Quake Risk Index Score]]*'Detailed Rubric V3'!$I$104</f>
        <v>0.2</v>
      </c>
      <c r="DL79" s="280" t="s">
        <v>419</v>
      </c>
      <c r="DM79" s="280" cm="1">
        <f t="array" ref="DM79">_xlfn.IFS(Table9[[#This Row],[Sea Level Rise Risk Index (10%)]]="", 0, Table9[[#This Row],[Sea Level Rise Risk Index (10%)]]="Very Low", 4, Table9[[#This Row],[Sea Level Rise Risk Index (10%)]]="Moderate &amp; Low", 2, TRUE, 0)</f>
        <v>2</v>
      </c>
      <c r="DN79" s="280">
        <f>Table9[[#This Row],[Sea Level Rise  Risk Index Score]]*'Detailed Rubric V3'!$L$104</f>
        <v>0.2</v>
      </c>
      <c r="DO79" s="280" t="s">
        <v>420</v>
      </c>
      <c r="DP79" s="280" cm="1">
        <f t="array" ref="DP79">_xlfn.IFS(Table9[[#This Row],[Cyclone Risk Index (10%)]]="", 0, Table9[[#This Row],[Cyclone Risk Index (10%)]]="Very Low", 4, Table9[[#This Row],[Cyclone Risk Index (10%)]]="Moderate &amp; Low", 2, TRUE, 0)</f>
        <v>0</v>
      </c>
      <c r="DQ79" s="280">
        <f>Table9[[#This Row],[Cyclone Risk Index Score]]*'Detailed Rubric V3'!$O$104</f>
        <v>0</v>
      </c>
      <c r="DR79" s="280" t="s">
        <v>419</v>
      </c>
      <c r="DS79" s="280" cm="1">
        <f t="array" ref="DS79">_xlfn.IFS(Table9[[#This Row],[Storm Surge Risk Index (10%)]]="", 0, Table9[[#This Row],[Storm Surge Risk Index (10%)]]="Very Low", 4, Table9[[#This Row],[Storm Surge Risk Index (10%)]]="Moderate &amp; Low", 2, TRUE, 0)</f>
        <v>2</v>
      </c>
      <c r="DT79" s="280">
        <f>Table9[[#This Row],[Storm Surge Risk Index Score]]*'Detailed Rubric V3'!$R$104</f>
        <v>0.2</v>
      </c>
      <c r="DU79"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7.1999999999999995E-2</v>
      </c>
      <c r="DV79" s="309">
        <f>SUM(Table9[[#This Row],[2.1. Connectivity/ Logistics (10% weightage)]],Table9[[#This Row],[2.2. Utility (12% weightage)]],Table9[[#This Row],[2.3. Agglomeration effects (10% weightage)]],Table9[[#This Row],[2.4. Regional Policy (4% weightage)]],Table9[[#This Row],[2.5. Social (8% weightage)]],Table9[[#This Row],[2.6. Environment (6% weightage)]])</f>
        <v>7.1999999999999995E-2</v>
      </c>
      <c r="DW79" s="280">
        <f>_xlfn.RANK.EQ(Table9[[#This Row],[Level 2 Score]],$DV$3:$DV$103)</f>
        <v>83</v>
      </c>
      <c r="DX79" s="302">
        <f>Table9[[#This Row],[Level 1 Score]]+Table9[[#This Row],[Level 2 Score]]</f>
        <v>0.34200000000000003</v>
      </c>
      <c r="DY79" s="294">
        <f>_xlfn.RANK.EQ(Table9[[#This Row],[Total Score]],$DX$3:$DX$103)</f>
        <v>77</v>
      </c>
      <c r="DZ79" s="237" t="str">
        <f>IF(Table9[[#This Row],[Count of Blanks]]&lt;=2, "Yes", "No")</f>
        <v>No</v>
      </c>
      <c r="EA79" s="237">
        <f>COUNTBLANK(Table9[[#This Row],[Name]:[Total Score Rank]])</f>
        <v>23</v>
      </c>
      <c r="EB79" s="237"/>
    </row>
    <row r="80" spans="2:132" ht="27" x14ac:dyDescent="0.25">
      <c r="B80" s="220">
        <v>31</v>
      </c>
      <c r="C80" s="221" t="s">
        <v>216</v>
      </c>
      <c r="D80" s="220" t="s">
        <v>68</v>
      </c>
      <c r="E80" s="220" t="s">
        <v>74</v>
      </c>
      <c r="F80" s="220" t="s">
        <v>217</v>
      </c>
      <c r="G80" s="220" t="s">
        <v>70</v>
      </c>
      <c r="H80" s="525" t="s">
        <v>430</v>
      </c>
      <c r="I80" s="70" t="s">
        <v>453</v>
      </c>
      <c r="J80" s="227" t="s">
        <v>444</v>
      </c>
      <c r="K80" s="220">
        <f>IFERROR(VLOOKUP(Table9[[#This Row],[Land Availability (Grade)​
(50%)]],'Detailed Rubric V3'!$B$8:$C$11,2), 0)</f>
        <v>0</v>
      </c>
      <c r="L80" s="220">
        <f>IFERROR(Table9[[#This Row],[Land Availability (Grade)​ Score]]*'Detailed Rubric V3'!$C$6, "")</f>
        <v>0</v>
      </c>
      <c r="M80" s="222">
        <v>2890.79</v>
      </c>
      <c r="N80" s="222" cm="1">
        <f t="array" ref="N80">_xlfn.IFS(Table9[[#This Row],[Land Size (Acres)
(15%)]]&lt;100,0,Table9[[#This Row],[Land Size (Acres)
(15%)]]&gt;500,4,TRUE,2)</f>
        <v>4</v>
      </c>
      <c r="O80" s="222">
        <f>Table9[[#This Row],[Land Size (Acres) Score]]*'Detailed Rubric V3'!$G$6</f>
        <v>0.6</v>
      </c>
      <c r="P80" s="526"/>
      <c r="Q80" s="526">
        <f>IFERROR(Table9[[#This Row],[Site Filling Cost (Mn BDT)]]/Table9[[#This Row],[Land Size (Acres)
(15%)]],"")</f>
        <v>0</v>
      </c>
      <c r="R80" s="526" cm="1">
        <f t="array" ref="R80">IF(Table9[[#This Row],[Name]]="Sitakundo Economic Zone", 4, _xlfn.IFS(Table9[[#This Row],[Site Filling Cost (Mn BDT)]]="",0,Table9[[#This Row],[Land Suitability
(Cost of Land Filling in Million BDT per acre)
(25%)]]&gt;5,0,Table9[[#This Row],[Land Suitability
(Cost of Land Filling in Million BDT per acre)
(25%)]]&lt;2,4,TRUE,2))</f>
        <v>0</v>
      </c>
      <c r="S80" s="526">
        <f>Table9[[#This Row],[Land Suitability for Construction Score]]*'Detailed Rubric V3'!$J$6</f>
        <v>0</v>
      </c>
      <c r="T80" s="526"/>
      <c r="U80" s="526">
        <f>IFERROR(Table9[[#This Row],[Embankment/Dyke Cost (Mn BDT)]]/Table9[[#This Row],[Land Size (Acres)
(15%)]], 0)</f>
        <v>0</v>
      </c>
      <c r="V80" s="526" cm="1">
        <f t="array" ref="V80">IF(Table9[[#This Row],[Name]]="Sitakundo Economic Zone", 2, _xlfn.IFS(Table9[[#This Row],[Embankment/Dyke Cost (Mn BDT)]]="",0,Table9[[#This Row],[Cost of DRRI Infrastructure in million BDT per acre
(10%)]]&gt;5,0,Table9[[#This Row],[Cost of DRRI Infrastructure in million BDT per acre
(10%)]]&lt;2,4,TRUE,2))</f>
        <v>0</v>
      </c>
      <c r="W80" s="526">
        <f>Table9[[#This Row],[Requirement for Distaster Risk Reduction &amp; Resilience Infrastructure Score]]*'Detailed Rubric V3'!$M$6</f>
        <v>0</v>
      </c>
      <c r="X80"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80" s="452" t="s">
        <v>436</v>
      </c>
      <c r="Z80" s="210">
        <f>IFERROR(VLOOKUP(Table9[[#This Row],[Zone Priority
(40%)]],'Detailed Rubric V3'!$B$18:$C$21, 2,FALSE), 0)</f>
        <v>0</v>
      </c>
      <c r="AA80" s="210">
        <f>IFERROR(Table9[[#This Row],[Zone Priority Score]]*'Detailed Rubric V3'!$C$16, 0)</f>
        <v>0</v>
      </c>
      <c r="AB80" s="237" t="s">
        <v>441</v>
      </c>
      <c r="AC80" s="237">
        <f>VLOOKUP(Table9[[#This Row],[Existing BEZA Report
(60%)]],'Detailed Rubric V3'!$E$18:$F$20,2,FALSE)</f>
        <v>0</v>
      </c>
      <c r="AD80" s="237">
        <f>Table9[[#This Row],[Existing BEZA Report Score]]*'Detailed Rubric V3'!F$16</f>
        <v>0</v>
      </c>
      <c r="AE80" s="237">
        <f>(Table9[[#This Row],[Zone Priority Weighted Score]]+Table9[[#This Row],[Existing BEZA Report Weighted Score]])*'Detailed Rubric V3'!$C$14</f>
        <v>0</v>
      </c>
      <c r="AF80" s="528">
        <v>1</v>
      </c>
      <c r="AG80" s="529" cm="1">
        <f t="array" ref="AG80">_xlfn.IFS(Table9[[#This Row],[Existing Sectors
(50%)]]&gt;10, 4,Table9[[#This Row],[Existing Sectors
(50%)]]&lt;5, 0, TRUE, 2)</f>
        <v>0</v>
      </c>
      <c r="AH80" s="529">
        <f>Table9[[#This Row],[Existing Sectors Score]]*'Detailed Rubric V3'!$C$25</f>
        <v>0</v>
      </c>
      <c r="AI80" s="529">
        <v>4</v>
      </c>
      <c r="AJ80" s="529">
        <v>3</v>
      </c>
      <c r="AK80" s="529" cm="1">
        <f t="array" ref="AK80">_xlfn.IFS(Table9[[#This Row],[Potential New Sectors
(50%)]]&gt;5, 4, Table9[[#This Row],[Potential New Sectors
(50%)]]&lt;2,0, TRUE, 2)</f>
        <v>2</v>
      </c>
      <c r="AL80" s="529">
        <f>Table9[[#This Row],[Potential New Sectors Score]]*'Detailed Rubric V3'!$F$25</f>
        <v>1</v>
      </c>
      <c r="AM80" s="232">
        <f>(Table9[[#This Row],[Existing Sectors Weighted Score]]+Table9[[#This Row],[Potential New Sectors Weighted Score]])*'Detailed Rubric V3'!$C$23</f>
        <v>0.15</v>
      </c>
      <c r="AN80" s="530">
        <f>SUM(Table9[[#This Row],[1.1. Land Details (20% weightage)]],Table9[[#This Row],[1.2. BEZA Existing plans (15% weightage)]],Table9[[#This Row],[1.3. Sector Demand (15% weightage):]])</f>
        <v>0.27</v>
      </c>
      <c r="AO80" s="531">
        <f>_xlfn.RANK.EQ(Table9[[#This Row],[Level 1 Score]],$AN$3:$AN$103)</f>
        <v>72</v>
      </c>
      <c r="AP80" s="280"/>
      <c r="AQ80" s="280" cm="1">
        <f t="array" ref="AQ80">_xlfn.IFS(Table9[[#This Row],[National Highway Connectivity (km)
(15%)]]="", 0, Table9[[#This Row],[National Highway Connectivity (km)
(15%)]]&gt;50, 0, Table9[[#This Row],[National Highway Connectivity (km)
(15%)]]&lt;=25, 4, TRUE, 2)</f>
        <v>0</v>
      </c>
      <c r="AR80" s="280">
        <f>Table9[[#This Row],[National Highway Connectivity Score]]*'Detailed Rubric V3'!$C$35</f>
        <v>0</v>
      </c>
      <c r="AS80" s="280"/>
      <c r="AT80" s="280" cm="1">
        <f t="array" ref="AT80">_xlfn.IFS(Table9[[#This Row],[Connecting Road to Highway (km)
(15%)]]="", 0, Table9[[#This Row],[Connecting Road to Highway (km)
(15%)]]="Yes", 4, TRUE, 0)</f>
        <v>0</v>
      </c>
      <c r="AU80" s="280">
        <f>Table9[[#This Row],[Connecting Road to Highway Score]]*'Detailed Rubric V3'!$F$35</f>
        <v>0</v>
      </c>
      <c r="AV80" s="280"/>
      <c r="AW80" s="280" cm="1">
        <f t="array" ref="AW80">_xlfn.IFS(Table9[[#This Row],[Seaport Connectivity (km)
(30%)]]="",0, Table9[[#This Row],[Seaport Connectivity (km)
(30%)]]&gt;400, 0,Table9[[#This Row],[Seaport Connectivity (km)
(30%)]]&lt;=200,4, TRUE, 2)</f>
        <v>0</v>
      </c>
      <c r="AX80" s="280">
        <f>Table9[[#This Row],[Seaport Connectivity Score]]*'Detailed Rubric V3'!$I$35</f>
        <v>0</v>
      </c>
      <c r="AY80" s="280"/>
      <c r="AZ80" s="280" cm="1">
        <f t="array" ref="AZ80">_xlfn.IFS(Table9[[#This Row],[Airport Connectivity (km)
(10%)]]="", 0, Table9[[#This Row],[Airport Connectivity (km)
(10%)]]&gt;200, 0, Table9[[#This Row],[Airport Connectivity (km)
(10%)]]&lt;=100,4,TRUE, 2)</f>
        <v>0</v>
      </c>
      <c r="BA80" s="280">
        <f>Table9[[#This Row],[Airport Connectivity Score]]*'Detailed Rubric V3'!$C$41</f>
        <v>0</v>
      </c>
      <c r="BB80" s="280"/>
      <c r="BC80" s="280" cm="1">
        <f t="array" ref="BC80">_xlfn.IFS(Table9[[#This Row],[Railway Station (km)
(10%)]]="", 0, Table9[[#This Row],[Railway Station (km)
(10%)]]&gt;150, 0,Table9[[#This Row],[Railway Station (km)
(10%)]]&lt;=50,4, TRUE, 2)</f>
        <v>0</v>
      </c>
      <c r="BD80" s="280">
        <f>Table9[[#This Row],[Railway Station Score]]*'Detailed Rubric V3'!$F$41</f>
        <v>0</v>
      </c>
      <c r="BE80" s="280"/>
      <c r="BF80" s="280" cm="1">
        <f t="array" ref="BF80">_xlfn.IFS(Table9[[#This Row],[Inland waterway/ Land port (km)
(20%)]]="", 0, Table9[[#This Row],[Inland waterway/ Land port (km)
(20%)]]&gt;200, 0,Table9[[#This Row],[Inland waterway/ Land port (km)
(20%)]]&lt;=50,4, TRUE, 2)</f>
        <v>0</v>
      </c>
      <c r="BG80" s="280">
        <f>Table9[[#This Row],[Inland waterway/ Land port Score]]*'Detailed Rubric V3'!$I$41</f>
        <v>0</v>
      </c>
      <c r="BH80"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80" s="280"/>
      <c r="BJ80" s="280" cm="1">
        <f t="array" ref="BJ80">_xlfn.IFS(Table9[[#This Row],[Power Station (40%)]]="",0, Table9[[#This Row],[Power Station (40%)]]&gt;100, 0,Table9[[#This Row],[Power Station (40%)]]&lt;=50,4, TRUE, 2)</f>
        <v>0</v>
      </c>
      <c r="BK80" s="280">
        <f>Table9[[#This Row],[Power Station Score]]*'Detailed Rubric V3'!$C$53</f>
        <v>0</v>
      </c>
      <c r="BL80" s="280"/>
      <c r="BM80" s="280" cm="1">
        <f t="array" ref="BM80">IF(ISNUMBER(Table9[[#This Row],[Gas Station (20%)]]), _xlfn.IFS(Table9[[#This Row],[Gas Station (20%)]]="", 0, Table9[[#This Row],[Gas Station (20%)]]&gt;100, 0,Table9[[#This Row],[Gas Station (20%)]]&lt;=50,4, TRUE, 2), 0)</f>
        <v>0</v>
      </c>
      <c r="BN80" s="280">
        <f>Table9[[#This Row],[Gas Station Score]]*'Detailed Rubric V3'!$F$53</f>
        <v>0</v>
      </c>
      <c r="BO80" s="280"/>
      <c r="BP80" s="280" cm="1">
        <f t="array" ref="BP80">IF(ISNUMBER(Table9[[#This Row],[Source of Surface Water (40%)]]), _xlfn.IFS(Table9[[#This Row],[Source of Surface Water (40%)]]="", 0, Table9[[#This Row],[Source of Surface Water (40%)]]&gt;50, 0,Table9[[#This Row],[Source of Surface Water (40%)]]&lt;=20,4, TRUE, 2), 0)</f>
        <v>0</v>
      </c>
      <c r="BQ80" s="280">
        <f>Table9[[#This Row],[Source of Surface Water Score]]*'Detailed Rubric V3'!$I$53</f>
        <v>0</v>
      </c>
      <c r="BR80" s="280">
        <f>SUM(Table9[[#This Row],[Power Station Weighted Score]],Table9[[#This Row],[Gas Station Weighted Score]],Table9[[#This Row],[Source of Surface Water Weighted Score]])*'Detailed Rubric V3'!$C$51</f>
        <v>0</v>
      </c>
      <c r="BS80" s="280"/>
      <c r="BT80" s="280" cm="1">
        <f t="array" ref="BT80">_xlfn.IFS(Table9[[#This Row],[Other BEZA EZ (20%)]]="", 0, Table9[[#This Row],[Other BEZA EZ (20%)]]="Yes", 4, TRUE, 0)</f>
        <v>0</v>
      </c>
      <c r="BU80" s="280">
        <f>Table9[[#This Row],[Other BEZA EZ Score]]*'Detailed Rubric V3'!$C$66</f>
        <v>0</v>
      </c>
      <c r="BV80" s="280"/>
      <c r="BW80" s="280" cm="1">
        <f t="array" ref="BW80">_xlfn.IFS(Table9[[#This Row],[BEPZA/ BHPTA/ BSCIC (20%)]]="", 0, Table9[[#This Row],[BEPZA/ BHPTA/ BSCIC (20%)]]="Yes", 4, TRUE, 0)</f>
        <v>0</v>
      </c>
      <c r="BX80" s="280">
        <f>Table9[[#This Row],[BEPZA/ BHPTA/ BSCIC Score]]*'Detailed Rubric V3'!$F$66</f>
        <v>0</v>
      </c>
      <c r="BY80" s="280"/>
      <c r="BZ80" s="280" cm="1">
        <f t="array" ref="BZ80">_xlfn.IFS(Table9[[#This Row],[Cluster Industries (from SMI) (20%)]]="", 0, Table9[[#This Row],[Cluster Industries (from SMI) (20%)]]&gt;100, 4, Table9[[#This Row],[Cluster Industries (from SMI) (20%)]]&lt;50, 0, TRUE, 2)</f>
        <v>0</v>
      </c>
      <c r="CA80" s="280">
        <f>Table9[[#This Row],[Cluster Industries (from SMI) Score]]*'Detailed Rubric V3'!$I$66</f>
        <v>0</v>
      </c>
      <c r="CB80" s="280"/>
      <c r="CC80" s="280" cm="1">
        <f t="array" ref="CC80">_xlfn.IFS(Table9[[#This Row],[Located on Industrial corridor (40%)]]="", 0, Table9[[#This Row],[Located on Industrial corridor (40%)]]="Yes", 4, TRUE, 0)</f>
        <v>0</v>
      </c>
      <c r="CD80" s="280">
        <f>Table9[[#This Row],[Located on Industrial corridor Score]]*'Detailed Rubric V3'!$L$66</f>
        <v>0</v>
      </c>
      <c r="CE80" s="280">
        <f>SUM(Table9[[#This Row],[Other BEZA EZ Weighted Score]],Table9[[#This Row],[BEPZA/ BHPTA/ BSCIC Weighted Score]],Table9[[#This Row],[Unorganized (from SMI) Weighted Score]],Table9[[#This Row],[Located on Industrial corridor Weighted Score]])*'Detailed Rubric V3'!$C$64</f>
        <v>0</v>
      </c>
      <c r="CF80" s="280"/>
      <c r="CG80" s="280" cm="1">
        <f t="array" ref="CG80">_xlfn.IFS(Table9[[#This Row],[Economic/ Social priority (laggered area) (100%)]]="", 0, Table9[[#This Row],[Economic/ Social priority (laggered area) (100%)]]="Yes", 4, TRUE, 0)</f>
        <v>0</v>
      </c>
      <c r="CH80" s="280">
        <f>Table9[[#This Row],[Economic/ Social priority (laggered area) Score]]*'Detailed Rubric V3'!$C$82</f>
        <v>0</v>
      </c>
      <c r="CI80" s="280"/>
      <c r="CJ80" s="280" cm="1">
        <f t="array" ref="CJ80">_xlfn.IFS(Table9[[#This Row],[Regional Tax incentive  (0%)]]="", 0, Table9[[#This Row],[Regional Tax incentive  (0%)]]="Yes", 4, TRUE, 0)</f>
        <v>0</v>
      </c>
      <c r="CK80" s="280">
        <f>Table9[[#This Row],[Regional Tax incentive Score]]*'Detailed Rubric V3'!$F$82</f>
        <v>0</v>
      </c>
      <c r="CL80" s="280">
        <f>SUM(Table9[[#This Row],[Economic/ Social priority (laagered area) Weighted Score]],Table9[[#This Row],[Regional Tax incentive  Weighted Score]])*'Detailed Rubric V3'!$C$80</f>
        <v>0</v>
      </c>
      <c r="CM80" s="280"/>
      <c r="CN80" s="280" cm="1">
        <f t="array" ref="CN80">_xlfn.IFS(Table9[[#This Row],[Employable population (40%) 2013]]="", 0, Table9[[#This Row],[Employable population (40%) 2013]]&gt;200000, 4, Table9[[#This Row],[Employable population (40%) 2013]]&lt;100000,0, TRUE, 2)</f>
        <v>0</v>
      </c>
      <c r="CO80" s="280">
        <f>Table9[[#This Row],[Employable population Score]]*'Detailed Rubric V3'!$C$92</f>
        <v>0</v>
      </c>
      <c r="CP80" s="280"/>
      <c r="CQ80" s="280" cm="1">
        <f t="array" ref="CQ80">_xlfn.IFS(Table9[[#This Row],[Housing (20%)]]="", 0, Table9[[#This Row],[Housing (20%)]]&gt;50, 0, Table9[[#This Row],[Housing (20%)]]&lt;25, 4, TRUE, 2)</f>
        <v>0</v>
      </c>
      <c r="CR80" s="280">
        <f>Table9[[#This Row],[Housing Score]]*'Detailed Rubric V3'!$F$92</f>
        <v>0</v>
      </c>
      <c r="CS80" s="280"/>
      <c r="CT80" s="280" cm="1">
        <f t="array" ref="CT80">_xlfn.IFS(Table9[[#This Row],[Hotels (10%)]]="", 0, Table9[[#This Row],[Hotels (10%)]]&gt;25, 4, Table9[[#This Row],[Hotels (10%)]]&lt;5, 0, TRUE, 2)</f>
        <v>0</v>
      </c>
      <c r="CU80" s="280">
        <f>Table9[[#This Row],[Hotels Score]]*'Detailed Rubric V3'!$I$92</f>
        <v>0</v>
      </c>
      <c r="CV80" s="280"/>
      <c r="CW80" s="280" cm="1">
        <f t="array" ref="CW80">_xlfn.IFS(Table9[[#This Row],[Health (Hospital) (15%)]]="", 0, Table9[[#This Row],[Health (Hospital) (15%)]]&gt;10, 4, Table9[[#This Row],[Health (Hospital) (15%)]]&lt;5, 0, TRUE, 2)</f>
        <v>0</v>
      </c>
      <c r="CX80" s="280">
        <f>Table9[[#This Row],[Health (Hospital) Score]]*'Detailed Rubric V3'!$L$92</f>
        <v>0</v>
      </c>
      <c r="CY80" s="280"/>
      <c r="CZ80" s="280" cm="1">
        <f t="array" ref="CZ80">_xlfn.IFS(Table9[[#This Row],[University/ Technical &amp; Vocational Institutions (15%)]]="", 0, Table9[[#This Row],[University/ Technical &amp; Vocational Institutions (15%)]]&gt;3, 4, Table9[[#This Row],[University/ Technical &amp; Vocational Institutions (15%)]]&lt;1, 0, TRUE, 2)</f>
        <v>0</v>
      </c>
      <c r="DA80" s="280">
        <f>Table9[[#This Row],[University/ Technical &amp; Vocational Institutions Score]]*'Detailed Rubric V3'!$O$92</f>
        <v>0</v>
      </c>
      <c r="DB80"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80" s="280"/>
      <c r="DD80" s="280" cm="1">
        <f t="array" ref="DD80">_xlfn.IFS(Table9[[#This Row],[Environment compliance (30%)]]="", 0, Table9[[#This Row],[Environment compliance (30%)]]="Yes", 4, TRUE, 0)</f>
        <v>0</v>
      </c>
      <c r="DE80" s="280">
        <f>Table9[[#This Row],[Environment compliance Score]]*'Detailed Rubric V3'!$C$104</f>
        <v>0</v>
      </c>
      <c r="DF80" s="280" t="s">
        <v>419</v>
      </c>
      <c r="DG80" s="280" cm="1">
        <f t="array" ref="DG80">_xlfn.IFS(Table9[[#This Row],[Flood Risk Index (30%)]]="", 0, Table9[[#This Row],[Flood Risk Index (30%)]]="Very Low", 4, Table9[[#This Row],[Flood Risk Index (30%)]]="Moderate &amp; Low", 2, TRUE, 0)</f>
        <v>2</v>
      </c>
      <c r="DH80" s="280">
        <f>Table9[[#This Row],[Flood Risk Index Score]]*'Detailed Rubric V3'!$F$104</f>
        <v>0.6</v>
      </c>
      <c r="DI80" s="280" t="s">
        <v>419</v>
      </c>
      <c r="DJ80" s="280" cm="1">
        <f t="array" ref="DJ80">_xlfn.IFS(Table9[[#This Row],[Earth Quake Risk Index (10%)]]="", 0, Table9[[#This Row],[Earth Quake Risk Index (10%)]]="Very Low", 4, Table9[[#This Row],[Earth Quake Risk Index (10%)]]="Moderate &amp; Low", 2, TRUE, 0)</f>
        <v>2</v>
      </c>
      <c r="DK80" s="280">
        <f>Table9[[#This Row],[Earth Quake Risk Index Score]]*'Detailed Rubric V3'!$I$104</f>
        <v>0.2</v>
      </c>
      <c r="DL80" s="280" t="s">
        <v>419</v>
      </c>
      <c r="DM80" s="280" cm="1">
        <f t="array" ref="DM80">_xlfn.IFS(Table9[[#This Row],[Sea Level Rise Risk Index (10%)]]="", 0, Table9[[#This Row],[Sea Level Rise Risk Index (10%)]]="Very Low", 4, Table9[[#This Row],[Sea Level Rise Risk Index (10%)]]="Moderate &amp; Low", 2, TRUE, 0)</f>
        <v>2</v>
      </c>
      <c r="DN80" s="280">
        <f>Table9[[#This Row],[Sea Level Rise  Risk Index Score]]*'Detailed Rubric V3'!$L$104</f>
        <v>0.2</v>
      </c>
      <c r="DO80" s="280" t="s">
        <v>420</v>
      </c>
      <c r="DP80" s="280" cm="1">
        <f t="array" ref="DP80">_xlfn.IFS(Table9[[#This Row],[Cyclone Risk Index (10%)]]="", 0, Table9[[#This Row],[Cyclone Risk Index (10%)]]="Very Low", 4, Table9[[#This Row],[Cyclone Risk Index (10%)]]="Moderate &amp; Low", 2, TRUE, 0)</f>
        <v>0</v>
      </c>
      <c r="DQ80" s="280">
        <f>Table9[[#This Row],[Cyclone Risk Index Score]]*'Detailed Rubric V3'!$O$104</f>
        <v>0</v>
      </c>
      <c r="DR80" s="280" t="s">
        <v>419</v>
      </c>
      <c r="DS80" s="280" cm="1">
        <f t="array" ref="DS80">_xlfn.IFS(Table9[[#This Row],[Storm Surge Risk Index (10%)]]="", 0, Table9[[#This Row],[Storm Surge Risk Index (10%)]]="Very Low", 4, Table9[[#This Row],[Storm Surge Risk Index (10%)]]="Moderate &amp; Low", 2, TRUE, 0)</f>
        <v>2</v>
      </c>
      <c r="DT80" s="280">
        <f>Table9[[#This Row],[Storm Surge Risk Index Score]]*'Detailed Rubric V3'!$R$104</f>
        <v>0.2</v>
      </c>
      <c r="DU80"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7.1999999999999995E-2</v>
      </c>
      <c r="DV80" s="309">
        <f>SUM(Table9[[#This Row],[2.1. Connectivity/ Logistics (10% weightage)]],Table9[[#This Row],[2.2. Utility (12% weightage)]],Table9[[#This Row],[2.3. Agglomeration effects (10% weightage)]],Table9[[#This Row],[2.4. Regional Policy (4% weightage)]],Table9[[#This Row],[2.5. Social (8% weightage)]],Table9[[#This Row],[2.6. Environment (6% weightage)]])</f>
        <v>7.1999999999999995E-2</v>
      </c>
      <c r="DW80" s="280">
        <f>_xlfn.RANK.EQ(Table9[[#This Row],[Level 2 Score]],$DV$3:$DV$103)</f>
        <v>83</v>
      </c>
      <c r="DX80" s="302">
        <f>Table9[[#This Row],[Level 1 Score]]+Table9[[#This Row],[Level 2 Score]]</f>
        <v>0.34200000000000003</v>
      </c>
      <c r="DY80" s="294">
        <f>_xlfn.RANK.EQ(Table9[[#This Row],[Total Score]],$DX$3:$DX$103)</f>
        <v>77</v>
      </c>
      <c r="DZ80" s="237" t="str">
        <f>IF(Table9[[#This Row],[Count of Blanks]]&lt;=2, "Yes", "No")</f>
        <v>No</v>
      </c>
      <c r="EA80" s="237">
        <f>COUNTBLANK(Table9[[#This Row],[Name]:[Total Score Rank]])</f>
        <v>23</v>
      </c>
      <c r="EB80" s="237"/>
    </row>
    <row r="81" spans="2:132" ht="27" x14ac:dyDescent="0.25">
      <c r="B81" s="220">
        <v>24</v>
      </c>
      <c r="C81" s="221" t="s">
        <v>172</v>
      </c>
      <c r="D81" s="220" t="s">
        <v>121</v>
      </c>
      <c r="E81" s="220" t="s">
        <v>173</v>
      </c>
      <c r="F81" s="220" t="s">
        <v>174</v>
      </c>
      <c r="G81" s="220" t="s">
        <v>70</v>
      </c>
      <c r="H81" s="525" t="s">
        <v>430</v>
      </c>
      <c r="I81" s="70" t="s">
        <v>455</v>
      </c>
      <c r="J81" s="227" t="s">
        <v>435</v>
      </c>
      <c r="K81" s="220">
        <f>IFERROR(VLOOKUP(Table9[[#This Row],[Land Availability (Grade)​
(50%)]],'Detailed Rubric V3'!$B$8:$C$11,2), 0)</f>
        <v>2</v>
      </c>
      <c r="L81" s="220">
        <f>IFERROR(Table9[[#This Row],[Land Availability (Grade)​ Score]]*'Detailed Rubric V3'!$C$6, "")</f>
        <v>1</v>
      </c>
      <c r="M81" s="222">
        <v>211.64</v>
      </c>
      <c r="N81" s="222" cm="1">
        <f t="array" ref="N81">_xlfn.IFS(Table9[[#This Row],[Land Size (Acres)
(15%)]]&lt;100,0,Table9[[#This Row],[Land Size (Acres)
(15%)]]&gt;500,4,TRUE,2)</f>
        <v>2</v>
      </c>
      <c r="O81" s="222">
        <f>Table9[[#This Row],[Land Size (Acres) Score]]*'Detailed Rubric V3'!$G$6</f>
        <v>0.3</v>
      </c>
      <c r="P81" s="526"/>
      <c r="Q81" s="526">
        <f>IFERROR(Table9[[#This Row],[Site Filling Cost (Mn BDT)]]/Table9[[#This Row],[Land Size (Acres)
(15%)]],"")</f>
        <v>0</v>
      </c>
      <c r="R81" s="526" cm="1">
        <f t="array" ref="R81">IF(Table9[[#This Row],[Name]]="Sitakundo Economic Zone", 4, _xlfn.IFS(Table9[[#This Row],[Site Filling Cost (Mn BDT)]]="",0,Table9[[#This Row],[Land Suitability
(Cost of Land Filling in Million BDT per acre)
(25%)]]&gt;5,0,Table9[[#This Row],[Land Suitability
(Cost of Land Filling in Million BDT per acre)
(25%)]]&lt;2,4,TRUE,2))</f>
        <v>0</v>
      </c>
      <c r="S81" s="526">
        <f>Table9[[#This Row],[Land Suitability for Construction Score]]*'Detailed Rubric V3'!$J$6</f>
        <v>0</v>
      </c>
      <c r="T81" s="526"/>
      <c r="U81" s="526">
        <f>IFERROR(Table9[[#This Row],[Embankment/Dyke Cost (Mn BDT)]]/Table9[[#This Row],[Land Size (Acres)
(15%)]], 0)</f>
        <v>0</v>
      </c>
      <c r="V81" s="526" cm="1">
        <f t="array" ref="V81">IF(Table9[[#This Row],[Name]]="Sitakundo Economic Zone", 2, _xlfn.IFS(Table9[[#This Row],[Embankment/Dyke Cost (Mn BDT)]]="",0,Table9[[#This Row],[Cost of DRRI Infrastructure in million BDT per acre
(10%)]]&gt;5,0,Table9[[#This Row],[Cost of DRRI Infrastructure in million BDT per acre
(10%)]]&lt;2,4,TRUE,2))</f>
        <v>0</v>
      </c>
      <c r="W81" s="526">
        <f>Table9[[#This Row],[Requirement for Distaster Risk Reduction &amp; Resilience Infrastructure Score]]*'Detailed Rubric V3'!$M$6</f>
        <v>0</v>
      </c>
      <c r="X81"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0.26</v>
      </c>
      <c r="Y81" s="227" t="s">
        <v>415</v>
      </c>
      <c r="Z81" s="210">
        <f>IFERROR(VLOOKUP(Table9[[#This Row],[Zone Priority
(40%)]],'Detailed Rubric V3'!$B$18:$C$21, 2,FALSE), 0)</f>
        <v>4</v>
      </c>
      <c r="AA81" s="210">
        <f>IFERROR(Table9[[#This Row],[Zone Priority Score]]*'Detailed Rubric V3'!$C$16, 0)</f>
        <v>0</v>
      </c>
      <c r="AB81" s="237" t="s">
        <v>441</v>
      </c>
      <c r="AC81" s="237">
        <f>VLOOKUP(Table9[[#This Row],[Existing BEZA Report
(60%)]],'Detailed Rubric V3'!$E$18:$F$20,2,FALSE)</f>
        <v>0</v>
      </c>
      <c r="AD81" s="237">
        <f>Table9[[#This Row],[Existing BEZA Report Score]]*'Detailed Rubric V3'!F$16</f>
        <v>0</v>
      </c>
      <c r="AE81" s="237">
        <f>(Table9[[#This Row],[Zone Priority Weighted Score]]+Table9[[#This Row],[Existing BEZA Report Weighted Score]])*'Detailed Rubric V3'!$C$14</f>
        <v>0</v>
      </c>
      <c r="AF81" s="528">
        <v>0</v>
      </c>
      <c r="AG81" s="529" cm="1">
        <f t="array" ref="AG81">_xlfn.IFS(Table9[[#This Row],[Existing Sectors
(50%)]]&gt;10, 4,Table9[[#This Row],[Existing Sectors
(50%)]]&lt;5, 0, TRUE, 2)</f>
        <v>0</v>
      </c>
      <c r="AH81" s="529">
        <f>Table9[[#This Row],[Existing Sectors Score]]*'Detailed Rubric V3'!$C$25</f>
        <v>0</v>
      </c>
      <c r="AI81" s="529">
        <v>0</v>
      </c>
      <c r="AJ81" s="529">
        <v>0</v>
      </c>
      <c r="AK81" s="529" cm="1">
        <f t="array" ref="AK81">_xlfn.IFS(Table9[[#This Row],[Potential New Sectors
(50%)]]&gt;5, 4, Table9[[#This Row],[Potential New Sectors
(50%)]]&lt;2,0, TRUE, 2)</f>
        <v>0</v>
      </c>
      <c r="AL81" s="529">
        <f>Table9[[#This Row],[Potential New Sectors Score]]*'Detailed Rubric V3'!$F$25</f>
        <v>0</v>
      </c>
      <c r="AM81" s="232">
        <f>(Table9[[#This Row],[Existing Sectors Weighted Score]]+Table9[[#This Row],[Potential New Sectors Weighted Score]])*'Detailed Rubric V3'!$C$23</f>
        <v>0</v>
      </c>
      <c r="AN81" s="530">
        <f>SUM(Table9[[#This Row],[1.1. Land Details (20% weightage)]],Table9[[#This Row],[1.2. BEZA Existing plans (15% weightage)]],Table9[[#This Row],[1.3. Sector Demand (15% weightage):]])</f>
        <v>0.26</v>
      </c>
      <c r="AO81" s="531">
        <f>_xlfn.RANK.EQ(Table9[[#This Row],[Level 1 Score]],$AN$3:$AN$103)</f>
        <v>77</v>
      </c>
      <c r="AP81" s="280"/>
      <c r="AQ81" s="280" cm="1">
        <f t="array" ref="AQ81">_xlfn.IFS(Table9[[#This Row],[National Highway Connectivity (km)
(15%)]]="", 0, Table9[[#This Row],[National Highway Connectivity (km)
(15%)]]&gt;50, 0, Table9[[#This Row],[National Highway Connectivity (km)
(15%)]]&lt;=25, 4, TRUE, 2)</f>
        <v>0</v>
      </c>
      <c r="AR81" s="280">
        <f>Table9[[#This Row],[National Highway Connectivity Score]]*'Detailed Rubric V3'!$C$35</f>
        <v>0</v>
      </c>
      <c r="AS81" s="280"/>
      <c r="AT81" s="280" cm="1">
        <f t="array" ref="AT81">_xlfn.IFS(Table9[[#This Row],[Connecting Road to Highway (km)
(15%)]]="", 0, Table9[[#This Row],[Connecting Road to Highway (km)
(15%)]]="Yes", 4, TRUE, 0)</f>
        <v>0</v>
      </c>
      <c r="AU81" s="280">
        <f>Table9[[#This Row],[Connecting Road to Highway Score]]*'Detailed Rubric V3'!$F$35</f>
        <v>0</v>
      </c>
      <c r="AV81" s="280"/>
      <c r="AW81" s="280" cm="1">
        <f t="array" ref="AW81">_xlfn.IFS(Table9[[#This Row],[Seaport Connectivity (km)
(30%)]]="",0, Table9[[#This Row],[Seaport Connectivity (km)
(30%)]]&gt;400, 0,Table9[[#This Row],[Seaport Connectivity (km)
(30%)]]&lt;=200,4, TRUE, 2)</f>
        <v>0</v>
      </c>
      <c r="AX81" s="280">
        <f>Table9[[#This Row],[Seaport Connectivity Score]]*'Detailed Rubric V3'!$I$35</f>
        <v>0</v>
      </c>
      <c r="AY81" s="280"/>
      <c r="AZ81" s="280" cm="1">
        <f t="array" ref="AZ81">_xlfn.IFS(Table9[[#This Row],[Airport Connectivity (km)
(10%)]]="", 0, Table9[[#This Row],[Airport Connectivity (km)
(10%)]]&gt;200, 0, Table9[[#This Row],[Airport Connectivity (km)
(10%)]]&lt;=100,4,TRUE, 2)</f>
        <v>0</v>
      </c>
      <c r="BA81" s="280">
        <f>Table9[[#This Row],[Airport Connectivity Score]]*'Detailed Rubric V3'!$C$41</f>
        <v>0</v>
      </c>
      <c r="BB81" s="280"/>
      <c r="BC81" s="280" cm="1">
        <f t="array" ref="BC81">_xlfn.IFS(Table9[[#This Row],[Railway Station (km)
(10%)]]="", 0, Table9[[#This Row],[Railway Station (km)
(10%)]]&gt;150, 0,Table9[[#This Row],[Railway Station (km)
(10%)]]&lt;=50,4, TRUE, 2)</f>
        <v>0</v>
      </c>
      <c r="BD81" s="280">
        <f>Table9[[#This Row],[Railway Station Score]]*'Detailed Rubric V3'!$F$41</f>
        <v>0</v>
      </c>
      <c r="BE81" s="280"/>
      <c r="BF81" s="280" cm="1">
        <f t="array" ref="BF81">_xlfn.IFS(Table9[[#This Row],[Inland waterway/ Land port (km)
(20%)]]="", 0, Table9[[#This Row],[Inland waterway/ Land port (km)
(20%)]]&gt;200, 0,Table9[[#This Row],[Inland waterway/ Land port (km)
(20%)]]&lt;=50,4, TRUE, 2)</f>
        <v>0</v>
      </c>
      <c r="BG81" s="280">
        <f>Table9[[#This Row],[Inland waterway/ Land port Score]]*'Detailed Rubric V3'!$I$41</f>
        <v>0</v>
      </c>
      <c r="BH81"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81" s="280"/>
      <c r="BJ81" s="280" cm="1">
        <f t="array" ref="BJ81">_xlfn.IFS(Table9[[#This Row],[Power Station (40%)]]="",0, Table9[[#This Row],[Power Station (40%)]]&gt;100, 0,Table9[[#This Row],[Power Station (40%)]]&lt;=50,4, TRUE, 2)</f>
        <v>0</v>
      </c>
      <c r="BK81" s="280">
        <f>Table9[[#This Row],[Power Station Score]]*'Detailed Rubric V3'!$C$53</f>
        <v>0</v>
      </c>
      <c r="BL81" s="280"/>
      <c r="BM81" s="280" cm="1">
        <f t="array" ref="BM81">IF(ISNUMBER(Table9[[#This Row],[Gas Station (20%)]]), _xlfn.IFS(Table9[[#This Row],[Gas Station (20%)]]="", 0, Table9[[#This Row],[Gas Station (20%)]]&gt;100, 0,Table9[[#This Row],[Gas Station (20%)]]&lt;=50,4, TRUE, 2), 0)</f>
        <v>0</v>
      </c>
      <c r="BN81" s="280">
        <f>Table9[[#This Row],[Gas Station Score]]*'Detailed Rubric V3'!$F$53</f>
        <v>0</v>
      </c>
      <c r="BO81" s="280"/>
      <c r="BP81" s="280" cm="1">
        <f t="array" ref="BP81">IF(ISNUMBER(Table9[[#This Row],[Source of Surface Water (40%)]]), _xlfn.IFS(Table9[[#This Row],[Source of Surface Water (40%)]]="", 0, Table9[[#This Row],[Source of Surface Water (40%)]]&gt;50, 0,Table9[[#This Row],[Source of Surface Water (40%)]]&lt;=20,4, TRUE, 2), 0)</f>
        <v>0</v>
      </c>
      <c r="BQ81" s="280">
        <f>Table9[[#This Row],[Source of Surface Water Score]]*'Detailed Rubric V3'!$I$53</f>
        <v>0</v>
      </c>
      <c r="BR81" s="280">
        <f>SUM(Table9[[#This Row],[Power Station Weighted Score]],Table9[[#This Row],[Gas Station Weighted Score]],Table9[[#This Row],[Source of Surface Water Weighted Score]])*'Detailed Rubric V3'!$C$51</f>
        <v>0</v>
      </c>
      <c r="BS81" s="280"/>
      <c r="BT81" s="280" cm="1">
        <f t="array" ref="BT81">_xlfn.IFS(Table9[[#This Row],[Other BEZA EZ (20%)]]="", 0, Table9[[#This Row],[Other BEZA EZ (20%)]]="Yes", 4, TRUE, 0)</f>
        <v>0</v>
      </c>
      <c r="BU81" s="280">
        <f>Table9[[#This Row],[Other BEZA EZ Score]]*'Detailed Rubric V3'!$C$66</f>
        <v>0</v>
      </c>
      <c r="BV81" s="280"/>
      <c r="BW81" s="280" cm="1">
        <f t="array" ref="BW81">_xlfn.IFS(Table9[[#This Row],[BEPZA/ BHPTA/ BSCIC (20%)]]="", 0, Table9[[#This Row],[BEPZA/ BHPTA/ BSCIC (20%)]]="Yes", 4, TRUE, 0)</f>
        <v>0</v>
      </c>
      <c r="BX81" s="280">
        <f>Table9[[#This Row],[BEPZA/ BHPTA/ BSCIC Score]]*'Detailed Rubric V3'!$F$66</f>
        <v>0</v>
      </c>
      <c r="BY81" s="280"/>
      <c r="BZ81" s="280" cm="1">
        <f t="array" ref="BZ81">_xlfn.IFS(Table9[[#This Row],[Cluster Industries (from SMI) (20%)]]="", 0, Table9[[#This Row],[Cluster Industries (from SMI) (20%)]]&gt;100, 4, Table9[[#This Row],[Cluster Industries (from SMI) (20%)]]&lt;50, 0, TRUE, 2)</f>
        <v>0</v>
      </c>
      <c r="CA81" s="280">
        <f>Table9[[#This Row],[Cluster Industries (from SMI) Score]]*'Detailed Rubric V3'!$I$66</f>
        <v>0</v>
      </c>
      <c r="CB81" s="280"/>
      <c r="CC81" s="280" cm="1">
        <f t="array" ref="CC81">_xlfn.IFS(Table9[[#This Row],[Located on Industrial corridor (40%)]]="", 0, Table9[[#This Row],[Located on Industrial corridor (40%)]]="Yes", 4, TRUE, 0)</f>
        <v>0</v>
      </c>
      <c r="CD81" s="280">
        <f>Table9[[#This Row],[Located on Industrial corridor Score]]*'Detailed Rubric V3'!$L$66</f>
        <v>0</v>
      </c>
      <c r="CE81" s="280">
        <f>SUM(Table9[[#This Row],[Other BEZA EZ Weighted Score]],Table9[[#This Row],[BEPZA/ BHPTA/ BSCIC Weighted Score]],Table9[[#This Row],[Unorganized (from SMI) Weighted Score]],Table9[[#This Row],[Located on Industrial corridor Weighted Score]])*'Detailed Rubric V3'!$C$64</f>
        <v>0</v>
      </c>
      <c r="CF81" s="280"/>
      <c r="CG81" s="280" cm="1">
        <f t="array" ref="CG81">_xlfn.IFS(Table9[[#This Row],[Economic/ Social priority (laggered area) (100%)]]="", 0, Table9[[#This Row],[Economic/ Social priority (laggered area) (100%)]]="Yes", 4, TRUE, 0)</f>
        <v>0</v>
      </c>
      <c r="CH81" s="280">
        <f>Table9[[#This Row],[Economic/ Social priority (laggered area) Score]]*'Detailed Rubric V3'!$C$82</f>
        <v>0</v>
      </c>
      <c r="CI81" s="280"/>
      <c r="CJ81" s="280" cm="1">
        <f t="array" ref="CJ81">_xlfn.IFS(Table9[[#This Row],[Regional Tax incentive  (0%)]]="", 0, Table9[[#This Row],[Regional Tax incentive  (0%)]]="Yes", 4, TRUE, 0)</f>
        <v>0</v>
      </c>
      <c r="CK81" s="280">
        <f>Table9[[#This Row],[Regional Tax incentive Score]]*'Detailed Rubric V3'!$F$82</f>
        <v>0</v>
      </c>
      <c r="CL81" s="280">
        <f>SUM(Table9[[#This Row],[Economic/ Social priority (laagered area) Weighted Score]],Table9[[#This Row],[Regional Tax incentive  Weighted Score]])*'Detailed Rubric V3'!$C$80</f>
        <v>0</v>
      </c>
      <c r="CM81" s="280"/>
      <c r="CN81" s="280" cm="1">
        <f t="array" ref="CN81">_xlfn.IFS(Table9[[#This Row],[Employable population (40%) 2013]]="", 0, Table9[[#This Row],[Employable population (40%) 2013]]&gt;200000, 4, Table9[[#This Row],[Employable population (40%) 2013]]&lt;100000,0, TRUE, 2)</f>
        <v>0</v>
      </c>
      <c r="CO81" s="280">
        <f>Table9[[#This Row],[Employable population Score]]*'Detailed Rubric V3'!$C$92</f>
        <v>0</v>
      </c>
      <c r="CP81" s="280"/>
      <c r="CQ81" s="280" cm="1">
        <f t="array" ref="CQ81">_xlfn.IFS(Table9[[#This Row],[Housing (20%)]]="", 0, Table9[[#This Row],[Housing (20%)]]&gt;50, 0, Table9[[#This Row],[Housing (20%)]]&lt;25, 4, TRUE, 2)</f>
        <v>0</v>
      </c>
      <c r="CR81" s="280">
        <f>Table9[[#This Row],[Housing Score]]*'Detailed Rubric V3'!$F$92</f>
        <v>0</v>
      </c>
      <c r="CS81" s="280"/>
      <c r="CT81" s="280" cm="1">
        <f t="array" ref="CT81">_xlfn.IFS(Table9[[#This Row],[Hotels (10%)]]="", 0, Table9[[#This Row],[Hotels (10%)]]&gt;25, 4, Table9[[#This Row],[Hotels (10%)]]&lt;5, 0, TRUE, 2)</f>
        <v>0</v>
      </c>
      <c r="CU81" s="280">
        <f>Table9[[#This Row],[Hotels Score]]*'Detailed Rubric V3'!$I$92</f>
        <v>0</v>
      </c>
      <c r="CV81" s="280"/>
      <c r="CW81" s="280" cm="1">
        <f t="array" ref="CW81">_xlfn.IFS(Table9[[#This Row],[Health (Hospital) (15%)]]="", 0, Table9[[#This Row],[Health (Hospital) (15%)]]&gt;10, 4, Table9[[#This Row],[Health (Hospital) (15%)]]&lt;5, 0, TRUE, 2)</f>
        <v>0</v>
      </c>
      <c r="CX81" s="280">
        <f>Table9[[#This Row],[Health (Hospital) Score]]*'Detailed Rubric V3'!$L$92</f>
        <v>0</v>
      </c>
      <c r="CY81" s="280"/>
      <c r="CZ81" s="280" cm="1">
        <f t="array" ref="CZ81">_xlfn.IFS(Table9[[#This Row],[University/ Technical &amp; Vocational Institutions (15%)]]="", 0, Table9[[#This Row],[University/ Technical &amp; Vocational Institutions (15%)]]&gt;3, 4, Table9[[#This Row],[University/ Technical &amp; Vocational Institutions (15%)]]&lt;1, 0, TRUE, 2)</f>
        <v>0</v>
      </c>
      <c r="DA81" s="280">
        <f>Table9[[#This Row],[University/ Technical &amp; Vocational Institutions Score]]*'Detailed Rubric V3'!$O$92</f>
        <v>0</v>
      </c>
      <c r="DB81"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81" s="280"/>
      <c r="DD81" s="280" cm="1">
        <f t="array" ref="DD81">_xlfn.IFS(Table9[[#This Row],[Environment compliance (30%)]]="", 0, Table9[[#This Row],[Environment compliance (30%)]]="Yes", 4, TRUE, 0)</f>
        <v>0</v>
      </c>
      <c r="DE81" s="280">
        <f>Table9[[#This Row],[Environment compliance Score]]*'Detailed Rubric V3'!$C$104</f>
        <v>0</v>
      </c>
      <c r="DF81" s="280" t="s">
        <v>421</v>
      </c>
      <c r="DG81" s="280" cm="1">
        <f t="array" ref="DG81">_xlfn.IFS(Table9[[#This Row],[Flood Risk Index (30%)]]="", 0, Table9[[#This Row],[Flood Risk Index (30%)]]="Very Low", 4, Table9[[#This Row],[Flood Risk Index (30%)]]="Moderate &amp; Low", 2, TRUE, 0)</f>
        <v>0</v>
      </c>
      <c r="DH81" s="280">
        <f>Table9[[#This Row],[Flood Risk Index Score]]*'Detailed Rubric V3'!$F$104</f>
        <v>0</v>
      </c>
      <c r="DI81" s="280" t="s">
        <v>421</v>
      </c>
      <c r="DJ81" s="280" cm="1">
        <f t="array" ref="DJ81">_xlfn.IFS(Table9[[#This Row],[Earth Quake Risk Index (10%)]]="", 0, Table9[[#This Row],[Earth Quake Risk Index (10%)]]="Very Low", 4, Table9[[#This Row],[Earth Quake Risk Index (10%)]]="Moderate &amp; Low", 2, TRUE, 0)</f>
        <v>0</v>
      </c>
      <c r="DK81" s="280">
        <f>Table9[[#This Row],[Earth Quake Risk Index Score]]*'Detailed Rubric V3'!$I$104</f>
        <v>0</v>
      </c>
      <c r="DL81" s="280" t="s">
        <v>428</v>
      </c>
      <c r="DM81" s="280" cm="1">
        <f t="array" ref="DM81">_xlfn.IFS(Table9[[#This Row],[Sea Level Rise Risk Index (10%)]]="", 0, Table9[[#This Row],[Sea Level Rise Risk Index (10%)]]="Very Low", 4, Table9[[#This Row],[Sea Level Rise Risk Index (10%)]]="Moderate &amp; Low", 2, TRUE, 0)</f>
        <v>4</v>
      </c>
      <c r="DN81" s="280">
        <f>Table9[[#This Row],[Sea Level Rise  Risk Index Score]]*'Detailed Rubric V3'!$L$104</f>
        <v>0.4</v>
      </c>
      <c r="DO81" s="280" t="s">
        <v>428</v>
      </c>
      <c r="DP81" s="280" cm="1">
        <f t="array" ref="DP81">_xlfn.IFS(Table9[[#This Row],[Cyclone Risk Index (10%)]]="", 0, Table9[[#This Row],[Cyclone Risk Index (10%)]]="Very Low", 4, Table9[[#This Row],[Cyclone Risk Index (10%)]]="Moderate &amp; Low", 2, TRUE, 0)</f>
        <v>4</v>
      </c>
      <c r="DQ81" s="280">
        <f>Table9[[#This Row],[Cyclone Risk Index Score]]*'Detailed Rubric V3'!$O$104</f>
        <v>0.4</v>
      </c>
      <c r="DR81" s="280" t="s">
        <v>428</v>
      </c>
      <c r="DS81" s="280" cm="1">
        <f t="array" ref="DS81">_xlfn.IFS(Table9[[#This Row],[Storm Surge Risk Index (10%)]]="", 0, Table9[[#This Row],[Storm Surge Risk Index (10%)]]="Very Low", 4, Table9[[#This Row],[Storm Surge Risk Index (10%)]]="Moderate &amp; Low", 2, TRUE, 0)</f>
        <v>4</v>
      </c>
      <c r="DT81" s="280">
        <f>Table9[[#This Row],[Storm Surge Risk Index Score]]*'Detailed Rubric V3'!$R$104</f>
        <v>0.4</v>
      </c>
      <c r="DU81"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7.2000000000000008E-2</v>
      </c>
      <c r="DV81" s="309">
        <f>SUM(Table9[[#This Row],[2.1. Connectivity/ Logistics (10% weightage)]],Table9[[#This Row],[2.2. Utility (12% weightage)]],Table9[[#This Row],[2.3. Agglomeration effects (10% weightage)]],Table9[[#This Row],[2.4. Regional Policy (4% weightage)]],Table9[[#This Row],[2.5. Social (8% weightage)]],Table9[[#This Row],[2.6. Environment (6% weightage)]])</f>
        <v>7.2000000000000008E-2</v>
      </c>
      <c r="DW81" s="280">
        <f>_xlfn.RANK.EQ(Table9[[#This Row],[Level 2 Score]],$DV$3:$DV$103)</f>
        <v>78</v>
      </c>
      <c r="DX81" s="302">
        <f>Table9[[#This Row],[Level 1 Score]]+Table9[[#This Row],[Level 2 Score]]</f>
        <v>0.33200000000000002</v>
      </c>
      <c r="DY81" s="294">
        <f>_xlfn.RANK.EQ(Table9[[#This Row],[Total Score]],$DX$3:$DX$103)</f>
        <v>79</v>
      </c>
      <c r="DZ81" s="237" t="str">
        <f>IF(Table9[[#This Row],[Count of Blanks]]&lt;=2, "Yes", "No")</f>
        <v>No</v>
      </c>
      <c r="EA81" s="237">
        <f>COUNTBLANK(Table9[[#This Row],[Name]:[Total Score Rank]])</f>
        <v>23</v>
      </c>
      <c r="EB81" s="237"/>
    </row>
    <row r="82" spans="2:132" x14ac:dyDescent="0.25">
      <c r="B82" s="225" t="s">
        <v>177</v>
      </c>
      <c r="C82" s="546" t="s">
        <v>178</v>
      </c>
      <c r="D82" s="225" t="s">
        <v>84</v>
      </c>
      <c r="E82" s="225" t="s">
        <v>179</v>
      </c>
      <c r="F82" s="225" t="s">
        <v>180</v>
      </c>
      <c r="G82" s="225"/>
      <c r="H82" s="547"/>
      <c r="I82" s="251" t="s">
        <v>454</v>
      </c>
      <c r="J82" s="511" t="s">
        <v>435</v>
      </c>
      <c r="K82" s="225">
        <f>IFERROR(VLOOKUP(Table9[[#This Row],[Land Availability (Grade)​
(50%)]],'Detailed Rubric V3'!$B$8:$C$11,2), 0)</f>
        <v>2</v>
      </c>
      <c r="L82" s="225">
        <f>IFERROR(Table9[[#This Row],[Land Availability (Grade)​ Score]]*'Detailed Rubric V3'!$C$6, "")</f>
        <v>1</v>
      </c>
      <c r="M82" s="225"/>
      <c r="N82" s="548" cm="1">
        <f t="array" ref="N82">_xlfn.IFS(Table9[[#This Row],[Land Size (Acres)
(15%)]]&lt;100,0,Table9[[#This Row],[Land Size (Acres)
(15%)]]&gt;500,4,TRUE,2)</f>
        <v>0</v>
      </c>
      <c r="O82" s="548">
        <f>Table9[[#This Row],[Land Size (Acres) Score]]*'Detailed Rubric V3'!$G$6</f>
        <v>0</v>
      </c>
      <c r="P82" s="549"/>
      <c r="Q82" s="549" t="str">
        <f>IFERROR(Table9[[#This Row],[Site Filling Cost (Mn BDT)]]/Table9[[#This Row],[Land Size (Acres)
(15%)]],"")</f>
        <v/>
      </c>
      <c r="R82" s="549" cm="1">
        <f t="array" ref="R82">IF(Table9[[#This Row],[Name]]="Sitakundo Economic Zone", 4, _xlfn.IFS(Table9[[#This Row],[Site Filling Cost (Mn BDT)]]="",0,Table9[[#This Row],[Land Suitability
(Cost of Land Filling in Million BDT per acre)
(25%)]]&gt;5,0,Table9[[#This Row],[Land Suitability
(Cost of Land Filling in Million BDT per acre)
(25%)]]&lt;2,4,TRUE,2))</f>
        <v>0</v>
      </c>
      <c r="S82" s="549">
        <f>Table9[[#This Row],[Land Suitability for Construction Score]]*'Detailed Rubric V3'!$J$6</f>
        <v>0</v>
      </c>
      <c r="T82" s="549"/>
      <c r="U82" s="549">
        <f>IFERROR(Table9[[#This Row],[Embankment/Dyke Cost (Mn BDT)]]/Table9[[#This Row],[Land Size (Acres)
(15%)]], 0)</f>
        <v>0</v>
      </c>
      <c r="V82" s="549" cm="1">
        <f t="array" ref="V82">IF(Table9[[#This Row],[Name]]="Sitakundo Economic Zone", 2, _xlfn.IFS(Table9[[#This Row],[Embankment/Dyke Cost (Mn BDT)]]="",0,Table9[[#This Row],[Cost of DRRI Infrastructure in million BDT per acre
(10%)]]&gt;5,0,Table9[[#This Row],[Cost of DRRI Infrastructure in million BDT per acre
(10%)]]&lt;2,4,TRUE,2))</f>
        <v>0</v>
      </c>
      <c r="W82" s="549">
        <f>Table9[[#This Row],[Requirement for Distaster Risk Reduction &amp; Resilience Infrastructure Score]]*'Detailed Rubric V3'!$M$6</f>
        <v>0</v>
      </c>
      <c r="X82" s="550">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v>
      </c>
      <c r="Y82" s="511" t="s">
        <v>415</v>
      </c>
      <c r="Z82" s="551">
        <f>IFERROR(VLOOKUP(Table9[[#This Row],[Zone Priority
(40%)]],'Detailed Rubric V3'!$B$18:$C$21, 2,FALSE), 0)</f>
        <v>4</v>
      </c>
      <c r="AA82" s="551">
        <f>IFERROR(Table9[[#This Row],[Zone Priority Score]]*'Detailed Rubric V3'!$C$16, 0)</f>
        <v>0</v>
      </c>
      <c r="AB82" s="518" t="s">
        <v>441</v>
      </c>
      <c r="AC82" s="518">
        <f>VLOOKUP(Table9[[#This Row],[Existing BEZA Report
(60%)]],'Detailed Rubric V3'!$E$18:$F$20,2,FALSE)</f>
        <v>0</v>
      </c>
      <c r="AD82" s="518">
        <f>Table9[[#This Row],[Existing BEZA Report Score]]*'Detailed Rubric V3'!F$16</f>
        <v>0</v>
      </c>
      <c r="AE82" s="518">
        <f>(Table9[[#This Row],[Zone Priority Weighted Score]]+Table9[[#This Row],[Existing BEZA Report Weighted Score]])*'Detailed Rubric V3'!$C$14</f>
        <v>0</v>
      </c>
      <c r="AF82" s="552">
        <v>0</v>
      </c>
      <c r="AG82" s="553" cm="1">
        <f t="array" ref="AG82">_xlfn.IFS(Table9[[#This Row],[Existing Sectors
(50%)]]&gt;10, 4,Table9[[#This Row],[Existing Sectors
(50%)]]&lt;5, 0, TRUE, 2)</f>
        <v>0</v>
      </c>
      <c r="AH82" s="553">
        <f>Table9[[#This Row],[Existing Sectors Score]]*'Detailed Rubric V3'!$C$25</f>
        <v>0</v>
      </c>
      <c r="AI82" s="553">
        <v>1</v>
      </c>
      <c r="AJ82" s="553">
        <v>1</v>
      </c>
      <c r="AK82" s="553" cm="1">
        <f t="array" ref="AK82">_xlfn.IFS(Table9[[#This Row],[Potential New Sectors
(50%)]]&gt;5, 4, Table9[[#This Row],[Potential New Sectors
(50%)]]&lt;2,0, TRUE, 2)</f>
        <v>0</v>
      </c>
      <c r="AL82" s="553">
        <f>Table9[[#This Row],[Potential New Sectors Score]]*'Detailed Rubric V3'!$F$25</f>
        <v>0</v>
      </c>
      <c r="AM82" s="554">
        <f>(Table9[[#This Row],[Existing Sectors Weighted Score]]+Table9[[#This Row],[Potential New Sectors Weighted Score]])*'Detailed Rubric V3'!$C$23</f>
        <v>0</v>
      </c>
      <c r="AN82" s="555">
        <f>SUM(Table9[[#This Row],[1.1. Land Details (20% weightage)]],Table9[[#This Row],[1.2. BEZA Existing plans (15% weightage)]],Table9[[#This Row],[1.3. Sector Demand (15% weightage):]])</f>
        <v>0.2</v>
      </c>
      <c r="AO82" s="556">
        <f>_xlfn.RANK.EQ(Table9[[#This Row],[Level 1 Score]],$AN$3:$AN$103)</f>
        <v>87</v>
      </c>
      <c r="AP82" s="280"/>
      <c r="AQ82" s="280" cm="1">
        <f t="array" ref="AQ82">_xlfn.IFS(Table9[[#This Row],[National Highway Connectivity (km)
(15%)]]="", 0, Table9[[#This Row],[National Highway Connectivity (km)
(15%)]]&gt;50, 0, Table9[[#This Row],[National Highway Connectivity (km)
(15%)]]&lt;=25, 4, TRUE, 2)</f>
        <v>0</v>
      </c>
      <c r="AR82" s="280">
        <f>Table9[[#This Row],[National Highway Connectivity Score]]*'Detailed Rubric V3'!$C$35</f>
        <v>0</v>
      </c>
      <c r="AS82" s="280"/>
      <c r="AT82" s="280" cm="1">
        <f t="array" ref="AT82">_xlfn.IFS(Table9[[#This Row],[Connecting Road to Highway (km)
(15%)]]="", 0, Table9[[#This Row],[Connecting Road to Highway (km)
(15%)]]="Yes", 4, TRUE, 0)</f>
        <v>0</v>
      </c>
      <c r="AU82" s="280">
        <f>Table9[[#This Row],[Connecting Road to Highway Score]]*'Detailed Rubric V3'!$F$35</f>
        <v>0</v>
      </c>
      <c r="AV82" s="280"/>
      <c r="AW82" s="280" cm="1">
        <f t="array" ref="AW82">_xlfn.IFS(Table9[[#This Row],[Seaport Connectivity (km)
(30%)]]="",0, Table9[[#This Row],[Seaport Connectivity (km)
(30%)]]&gt;400, 0,Table9[[#This Row],[Seaport Connectivity (km)
(30%)]]&lt;=200,4, TRUE, 2)</f>
        <v>0</v>
      </c>
      <c r="AX82" s="280">
        <f>Table9[[#This Row],[Seaport Connectivity Score]]*'Detailed Rubric V3'!$I$35</f>
        <v>0</v>
      </c>
      <c r="AY82" s="280"/>
      <c r="AZ82" s="280" cm="1">
        <f t="array" ref="AZ82">_xlfn.IFS(Table9[[#This Row],[Airport Connectivity (km)
(10%)]]="", 0, Table9[[#This Row],[Airport Connectivity (km)
(10%)]]&gt;200, 0, Table9[[#This Row],[Airport Connectivity (km)
(10%)]]&lt;=100,4,TRUE, 2)</f>
        <v>0</v>
      </c>
      <c r="BA82" s="280">
        <f>Table9[[#This Row],[Airport Connectivity Score]]*'Detailed Rubric V3'!$C$41</f>
        <v>0</v>
      </c>
      <c r="BB82" s="280"/>
      <c r="BC82" s="280" cm="1">
        <f t="array" ref="BC82">_xlfn.IFS(Table9[[#This Row],[Railway Station (km)
(10%)]]="", 0, Table9[[#This Row],[Railway Station (km)
(10%)]]&gt;150, 0,Table9[[#This Row],[Railway Station (km)
(10%)]]&lt;=50,4, TRUE, 2)</f>
        <v>0</v>
      </c>
      <c r="BD82" s="280">
        <f>Table9[[#This Row],[Railway Station Score]]*'Detailed Rubric V3'!$F$41</f>
        <v>0</v>
      </c>
      <c r="BE82" s="280"/>
      <c r="BF82" s="280" cm="1">
        <f t="array" ref="BF82">_xlfn.IFS(Table9[[#This Row],[Inland waterway/ Land port (km)
(20%)]]="", 0, Table9[[#This Row],[Inland waterway/ Land port (km)
(20%)]]&gt;200, 0,Table9[[#This Row],[Inland waterway/ Land port (km)
(20%)]]&lt;=50,4, TRUE, 2)</f>
        <v>0</v>
      </c>
      <c r="BG82" s="280">
        <f>Table9[[#This Row],[Inland waterway/ Land port Score]]*'Detailed Rubric V3'!$I$41</f>
        <v>0</v>
      </c>
      <c r="BH82"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82" s="280"/>
      <c r="BJ82" s="280" cm="1">
        <f t="array" ref="BJ82">_xlfn.IFS(Table9[[#This Row],[Power Station (40%)]]="",0, Table9[[#This Row],[Power Station (40%)]]&gt;100, 0,Table9[[#This Row],[Power Station (40%)]]&lt;=50,4, TRUE, 2)</f>
        <v>0</v>
      </c>
      <c r="BK82" s="280">
        <f>Table9[[#This Row],[Power Station Score]]*'Detailed Rubric V3'!$C$53</f>
        <v>0</v>
      </c>
      <c r="BL82" s="280"/>
      <c r="BM82" s="280" cm="1">
        <f t="array" ref="BM82">IF(ISNUMBER(Table9[[#This Row],[Gas Station (20%)]]), _xlfn.IFS(Table9[[#This Row],[Gas Station (20%)]]="", 0, Table9[[#This Row],[Gas Station (20%)]]&gt;100, 0,Table9[[#This Row],[Gas Station (20%)]]&lt;=50,4, TRUE, 2), 0)</f>
        <v>0</v>
      </c>
      <c r="BN82" s="280">
        <f>Table9[[#This Row],[Gas Station Score]]*'Detailed Rubric V3'!$F$53</f>
        <v>0</v>
      </c>
      <c r="BO82" s="280"/>
      <c r="BP82" s="280" cm="1">
        <f t="array" ref="BP82">IF(ISNUMBER(Table9[[#This Row],[Source of Surface Water (40%)]]), _xlfn.IFS(Table9[[#This Row],[Source of Surface Water (40%)]]="", 0, Table9[[#This Row],[Source of Surface Water (40%)]]&gt;50, 0,Table9[[#This Row],[Source of Surface Water (40%)]]&lt;=20,4, TRUE, 2), 0)</f>
        <v>0</v>
      </c>
      <c r="BQ82" s="280">
        <f>Table9[[#This Row],[Source of Surface Water Score]]*'Detailed Rubric V3'!$I$53</f>
        <v>0</v>
      </c>
      <c r="BR82" s="280">
        <f>SUM(Table9[[#This Row],[Power Station Weighted Score]],Table9[[#This Row],[Gas Station Weighted Score]],Table9[[#This Row],[Source of Surface Water Weighted Score]])*'Detailed Rubric V3'!$C$51</f>
        <v>0</v>
      </c>
      <c r="BS82" s="280"/>
      <c r="BT82" s="280" cm="1">
        <f t="array" ref="BT82">_xlfn.IFS(Table9[[#This Row],[Other BEZA EZ (20%)]]="", 0, Table9[[#This Row],[Other BEZA EZ (20%)]]="Yes", 4, TRUE, 0)</f>
        <v>0</v>
      </c>
      <c r="BU82" s="280">
        <f>Table9[[#This Row],[Other BEZA EZ Score]]*'Detailed Rubric V3'!$C$66</f>
        <v>0</v>
      </c>
      <c r="BV82" s="280"/>
      <c r="BW82" s="280" cm="1">
        <f t="array" ref="BW82">_xlfn.IFS(Table9[[#This Row],[BEPZA/ BHPTA/ BSCIC (20%)]]="", 0, Table9[[#This Row],[BEPZA/ BHPTA/ BSCIC (20%)]]="Yes", 4, TRUE, 0)</f>
        <v>0</v>
      </c>
      <c r="BX82" s="280">
        <f>Table9[[#This Row],[BEPZA/ BHPTA/ BSCIC Score]]*'Detailed Rubric V3'!$F$66</f>
        <v>0</v>
      </c>
      <c r="BY82" s="280"/>
      <c r="BZ82" s="280" cm="1">
        <f t="array" ref="BZ82">_xlfn.IFS(Table9[[#This Row],[Cluster Industries (from SMI) (20%)]]="", 0, Table9[[#This Row],[Cluster Industries (from SMI) (20%)]]&gt;100, 4, Table9[[#This Row],[Cluster Industries (from SMI) (20%)]]&lt;50, 0, TRUE, 2)</f>
        <v>0</v>
      </c>
      <c r="CA82" s="280">
        <f>Table9[[#This Row],[Cluster Industries (from SMI) Score]]*'Detailed Rubric V3'!$I$66</f>
        <v>0</v>
      </c>
      <c r="CB82" s="280"/>
      <c r="CC82" s="280" cm="1">
        <f t="array" ref="CC82">_xlfn.IFS(Table9[[#This Row],[Located on Industrial corridor (40%)]]="", 0, Table9[[#This Row],[Located on Industrial corridor (40%)]]="Yes", 4, TRUE, 0)</f>
        <v>0</v>
      </c>
      <c r="CD82" s="280">
        <f>Table9[[#This Row],[Located on Industrial corridor Score]]*'Detailed Rubric V3'!$L$66</f>
        <v>0</v>
      </c>
      <c r="CE82" s="280">
        <f>SUM(Table9[[#This Row],[Other BEZA EZ Weighted Score]],Table9[[#This Row],[BEPZA/ BHPTA/ BSCIC Weighted Score]],Table9[[#This Row],[Unorganized (from SMI) Weighted Score]],Table9[[#This Row],[Located on Industrial corridor Weighted Score]])*'Detailed Rubric V3'!$C$64</f>
        <v>0</v>
      </c>
      <c r="CF82" s="280"/>
      <c r="CG82" s="280" cm="1">
        <f t="array" ref="CG82">_xlfn.IFS(Table9[[#This Row],[Economic/ Social priority (laggered area) (100%)]]="", 0, Table9[[#This Row],[Economic/ Social priority (laggered area) (100%)]]="Yes", 4, TRUE, 0)</f>
        <v>0</v>
      </c>
      <c r="CH82" s="280">
        <f>Table9[[#This Row],[Economic/ Social priority (laggered area) Score]]*'Detailed Rubric V3'!$C$82</f>
        <v>0</v>
      </c>
      <c r="CI82" s="280"/>
      <c r="CJ82" s="280" cm="1">
        <f t="array" ref="CJ82">_xlfn.IFS(Table9[[#This Row],[Regional Tax incentive  (0%)]]="", 0, Table9[[#This Row],[Regional Tax incentive  (0%)]]="Yes", 4, TRUE, 0)</f>
        <v>0</v>
      </c>
      <c r="CK82" s="280">
        <f>Table9[[#This Row],[Regional Tax incentive Score]]*'Detailed Rubric V3'!$F$82</f>
        <v>0</v>
      </c>
      <c r="CL82" s="280">
        <f>SUM(Table9[[#This Row],[Economic/ Social priority (laagered area) Weighted Score]],Table9[[#This Row],[Regional Tax incentive  Weighted Score]])*'Detailed Rubric V3'!$C$80</f>
        <v>0</v>
      </c>
      <c r="CM82" s="280"/>
      <c r="CN82" s="280" cm="1">
        <f t="array" ref="CN82">_xlfn.IFS(Table9[[#This Row],[Employable population (40%) 2013]]="", 0, Table9[[#This Row],[Employable population (40%) 2013]]&gt;200000, 4, Table9[[#This Row],[Employable population (40%) 2013]]&lt;100000,0, TRUE, 2)</f>
        <v>0</v>
      </c>
      <c r="CO82" s="280">
        <f>Table9[[#This Row],[Employable population Score]]*'Detailed Rubric V3'!$C$92</f>
        <v>0</v>
      </c>
      <c r="CP82" s="280"/>
      <c r="CQ82" s="280" cm="1">
        <f t="array" ref="CQ82">_xlfn.IFS(Table9[[#This Row],[Housing (20%)]]="", 0, Table9[[#This Row],[Housing (20%)]]&gt;50, 0, Table9[[#This Row],[Housing (20%)]]&lt;25, 4, TRUE, 2)</f>
        <v>0</v>
      </c>
      <c r="CR82" s="280">
        <f>Table9[[#This Row],[Housing Score]]*'Detailed Rubric V3'!$F$92</f>
        <v>0</v>
      </c>
      <c r="CS82" s="280"/>
      <c r="CT82" s="280" cm="1">
        <f t="array" ref="CT82">_xlfn.IFS(Table9[[#This Row],[Hotels (10%)]]="", 0, Table9[[#This Row],[Hotels (10%)]]&gt;25, 4, Table9[[#This Row],[Hotels (10%)]]&lt;5, 0, TRUE, 2)</f>
        <v>0</v>
      </c>
      <c r="CU82" s="280">
        <f>Table9[[#This Row],[Hotels Score]]*'Detailed Rubric V3'!$I$92</f>
        <v>0</v>
      </c>
      <c r="CV82" s="280"/>
      <c r="CW82" s="280" cm="1">
        <f t="array" ref="CW82">_xlfn.IFS(Table9[[#This Row],[Health (Hospital) (15%)]]="", 0, Table9[[#This Row],[Health (Hospital) (15%)]]&gt;10, 4, Table9[[#This Row],[Health (Hospital) (15%)]]&lt;5, 0, TRUE, 2)</f>
        <v>0</v>
      </c>
      <c r="CX82" s="280">
        <f>Table9[[#This Row],[Health (Hospital) Score]]*'Detailed Rubric V3'!$L$92</f>
        <v>0</v>
      </c>
      <c r="CY82" s="280"/>
      <c r="CZ82" s="280" cm="1">
        <f t="array" ref="CZ82">_xlfn.IFS(Table9[[#This Row],[University/ Technical &amp; Vocational Institutions (15%)]]="", 0, Table9[[#This Row],[University/ Technical &amp; Vocational Institutions (15%)]]&gt;3, 4, Table9[[#This Row],[University/ Technical &amp; Vocational Institutions (15%)]]&lt;1, 0, TRUE, 2)</f>
        <v>0</v>
      </c>
      <c r="DA82" s="280">
        <f>Table9[[#This Row],[University/ Technical &amp; Vocational Institutions Score]]*'Detailed Rubric V3'!$O$92</f>
        <v>0</v>
      </c>
      <c r="DB82"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82" s="280"/>
      <c r="DD82" s="280" cm="1">
        <f t="array" ref="DD82">_xlfn.IFS(Table9[[#This Row],[Environment compliance (30%)]]="", 0, Table9[[#This Row],[Environment compliance (30%)]]="Yes", 4, TRUE, 0)</f>
        <v>0</v>
      </c>
      <c r="DE82" s="280">
        <f>Table9[[#This Row],[Environment compliance Score]]*'Detailed Rubric V3'!$C$104</f>
        <v>0</v>
      </c>
      <c r="DF82" s="280" t="s">
        <v>428</v>
      </c>
      <c r="DG82" s="280" cm="1">
        <f t="array" ref="DG82">_xlfn.IFS(Table9[[#This Row],[Flood Risk Index (30%)]]="", 0, Table9[[#This Row],[Flood Risk Index (30%)]]="Very Low", 4, Table9[[#This Row],[Flood Risk Index (30%)]]="Moderate &amp; Low", 2, TRUE, 0)</f>
        <v>4</v>
      </c>
      <c r="DH82" s="280">
        <f>Table9[[#This Row],[Flood Risk Index Score]]*'Detailed Rubric V3'!$F$104</f>
        <v>1.2</v>
      </c>
      <c r="DI82" s="280" t="s">
        <v>428</v>
      </c>
      <c r="DJ82" s="280" cm="1">
        <f t="array" ref="DJ82">_xlfn.IFS(Table9[[#This Row],[Earth Quake Risk Index (10%)]]="", 0, Table9[[#This Row],[Earth Quake Risk Index (10%)]]="Very Low", 4, Table9[[#This Row],[Earth Quake Risk Index (10%)]]="Moderate &amp; Low", 2, TRUE, 0)</f>
        <v>4</v>
      </c>
      <c r="DK82" s="280">
        <f>Table9[[#This Row],[Earth Quake Risk Index Score]]*'Detailed Rubric V3'!$I$104</f>
        <v>0.4</v>
      </c>
      <c r="DL82" s="280" t="s">
        <v>419</v>
      </c>
      <c r="DM82" s="280" cm="1">
        <f t="array" ref="DM82">_xlfn.IFS(Table9[[#This Row],[Sea Level Rise Risk Index (10%)]]="", 0, Table9[[#This Row],[Sea Level Rise Risk Index (10%)]]="Very Low", 4, Table9[[#This Row],[Sea Level Rise Risk Index (10%)]]="Moderate &amp; Low", 2, TRUE, 0)</f>
        <v>2</v>
      </c>
      <c r="DN82" s="280">
        <f>Table9[[#This Row],[Sea Level Rise  Risk Index Score]]*'Detailed Rubric V3'!$L$104</f>
        <v>0.2</v>
      </c>
      <c r="DO82" s="280" t="s">
        <v>420</v>
      </c>
      <c r="DP82" s="280" cm="1">
        <f t="array" ref="DP82">_xlfn.IFS(Table9[[#This Row],[Cyclone Risk Index (10%)]]="", 0, Table9[[#This Row],[Cyclone Risk Index (10%)]]="Very Low", 4, Table9[[#This Row],[Cyclone Risk Index (10%)]]="Moderate &amp; Low", 2, TRUE, 0)</f>
        <v>0</v>
      </c>
      <c r="DQ82" s="280">
        <f>Table9[[#This Row],[Cyclone Risk Index Score]]*'Detailed Rubric V3'!$O$104</f>
        <v>0</v>
      </c>
      <c r="DR82" s="280" t="s">
        <v>419</v>
      </c>
      <c r="DS82" s="280" cm="1">
        <f t="array" ref="DS82">_xlfn.IFS(Table9[[#This Row],[Storm Surge Risk Index (10%)]]="", 0, Table9[[#This Row],[Storm Surge Risk Index (10%)]]="Very Low", 4, Table9[[#This Row],[Storm Surge Risk Index (10%)]]="Moderate &amp; Low", 2, TRUE, 0)</f>
        <v>2</v>
      </c>
      <c r="DT82" s="280">
        <f>Table9[[#This Row],[Storm Surge Risk Index Score]]*'Detailed Rubric V3'!$R$104</f>
        <v>0.2</v>
      </c>
      <c r="DU82"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0.12</v>
      </c>
      <c r="DV82" s="309">
        <f>SUM(Table9[[#This Row],[2.1. Connectivity/ Logistics (10% weightage)]],Table9[[#This Row],[2.2. Utility (12% weightage)]],Table9[[#This Row],[2.3. Agglomeration effects (10% weightage)]],Table9[[#This Row],[2.4. Regional Policy (4% weightage)]],Table9[[#This Row],[2.5. Social (8% weightage)]],Table9[[#This Row],[2.6. Environment (6% weightage)]])</f>
        <v>0.12</v>
      </c>
      <c r="DW82" s="280">
        <f>_xlfn.RANK.EQ(Table9[[#This Row],[Level 2 Score]],$DV$3:$DV$103)</f>
        <v>61</v>
      </c>
      <c r="DX82" s="302">
        <f>Table9[[#This Row],[Level 1 Score]]+Table9[[#This Row],[Level 2 Score]]</f>
        <v>0.32</v>
      </c>
      <c r="DY82" s="294">
        <f>_xlfn.RANK.EQ(Table9[[#This Row],[Total Score]],$DX$3:$DX$103)</f>
        <v>80</v>
      </c>
      <c r="DZ82" s="237" t="str">
        <f>IF(Table9[[#This Row],[Count of Blanks]]&lt;=2, "Yes", "No")</f>
        <v>No</v>
      </c>
      <c r="EA82" s="237">
        <f>COUNTBLANK(Table9[[#This Row],[Name]:[Total Score Rank]])</f>
        <v>27</v>
      </c>
      <c r="EB82" s="237"/>
    </row>
    <row r="83" spans="2:132" ht="27" x14ac:dyDescent="0.25">
      <c r="B83" s="220">
        <v>41</v>
      </c>
      <c r="C83" s="221" t="s">
        <v>182</v>
      </c>
      <c r="D83" s="220" t="s">
        <v>113</v>
      </c>
      <c r="E83" s="220" t="s">
        <v>130</v>
      </c>
      <c r="F83" s="220" t="s">
        <v>183</v>
      </c>
      <c r="G83" s="220" t="s">
        <v>70</v>
      </c>
      <c r="H83" s="525" t="s">
        <v>430</v>
      </c>
      <c r="I83" s="70" t="s">
        <v>469</v>
      </c>
      <c r="J83" s="227" t="s">
        <v>444</v>
      </c>
      <c r="K83" s="220">
        <f>IFERROR(VLOOKUP(Table9[[#This Row],[Land Availability (Grade)​
(50%)]],'Detailed Rubric V3'!$B$8:$C$11,2), 0)</f>
        <v>0</v>
      </c>
      <c r="L83" s="220">
        <f>IFERROR(Table9[[#This Row],[Land Availability (Grade)​ Score]]*'Detailed Rubric V3'!$C$6, "")</f>
        <v>0</v>
      </c>
      <c r="M83" s="222">
        <v>300</v>
      </c>
      <c r="N83" s="222" cm="1">
        <f t="array" ref="N83">_xlfn.IFS(Table9[[#This Row],[Land Size (Acres)
(15%)]]&lt;100,0,Table9[[#This Row],[Land Size (Acres)
(15%)]]&gt;500,4,TRUE,2)</f>
        <v>2</v>
      </c>
      <c r="O83" s="222">
        <f>Table9[[#This Row],[Land Size (Acres) Score]]*'Detailed Rubric V3'!$G$6</f>
        <v>0.3</v>
      </c>
      <c r="P83" s="526"/>
      <c r="Q83" s="526">
        <f>IFERROR(Table9[[#This Row],[Site Filling Cost (Mn BDT)]]/Table9[[#This Row],[Land Size (Acres)
(15%)]],"")</f>
        <v>0</v>
      </c>
      <c r="R83" s="526" cm="1">
        <f t="array" ref="R83">IF(Table9[[#This Row],[Name]]="Sitakundo Economic Zone", 4, _xlfn.IFS(Table9[[#This Row],[Site Filling Cost (Mn BDT)]]="",0,Table9[[#This Row],[Land Suitability
(Cost of Land Filling in Million BDT per acre)
(25%)]]&gt;5,0,Table9[[#This Row],[Land Suitability
(Cost of Land Filling in Million BDT per acre)
(25%)]]&lt;2,4,TRUE,2))</f>
        <v>0</v>
      </c>
      <c r="S83" s="526">
        <f>Table9[[#This Row],[Land Suitability for Construction Score]]*'Detailed Rubric V3'!$J$6</f>
        <v>0</v>
      </c>
      <c r="T83" s="526"/>
      <c r="U83" s="526">
        <f>IFERROR(Table9[[#This Row],[Embankment/Dyke Cost (Mn BDT)]]/Table9[[#This Row],[Land Size (Acres)
(15%)]], 0)</f>
        <v>0</v>
      </c>
      <c r="V83" s="526" cm="1">
        <f t="array" ref="V83">IF(Table9[[#This Row],[Name]]="Sitakundo Economic Zone", 2, _xlfn.IFS(Table9[[#This Row],[Embankment/Dyke Cost (Mn BDT)]]="",0,Table9[[#This Row],[Cost of DRRI Infrastructure in million BDT per acre
(10%)]]&gt;5,0,Table9[[#This Row],[Cost of DRRI Infrastructure in million BDT per acre
(10%)]]&lt;2,4,TRUE,2))</f>
        <v>0</v>
      </c>
      <c r="W83" s="526">
        <f>Table9[[#This Row],[Requirement for Distaster Risk Reduction &amp; Resilience Infrastructure Score]]*'Detailed Rubric V3'!$M$6</f>
        <v>0</v>
      </c>
      <c r="X83"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83" s="452" t="s">
        <v>440</v>
      </c>
      <c r="Z83" s="210">
        <f>IFERROR(VLOOKUP(Table9[[#This Row],[Zone Priority
(40%)]],'Detailed Rubric V3'!$B$18:$C$21, 2,FALSE), 0)</f>
        <v>4</v>
      </c>
      <c r="AA83" s="210">
        <f>IFERROR(Table9[[#This Row],[Zone Priority Score]]*'Detailed Rubric V3'!$C$16, 0)</f>
        <v>0</v>
      </c>
      <c r="AB83" s="237" t="s">
        <v>441</v>
      </c>
      <c r="AC83" s="237">
        <f>VLOOKUP(Table9[[#This Row],[Existing BEZA Report
(60%)]],'Detailed Rubric V3'!$E$18:$F$20,2,FALSE)</f>
        <v>0</v>
      </c>
      <c r="AD83" s="237">
        <f>Table9[[#This Row],[Existing BEZA Report Score]]*'Detailed Rubric V3'!F$16</f>
        <v>0</v>
      </c>
      <c r="AE83" s="237">
        <f>(Table9[[#This Row],[Zone Priority Weighted Score]]+Table9[[#This Row],[Existing BEZA Report Weighted Score]])*'Detailed Rubric V3'!$C$14</f>
        <v>0</v>
      </c>
      <c r="AF83" s="528">
        <v>2</v>
      </c>
      <c r="AG83" s="529" cm="1">
        <f t="array" ref="AG83">_xlfn.IFS(Table9[[#This Row],[Existing Sectors
(50%)]]&gt;10, 4,Table9[[#This Row],[Existing Sectors
(50%)]]&lt;5, 0, TRUE, 2)</f>
        <v>0</v>
      </c>
      <c r="AH83" s="529">
        <f>Table9[[#This Row],[Existing Sectors Score]]*'Detailed Rubric V3'!$C$25</f>
        <v>0</v>
      </c>
      <c r="AI83" s="529">
        <v>4</v>
      </c>
      <c r="AJ83" s="529">
        <v>2</v>
      </c>
      <c r="AK83" s="529" cm="1">
        <f t="array" ref="AK83">_xlfn.IFS(Table9[[#This Row],[Potential New Sectors
(50%)]]&gt;5, 4, Table9[[#This Row],[Potential New Sectors
(50%)]]&lt;2,0, TRUE, 2)</f>
        <v>2</v>
      </c>
      <c r="AL83" s="529">
        <f>Table9[[#This Row],[Potential New Sectors Score]]*'Detailed Rubric V3'!$F$25</f>
        <v>1</v>
      </c>
      <c r="AM83" s="232">
        <f>(Table9[[#This Row],[Existing Sectors Weighted Score]]+Table9[[#This Row],[Potential New Sectors Weighted Score]])*'Detailed Rubric V3'!$C$23</f>
        <v>0.15</v>
      </c>
      <c r="AN83" s="530">
        <f>SUM(Table9[[#This Row],[1.1. Land Details (20% weightage)]],Table9[[#This Row],[1.2. BEZA Existing plans (15% weightage)]],Table9[[#This Row],[1.3. Sector Demand (15% weightage):]])</f>
        <v>0.21</v>
      </c>
      <c r="AO83" s="531">
        <f>_xlfn.RANK.EQ(Table9[[#This Row],[Level 1 Score]],$AN$3:$AN$103)</f>
        <v>81</v>
      </c>
      <c r="AP83" s="280"/>
      <c r="AQ83" s="280" cm="1">
        <f t="array" ref="AQ83">_xlfn.IFS(Table9[[#This Row],[National Highway Connectivity (km)
(15%)]]="", 0, Table9[[#This Row],[National Highway Connectivity (km)
(15%)]]&gt;50, 0, Table9[[#This Row],[National Highway Connectivity (km)
(15%)]]&lt;=25, 4, TRUE, 2)</f>
        <v>0</v>
      </c>
      <c r="AR83" s="280">
        <f>Table9[[#This Row],[National Highway Connectivity Score]]*'Detailed Rubric V3'!$C$35</f>
        <v>0</v>
      </c>
      <c r="AS83" s="280"/>
      <c r="AT83" s="280" cm="1">
        <f t="array" ref="AT83">_xlfn.IFS(Table9[[#This Row],[Connecting Road to Highway (km)
(15%)]]="", 0, Table9[[#This Row],[Connecting Road to Highway (km)
(15%)]]="Yes", 4, TRUE, 0)</f>
        <v>0</v>
      </c>
      <c r="AU83" s="280">
        <f>Table9[[#This Row],[Connecting Road to Highway Score]]*'Detailed Rubric V3'!$F$35</f>
        <v>0</v>
      </c>
      <c r="AV83" s="280"/>
      <c r="AW83" s="280" cm="1">
        <f t="array" ref="AW83">_xlfn.IFS(Table9[[#This Row],[Seaport Connectivity (km)
(30%)]]="",0, Table9[[#This Row],[Seaport Connectivity (km)
(30%)]]&gt;400, 0,Table9[[#This Row],[Seaport Connectivity (km)
(30%)]]&lt;=200,4, TRUE, 2)</f>
        <v>0</v>
      </c>
      <c r="AX83" s="280">
        <f>Table9[[#This Row],[Seaport Connectivity Score]]*'Detailed Rubric V3'!$I$35</f>
        <v>0</v>
      </c>
      <c r="AY83" s="280"/>
      <c r="AZ83" s="280" cm="1">
        <f t="array" ref="AZ83">_xlfn.IFS(Table9[[#This Row],[Airport Connectivity (km)
(10%)]]="", 0, Table9[[#This Row],[Airport Connectivity (km)
(10%)]]&gt;200, 0, Table9[[#This Row],[Airport Connectivity (km)
(10%)]]&lt;=100,4,TRUE, 2)</f>
        <v>0</v>
      </c>
      <c r="BA83" s="280">
        <f>Table9[[#This Row],[Airport Connectivity Score]]*'Detailed Rubric V3'!$C$41</f>
        <v>0</v>
      </c>
      <c r="BB83" s="280"/>
      <c r="BC83" s="280" cm="1">
        <f t="array" ref="BC83">_xlfn.IFS(Table9[[#This Row],[Railway Station (km)
(10%)]]="", 0, Table9[[#This Row],[Railway Station (km)
(10%)]]&gt;150, 0,Table9[[#This Row],[Railway Station (km)
(10%)]]&lt;=50,4, TRUE, 2)</f>
        <v>0</v>
      </c>
      <c r="BD83" s="280">
        <f>Table9[[#This Row],[Railway Station Score]]*'Detailed Rubric V3'!$F$41</f>
        <v>0</v>
      </c>
      <c r="BE83" s="280"/>
      <c r="BF83" s="280" cm="1">
        <f t="array" ref="BF83">_xlfn.IFS(Table9[[#This Row],[Inland waterway/ Land port (km)
(20%)]]="", 0, Table9[[#This Row],[Inland waterway/ Land port (km)
(20%)]]&gt;200, 0,Table9[[#This Row],[Inland waterway/ Land port (km)
(20%)]]&lt;=50,4, TRUE, 2)</f>
        <v>0</v>
      </c>
      <c r="BG83" s="280">
        <f>Table9[[#This Row],[Inland waterway/ Land port Score]]*'Detailed Rubric V3'!$I$41</f>
        <v>0</v>
      </c>
      <c r="BH83"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83" s="280"/>
      <c r="BJ83" s="280" cm="1">
        <f t="array" ref="BJ83">_xlfn.IFS(Table9[[#This Row],[Power Station (40%)]]="",0, Table9[[#This Row],[Power Station (40%)]]&gt;100, 0,Table9[[#This Row],[Power Station (40%)]]&lt;=50,4, TRUE, 2)</f>
        <v>0</v>
      </c>
      <c r="BK83" s="280">
        <f>Table9[[#This Row],[Power Station Score]]*'Detailed Rubric V3'!$C$53</f>
        <v>0</v>
      </c>
      <c r="BL83" s="280"/>
      <c r="BM83" s="280" cm="1">
        <f t="array" ref="BM83">IF(ISNUMBER(Table9[[#This Row],[Gas Station (20%)]]), _xlfn.IFS(Table9[[#This Row],[Gas Station (20%)]]="", 0, Table9[[#This Row],[Gas Station (20%)]]&gt;100, 0,Table9[[#This Row],[Gas Station (20%)]]&lt;=50,4, TRUE, 2), 0)</f>
        <v>0</v>
      </c>
      <c r="BN83" s="280">
        <f>Table9[[#This Row],[Gas Station Score]]*'Detailed Rubric V3'!$F$53</f>
        <v>0</v>
      </c>
      <c r="BO83" s="280"/>
      <c r="BP83" s="280" cm="1">
        <f t="array" ref="BP83">IF(ISNUMBER(Table9[[#This Row],[Source of Surface Water (40%)]]), _xlfn.IFS(Table9[[#This Row],[Source of Surface Water (40%)]]="", 0, Table9[[#This Row],[Source of Surface Water (40%)]]&gt;50, 0,Table9[[#This Row],[Source of Surface Water (40%)]]&lt;=20,4, TRUE, 2), 0)</f>
        <v>0</v>
      </c>
      <c r="BQ83" s="280">
        <f>Table9[[#This Row],[Source of Surface Water Score]]*'Detailed Rubric V3'!$I$53</f>
        <v>0</v>
      </c>
      <c r="BR83" s="280">
        <f>SUM(Table9[[#This Row],[Power Station Weighted Score]],Table9[[#This Row],[Gas Station Weighted Score]],Table9[[#This Row],[Source of Surface Water Weighted Score]])*'Detailed Rubric V3'!$C$51</f>
        <v>0</v>
      </c>
      <c r="BS83" s="280"/>
      <c r="BT83" s="280" cm="1">
        <f t="array" ref="BT83">_xlfn.IFS(Table9[[#This Row],[Other BEZA EZ (20%)]]="", 0, Table9[[#This Row],[Other BEZA EZ (20%)]]="Yes", 4, TRUE, 0)</f>
        <v>0</v>
      </c>
      <c r="BU83" s="280">
        <f>Table9[[#This Row],[Other BEZA EZ Score]]*'Detailed Rubric V3'!$C$66</f>
        <v>0</v>
      </c>
      <c r="BV83" s="280"/>
      <c r="BW83" s="280" cm="1">
        <f t="array" ref="BW83">_xlfn.IFS(Table9[[#This Row],[BEPZA/ BHPTA/ BSCIC (20%)]]="", 0, Table9[[#This Row],[BEPZA/ BHPTA/ BSCIC (20%)]]="Yes", 4, TRUE, 0)</f>
        <v>0</v>
      </c>
      <c r="BX83" s="280">
        <f>Table9[[#This Row],[BEPZA/ BHPTA/ BSCIC Score]]*'Detailed Rubric V3'!$F$66</f>
        <v>0</v>
      </c>
      <c r="BY83" s="280"/>
      <c r="BZ83" s="280" cm="1">
        <f t="array" ref="BZ83">_xlfn.IFS(Table9[[#This Row],[Cluster Industries (from SMI) (20%)]]="", 0, Table9[[#This Row],[Cluster Industries (from SMI) (20%)]]&gt;100, 4, Table9[[#This Row],[Cluster Industries (from SMI) (20%)]]&lt;50, 0, TRUE, 2)</f>
        <v>0</v>
      </c>
      <c r="CA83" s="280">
        <f>Table9[[#This Row],[Cluster Industries (from SMI) Score]]*'Detailed Rubric V3'!$I$66</f>
        <v>0</v>
      </c>
      <c r="CB83" s="280"/>
      <c r="CC83" s="280" cm="1">
        <f t="array" ref="CC83">_xlfn.IFS(Table9[[#This Row],[Located on Industrial corridor (40%)]]="", 0, Table9[[#This Row],[Located on Industrial corridor (40%)]]="Yes", 4, TRUE, 0)</f>
        <v>0</v>
      </c>
      <c r="CD83" s="280">
        <f>Table9[[#This Row],[Located on Industrial corridor Score]]*'Detailed Rubric V3'!$L$66</f>
        <v>0</v>
      </c>
      <c r="CE83" s="280">
        <f>SUM(Table9[[#This Row],[Other BEZA EZ Weighted Score]],Table9[[#This Row],[BEPZA/ BHPTA/ BSCIC Weighted Score]],Table9[[#This Row],[Unorganized (from SMI) Weighted Score]],Table9[[#This Row],[Located on Industrial corridor Weighted Score]])*'Detailed Rubric V3'!$C$64</f>
        <v>0</v>
      </c>
      <c r="CF83" s="280"/>
      <c r="CG83" s="280" cm="1">
        <f t="array" ref="CG83">_xlfn.IFS(Table9[[#This Row],[Economic/ Social priority (laggered area) (100%)]]="", 0, Table9[[#This Row],[Economic/ Social priority (laggered area) (100%)]]="Yes", 4, TRUE, 0)</f>
        <v>0</v>
      </c>
      <c r="CH83" s="280">
        <f>Table9[[#This Row],[Economic/ Social priority (laggered area) Score]]*'Detailed Rubric V3'!$C$82</f>
        <v>0</v>
      </c>
      <c r="CI83" s="280"/>
      <c r="CJ83" s="280" cm="1">
        <f t="array" ref="CJ83">_xlfn.IFS(Table9[[#This Row],[Regional Tax incentive  (0%)]]="", 0, Table9[[#This Row],[Regional Tax incentive  (0%)]]="Yes", 4, TRUE, 0)</f>
        <v>0</v>
      </c>
      <c r="CK83" s="280">
        <f>Table9[[#This Row],[Regional Tax incentive Score]]*'Detailed Rubric V3'!$F$82</f>
        <v>0</v>
      </c>
      <c r="CL83" s="280">
        <f>SUM(Table9[[#This Row],[Economic/ Social priority (laagered area) Weighted Score]],Table9[[#This Row],[Regional Tax incentive  Weighted Score]])*'Detailed Rubric V3'!$C$80</f>
        <v>0</v>
      </c>
      <c r="CM83" s="280"/>
      <c r="CN83" s="280" cm="1">
        <f t="array" ref="CN83">_xlfn.IFS(Table9[[#This Row],[Employable population (40%) 2013]]="", 0, Table9[[#This Row],[Employable population (40%) 2013]]&gt;200000, 4, Table9[[#This Row],[Employable population (40%) 2013]]&lt;100000,0, TRUE, 2)</f>
        <v>0</v>
      </c>
      <c r="CO83" s="280">
        <f>Table9[[#This Row],[Employable population Score]]*'Detailed Rubric V3'!$C$92</f>
        <v>0</v>
      </c>
      <c r="CP83" s="280"/>
      <c r="CQ83" s="280" cm="1">
        <f t="array" ref="CQ83">_xlfn.IFS(Table9[[#This Row],[Housing (20%)]]="", 0, Table9[[#This Row],[Housing (20%)]]&gt;50, 0, Table9[[#This Row],[Housing (20%)]]&lt;25, 4, TRUE, 2)</f>
        <v>0</v>
      </c>
      <c r="CR83" s="280">
        <f>Table9[[#This Row],[Housing Score]]*'Detailed Rubric V3'!$F$92</f>
        <v>0</v>
      </c>
      <c r="CS83" s="280"/>
      <c r="CT83" s="280" cm="1">
        <f t="array" ref="CT83">_xlfn.IFS(Table9[[#This Row],[Hotels (10%)]]="", 0, Table9[[#This Row],[Hotels (10%)]]&gt;25, 4, Table9[[#This Row],[Hotels (10%)]]&lt;5, 0, TRUE, 2)</f>
        <v>0</v>
      </c>
      <c r="CU83" s="280">
        <f>Table9[[#This Row],[Hotels Score]]*'Detailed Rubric V3'!$I$92</f>
        <v>0</v>
      </c>
      <c r="CV83" s="280"/>
      <c r="CW83" s="280" cm="1">
        <f t="array" ref="CW83">_xlfn.IFS(Table9[[#This Row],[Health (Hospital) (15%)]]="", 0, Table9[[#This Row],[Health (Hospital) (15%)]]&gt;10, 4, Table9[[#This Row],[Health (Hospital) (15%)]]&lt;5, 0, TRUE, 2)</f>
        <v>0</v>
      </c>
      <c r="CX83" s="280">
        <f>Table9[[#This Row],[Health (Hospital) Score]]*'Detailed Rubric V3'!$L$92</f>
        <v>0</v>
      </c>
      <c r="CY83" s="280"/>
      <c r="CZ83" s="280" cm="1">
        <f t="array" ref="CZ83">_xlfn.IFS(Table9[[#This Row],[University/ Technical &amp; Vocational Institutions (15%)]]="", 0, Table9[[#This Row],[University/ Technical &amp; Vocational Institutions (15%)]]&gt;3, 4, Table9[[#This Row],[University/ Technical &amp; Vocational Institutions (15%)]]&lt;1, 0, TRUE, 2)</f>
        <v>0</v>
      </c>
      <c r="DA83" s="280">
        <f>Table9[[#This Row],[University/ Technical &amp; Vocational Institutions Score]]*'Detailed Rubric V3'!$O$92</f>
        <v>0</v>
      </c>
      <c r="DB83"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83" s="280" t="s">
        <v>418</v>
      </c>
      <c r="DD83" s="280" cm="1">
        <f t="array" ref="DD83">_xlfn.IFS(Table9[[#This Row],[Environment compliance (30%)]]="", 0, Table9[[#This Row],[Environment compliance (30%)]]="Yes", 4, TRUE, 0)</f>
        <v>0</v>
      </c>
      <c r="DE83" s="280">
        <f>Table9[[#This Row],[Environment compliance Score]]*'Detailed Rubric V3'!$C$104</f>
        <v>0</v>
      </c>
      <c r="DF83" s="280" t="s">
        <v>419</v>
      </c>
      <c r="DG83" s="280" cm="1">
        <f t="array" ref="DG83">_xlfn.IFS(Table9[[#This Row],[Flood Risk Index (30%)]]="", 0, Table9[[#This Row],[Flood Risk Index (30%)]]="Very Low", 4, Table9[[#This Row],[Flood Risk Index (30%)]]="Moderate &amp; Low", 2, TRUE, 0)</f>
        <v>2</v>
      </c>
      <c r="DH83" s="280">
        <f>Table9[[#This Row],[Flood Risk Index Score]]*'Detailed Rubric V3'!$F$104</f>
        <v>0.6</v>
      </c>
      <c r="DI83" s="280" t="s">
        <v>419</v>
      </c>
      <c r="DJ83" s="280" cm="1">
        <f t="array" ref="DJ83">_xlfn.IFS(Table9[[#This Row],[Earth Quake Risk Index (10%)]]="", 0, Table9[[#This Row],[Earth Quake Risk Index (10%)]]="Very Low", 4, Table9[[#This Row],[Earth Quake Risk Index (10%)]]="Moderate &amp; Low", 2, TRUE, 0)</f>
        <v>2</v>
      </c>
      <c r="DK83" s="280">
        <f>Table9[[#This Row],[Earth Quake Risk Index Score]]*'Detailed Rubric V3'!$I$104</f>
        <v>0.2</v>
      </c>
      <c r="DL83" s="280" t="s">
        <v>428</v>
      </c>
      <c r="DM83" s="280" cm="1">
        <f t="array" ref="DM83">_xlfn.IFS(Table9[[#This Row],[Sea Level Rise Risk Index (10%)]]="", 0, Table9[[#This Row],[Sea Level Rise Risk Index (10%)]]="Very Low", 4, Table9[[#This Row],[Sea Level Rise Risk Index (10%)]]="Moderate &amp; Low", 2, TRUE, 0)</f>
        <v>4</v>
      </c>
      <c r="DN83" s="280">
        <f>Table9[[#This Row],[Sea Level Rise  Risk Index Score]]*'Detailed Rubric V3'!$L$104</f>
        <v>0.4</v>
      </c>
      <c r="DO83" s="280" t="s">
        <v>419</v>
      </c>
      <c r="DP83" s="280" cm="1">
        <f t="array" ref="DP83">_xlfn.IFS(Table9[[#This Row],[Cyclone Risk Index (10%)]]="", 0, Table9[[#This Row],[Cyclone Risk Index (10%)]]="Very Low", 4, Table9[[#This Row],[Cyclone Risk Index (10%)]]="Moderate &amp; Low", 2, TRUE, 0)</f>
        <v>2</v>
      </c>
      <c r="DQ83" s="280">
        <f>Table9[[#This Row],[Cyclone Risk Index Score]]*'Detailed Rubric V3'!$O$104</f>
        <v>0.2</v>
      </c>
      <c r="DR83" s="280" t="s">
        <v>428</v>
      </c>
      <c r="DS83" s="280" cm="1">
        <f t="array" ref="DS83">_xlfn.IFS(Table9[[#This Row],[Storm Surge Risk Index (10%)]]="", 0, Table9[[#This Row],[Storm Surge Risk Index (10%)]]="Very Low", 4, Table9[[#This Row],[Storm Surge Risk Index (10%)]]="Moderate &amp; Low", 2, TRUE, 0)</f>
        <v>4</v>
      </c>
      <c r="DT83" s="280">
        <f>Table9[[#This Row],[Storm Surge Risk Index Score]]*'Detailed Rubric V3'!$R$104</f>
        <v>0.4</v>
      </c>
      <c r="DU83"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83" s="309">
        <f>SUM(Table9[[#This Row],[2.1. Connectivity/ Logistics (10% weightage)]],Table9[[#This Row],[2.2. Utility (12% weightage)]],Table9[[#This Row],[2.3. Agglomeration effects (10% weightage)]],Table9[[#This Row],[2.4. Regional Policy (4% weightage)]],Table9[[#This Row],[2.5. Social (8% weightage)]],Table9[[#This Row],[2.6. Environment (6% weightage)]])</f>
        <v>0.10800000000000001</v>
      </c>
      <c r="DW83" s="280">
        <f>_xlfn.RANK.EQ(Table9[[#This Row],[Level 2 Score]],$DV$3:$DV$103)</f>
        <v>64</v>
      </c>
      <c r="DX83" s="302">
        <f>Table9[[#This Row],[Level 1 Score]]+Table9[[#This Row],[Level 2 Score]]</f>
        <v>0.318</v>
      </c>
      <c r="DY83" s="294">
        <f>_xlfn.RANK.EQ(Table9[[#This Row],[Total Score]],$DX$3:$DX$103)</f>
        <v>81</v>
      </c>
      <c r="DZ83" s="237" t="str">
        <f>IF(Table9[[#This Row],[Count of Blanks]]&lt;=2, "Yes", "No")</f>
        <v>No</v>
      </c>
      <c r="EA83" s="237">
        <f>COUNTBLANK(Table9[[#This Row],[Name]:[Total Score Rank]])</f>
        <v>22</v>
      </c>
      <c r="EB83" s="237"/>
    </row>
    <row r="84" spans="2:132" ht="27" x14ac:dyDescent="0.25">
      <c r="B84" s="220">
        <v>84</v>
      </c>
      <c r="C84" s="221" t="s">
        <v>184</v>
      </c>
      <c r="D84" s="220" t="s">
        <v>94</v>
      </c>
      <c r="E84" s="220" t="s">
        <v>152</v>
      </c>
      <c r="F84" s="220" t="s">
        <v>185</v>
      </c>
      <c r="G84" s="220" t="s">
        <v>92</v>
      </c>
      <c r="H84" s="525" t="s">
        <v>430</v>
      </c>
      <c r="I84" s="70" t="s">
        <v>455</v>
      </c>
      <c r="J84" s="227" t="s">
        <v>444</v>
      </c>
      <c r="K84" s="220">
        <f>IFERROR(VLOOKUP(Table9[[#This Row],[Land Availability (Grade)​
(50%)]],'Detailed Rubric V3'!$B$8:$C$11,2), 0)</f>
        <v>0</v>
      </c>
      <c r="L84" s="220">
        <f>IFERROR(Table9[[#This Row],[Land Availability (Grade)​ Score]]*'Detailed Rubric V3'!$C$6, "")</f>
        <v>0</v>
      </c>
      <c r="M84" s="222">
        <v>150</v>
      </c>
      <c r="N84" s="222" cm="1">
        <f t="array" ref="N84">_xlfn.IFS(Table9[[#This Row],[Land Size (Acres)
(15%)]]&lt;100,0,Table9[[#This Row],[Land Size (Acres)
(15%)]]&gt;500,4,TRUE,2)</f>
        <v>2</v>
      </c>
      <c r="O84" s="222">
        <f>Table9[[#This Row],[Land Size (Acres) Score]]*'Detailed Rubric V3'!$G$6</f>
        <v>0.3</v>
      </c>
      <c r="P84" s="526"/>
      <c r="Q84" s="526">
        <f>IFERROR(Table9[[#This Row],[Site Filling Cost (Mn BDT)]]/Table9[[#This Row],[Land Size (Acres)
(15%)]],"")</f>
        <v>0</v>
      </c>
      <c r="R84" s="526" cm="1">
        <f t="array" ref="R84">IF(Table9[[#This Row],[Name]]="Sitakundo Economic Zone", 4, _xlfn.IFS(Table9[[#This Row],[Site Filling Cost (Mn BDT)]]="",0,Table9[[#This Row],[Land Suitability
(Cost of Land Filling in Million BDT per acre)
(25%)]]&gt;5,0,Table9[[#This Row],[Land Suitability
(Cost of Land Filling in Million BDT per acre)
(25%)]]&lt;2,4,TRUE,2))</f>
        <v>0</v>
      </c>
      <c r="S84" s="526">
        <f>Table9[[#This Row],[Land Suitability for Construction Score]]*'Detailed Rubric V3'!$J$6</f>
        <v>0</v>
      </c>
      <c r="T84" s="526"/>
      <c r="U84" s="526">
        <f>IFERROR(Table9[[#This Row],[Embankment/Dyke Cost (Mn BDT)]]/Table9[[#This Row],[Land Size (Acres)
(15%)]], 0)</f>
        <v>0</v>
      </c>
      <c r="V84" s="526" cm="1">
        <f t="array" ref="V84">IF(Table9[[#This Row],[Name]]="Sitakundo Economic Zone", 2, _xlfn.IFS(Table9[[#This Row],[Embankment/Dyke Cost (Mn BDT)]]="",0,Table9[[#This Row],[Cost of DRRI Infrastructure in million BDT per acre
(10%)]]&gt;5,0,Table9[[#This Row],[Cost of DRRI Infrastructure in million BDT per acre
(10%)]]&lt;2,4,TRUE,2))</f>
        <v>0</v>
      </c>
      <c r="W84" s="526">
        <f>Table9[[#This Row],[Requirement for Distaster Risk Reduction &amp; Resilience Infrastructure Score]]*'Detailed Rubric V3'!$M$6</f>
        <v>0</v>
      </c>
      <c r="X84"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84" s="227" t="s">
        <v>440</v>
      </c>
      <c r="Z84" s="210">
        <f>IFERROR(VLOOKUP(Table9[[#This Row],[Zone Priority
(40%)]],'Detailed Rubric V3'!$B$18:$C$21, 2,FALSE), 0)</f>
        <v>4</v>
      </c>
      <c r="AA84" s="210">
        <f>IFERROR(Table9[[#This Row],[Zone Priority Score]]*'Detailed Rubric V3'!$C$16, 0)</f>
        <v>0</v>
      </c>
      <c r="AB84" s="237" t="s">
        <v>441</v>
      </c>
      <c r="AC84" s="237">
        <f>VLOOKUP(Table9[[#This Row],[Existing BEZA Report
(60%)]],'Detailed Rubric V3'!$E$18:$F$20,2,FALSE)</f>
        <v>0</v>
      </c>
      <c r="AD84" s="237">
        <f>Table9[[#This Row],[Existing BEZA Report Score]]*'Detailed Rubric V3'!F$16</f>
        <v>0</v>
      </c>
      <c r="AE84" s="237">
        <f>(Table9[[#This Row],[Zone Priority Weighted Score]]+Table9[[#This Row],[Existing BEZA Report Weighted Score]])*'Detailed Rubric V3'!$C$14</f>
        <v>0</v>
      </c>
      <c r="AF84" s="528">
        <v>5</v>
      </c>
      <c r="AG84" s="529" cm="1">
        <f t="array" ref="AG84">_xlfn.IFS(Table9[[#This Row],[Existing Sectors
(50%)]]&gt;10, 4,Table9[[#This Row],[Existing Sectors
(50%)]]&lt;5, 0, TRUE, 2)</f>
        <v>2</v>
      </c>
      <c r="AH84" s="529">
        <f>Table9[[#This Row],[Existing Sectors Score]]*'Detailed Rubric V3'!$C$25</f>
        <v>1</v>
      </c>
      <c r="AI84" s="529">
        <v>5</v>
      </c>
      <c r="AJ84" s="529">
        <v>0</v>
      </c>
      <c r="AK84" s="529" cm="1">
        <f t="array" ref="AK84">_xlfn.IFS(Table9[[#This Row],[Potential New Sectors
(50%)]]&gt;5, 4, Table9[[#This Row],[Potential New Sectors
(50%)]]&lt;2,0, TRUE, 2)</f>
        <v>0</v>
      </c>
      <c r="AL84" s="529">
        <f>Table9[[#This Row],[Potential New Sectors Score]]*'Detailed Rubric V3'!$F$25</f>
        <v>0</v>
      </c>
      <c r="AM84" s="232">
        <f>(Table9[[#This Row],[Existing Sectors Weighted Score]]+Table9[[#This Row],[Potential New Sectors Weighted Score]])*'Detailed Rubric V3'!$C$23</f>
        <v>0.15</v>
      </c>
      <c r="AN84" s="530">
        <f>SUM(Table9[[#This Row],[1.1. Land Details (20% weightage)]],Table9[[#This Row],[1.2. BEZA Existing plans (15% weightage)]],Table9[[#This Row],[1.3. Sector Demand (15% weightage):]])</f>
        <v>0.21</v>
      </c>
      <c r="AO84" s="531">
        <f>_xlfn.RANK.EQ(Table9[[#This Row],[Level 1 Score]],$AN$3:$AN$103)</f>
        <v>81</v>
      </c>
      <c r="AP84" s="280"/>
      <c r="AQ84" s="280" cm="1">
        <f t="array" ref="AQ84">_xlfn.IFS(Table9[[#This Row],[National Highway Connectivity (km)
(15%)]]="", 0, Table9[[#This Row],[National Highway Connectivity (km)
(15%)]]&gt;50, 0, Table9[[#This Row],[National Highway Connectivity (km)
(15%)]]&lt;=25, 4, TRUE, 2)</f>
        <v>0</v>
      </c>
      <c r="AR84" s="280">
        <f>Table9[[#This Row],[National Highway Connectivity Score]]*'Detailed Rubric V3'!$C$35</f>
        <v>0</v>
      </c>
      <c r="AS84" s="280"/>
      <c r="AT84" s="280" cm="1">
        <f t="array" ref="AT84">_xlfn.IFS(Table9[[#This Row],[Connecting Road to Highway (km)
(15%)]]="", 0, Table9[[#This Row],[Connecting Road to Highway (km)
(15%)]]="Yes", 4, TRUE, 0)</f>
        <v>0</v>
      </c>
      <c r="AU84" s="280">
        <f>Table9[[#This Row],[Connecting Road to Highway Score]]*'Detailed Rubric V3'!$F$35</f>
        <v>0</v>
      </c>
      <c r="AV84" s="280"/>
      <c r="AW84" s="280" cm="1">
        <f t="array" ref="AW84">_xlfn.IFS(Table9[[#This Row],[Seaport Connectivity (km)
(30%)]]="",0, Table9[[#This Row],[Seaport Connectivity (km)
(30%)]]&gt;400, 0,Table9[[#This Row],[Seaport Connectivity (km)
(30%)]]&lt;=200,4, TRUE, 2)</f>
        <v>0</v>
      </c>
      <c r="AX84" s="280">
        <f>Table9[[#This Row],[Seaport Connectivity Score]]*'Detailed Rubric V3'!$I$35</f>
        <v>0</v>
      </c>
      <c r="AY84" s="280"/>
      <c r="AZ84" s="280" cm="1">
        <f t="array" ref="AZ84">_xlfn.IFS(Table9[[#This Row],[Airport Connectivity (km)
(10%)]]="", 0, Table9[[#This Row],[Airport Connectivity (km)
(10%)]]&gt;200, 0, Table9[[#This Row],[Airport Connectivity (km)
(10%)]]&lt;=100,4,TRUE, 2)</f>
        <v>0</v>
      </c>
      <c r="BA84" s="280">
        <f>Table9[[#This Row],[Airport Connectivity Score]]*'Detailed Rubric V3'!$C$41</f>
        <v>0</v>
      </c>
      <c r="BB84" s="280"/>
      <c r="BC84" s="280" cm="1">
        <f t="array" ref="BC84">_xlfn.IFS(Table9[[#This Row],[Railway Station (km)
(10%)]]="", 0, Table9[[#This Row],[Railway Station (km)
(10%)]]&gt;150, 0,Table9[[#This Row],[Railway Station (km)
(10%)]]&lt;=50,4, TRUE, 2)</f>
        <v>0</v>
      </c>
      <c r="BD84" s="280">
        <f>Table9[[#This Row],[Railway Station Score]]*'Detailed Rubric V3'!$F$41</f>
        <v>0</v>
      </c>
      <c r="BE84" s="280"/>
      <c r="BF84" s="280" cm="1">
        <f t="array" ref="BF84">_xlfn.IFS(Table9[[#This Row],[Inland waterway/ Land port (km)
(20%)]]="", 0, Table9[[#This Row],[Inland waterway/ Land port (km)
(20%)]]&gt;200, 0,Table9[[#This Row],[Inland waterway/ Land port (km)
(20%)]]&lt;=50,4, TRUE, 2)</f>
        <v>0</v>
      </c>
      <c r="BG84" s="280">
        <f>Table9[[#This Row],[Inland waterway/ Land port Score]]*'Detailed Rubric V3'!$I$41</f>
        <v>0</v>
      </c>
      <c r="BH84"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84" s="280"/>
      <c r="BJ84" s="280" cm="1">
        <f t="array" ref="BJ84">_xlfn.IFS(Table9[[#This Row],[Power Station (40%)]]="",0, Table9[[#This Row],[Power Station (40%)]]&gt;100, 0,Table9[[#This Row],[Power Station (40%)]]&lt;=50,4, TRUE, 2)</f>
        <v>0</v>
      </c>
      <c r="BK84" s="280">
        <f>Table9[[#This Row],[Power Station Score]]*'Detailed Rubric V3'!$C$53</f>
        <v>0</v>
      </c>
      <c r="BL84" s="280"/>
      <c r="BM84" s="280" cm="1">
        <f t="array" ref="BM84">IF(ISNUMBER(Table9[[#This Row],[Gas Station (20%)]]), _xlfn.IFS(Table9[[#This Row],[Gas Station (20%)]]="", 0, Table9[[#This Row],[Gas Station (20%)]]&gt;100, 0,Table9[[#This Row],[Gas Station (20%)]]&lt;=50,4, TRUE, 2), 0)</f>
        <v>0</v>
      </c>
      <c r="BN84" s="280">
        <f>Table9[[#This Row],[Gas Station Score]]*'Detailed Rubric V3'!$F$53</f>
        <v>0</v>
      </c>
      <c r="BO84" s="280"/>
      <c r="BP84" s="280" cm="1">
        <f t="array" ref="BP84">IF(ISNUMBER(Table9[[#This Row],[Source of Surface Water (40%)]]), _xlfn.IFS(Table9[[#This Row],[Source of Surface Water (40%)]]="", 0, Table9[[#This Row],[Source of Surface Water (40%)]]&gt;50, 0,Table9[[#This Row],[Source of Surface Water (40%)]]&lt;=20,4, TRUE, 2), 0)</f>
        <v>0</v>
      </c>
      <c r="BQ84" s="280">
        <f>Table9[[#This Row],[Source of Surface Water Score]]*'Detailed Rubric V3'!$I$53</f>
        <v>0</v>
      </c>
      <c r="BR84" s="280">
        <f>SUM(Table9[[#This Row],[Power Station Weighted Score]],Table9[[#This Row],[Gas Station Weighted Score]],Table9[[#This Row],[Source of Surface Water Weighted Score]])*'Detailed Rubric V3'!$C$51</f>
        <v>0</v>
      </c>
      <c r="BS84" s="280"/>
      <c r="BT84" s="280" cm="1">
        <f t="array" ref="BT84">_xlfn.IFS(Table9[[#This Row],[Other BEZA EZ (20%)]]="", 0, Table9[[#This Row],[Other BEZA EZ (20%)]]="Yes", 4, TRUE, 0)</f>
        <v>0</v>
      </c>
      <c r="BU84" s="280">
        <f>Table9[[#This Row],[Other BEZA EZ Score]]*'Detailed Rubric V3'!$C$66</f>
        <v>0</v>
      </c>
      <c r="BV84" s="280"/>
      <c r="BW84" s="280" cm="1">
        <f t="array" ref="BW84">_xlfn.IFS(Table9[[#This Row],[BEPZA/ BHPTA/ BSCIC (20%)]]="", 0, Table9[[#This Row],[BEPZA/ BHPTA/ BSCIC (20%)]]="Yes", 4, TRUE, 0)</f>
        <v>0</v>
      </c>
      <c r="BX84" s="280">
        <f>Table9[[#This Row],[BEPZA/ BHPTA/ BSCIC Score]]*'Detailed Rubric V3'!$F$66</f>
        <v>0</v>
      </c>
      <c r="BY84" s="280"/>
      <c r="BZ84" s="280" cm="1">
        <f t="array" ref="BZ84">_xlfn.IFS(Table9[[#This Row],[Cluster Industries (from SMI) (20%)]]="", 0, Table9[[#This Row],[Cluster Industries (from SMI) (20%)]]&gt;100, 4, Table9[[#This Row],[Cluster Industries (from SMI) (20%)]]&lt;50, 0, TRUE, 2)</f>
        <v>0</v>
      </c>
      <c r="CA84" s="280">
        <f>Table9[[#This Row],[Cluster Industries (from SMI) Score]]*'Detailed Rubric V3'!$I$66</f>
        <v>0</v>
      </c>
      <c r="CB84" s="280"/>
      <c r="CC84" s="280" cm="1">
        <f t="array" ref="CC84">_xlfn.IFS(Table9[[#This Row],[Located on Industrial corridor (40%)]]="", 0, Table9[[#This Row],[Located on Industrial corridor (40%)]]="Yes", 4, TRUE, 0)</f>
        <v>0</v>
      </c>
      <c r="CD84" s="280">
        <f>Table9[[#This Row],[Located on Industrial corridor Score]]*'Detailed Rubric V3'!$L$66</f>
        <v>0</v>
      </c>
      <c r="CE84" s="280">
        <f>SUM(Table9[[#This Row],[Other BEZA EZ Weighted Score]],Table9[[#This Row],[BEPZA/ BHPTA/ BSCIC Weighted Score]],Table9[[#This Row],[Unorganized (from SMI) Weighted Score]],Table9[[#This Row],[Located on Industrial corridor Weighted Score]])*'Detailed Rubric V3'!$C$64</f>
        <v>0</v>
      </c>
      <c r="CF84" s="280"/>
      <c r="CG84" s="280" cm="1">
        <f t="array" ref="CG84">_xlfn.IFS(Table9[[#This Row],[Economic/ Social priority (laggered area) (100%)]]="", 0, Table9[[#This Row],[Economic/ Social priority (laggered area) (100%)]]="Yes", 4, TRUE, 0)</f>
        <v>0</v>
      </c>
      <c r="CH84" s="280">
        <f>Table9[[#This Row],[Economic/ Social priority (laggered area) Score]]*'Detailed Rubric V3'!$C$82</f>
        <v>0</v>
      </c>
      <c r="CI84" s="280"/>
      <c r="CJ84" s="280" cm="1">
        <f t="array" ref="CJ84">_xlfn.IFS(Table9[[#This Row],[Regional Tax incentive  (0%)]]="", 0, Table9[[#This Row],[Regional Tax incentive  (0%)]]="Yes", 4, TRUE, 0)</f>
        <v>0</v>
      </c>
      <c r="CK84" s="280">
        <f>Table9[[#This Row],[Regional Tax incentive Score]]*'Detailed Rubric V3'!$F$82</f>
        <v>0</v>
      </c>
      <c r="CL84" s="280">
        <f>SUM(Table9[[#This Row],[Economic/ Social priority (laagered area) Weighted Score]],Table9[[#This Row],[Regional Tax incentive  Weighted Score]])*'Detailed Rubric V3'!$C$80</f>
        <v>0</v>
      </c>
      <c r="CM84" s="280"/>
      <c r="CN84" s="280" cm="1">
        <f t="array" ref="CN84">_xlfn.IFS(Table9[[#This Row],[Employable population (40%) 2013]]="", 0, Table9[[#This Row],[Employable population (40%) 2013]]&gt;200000, 4, Table9[[#This Row],[Employable population (40%) 2013]]&lt;100000,0, TRUE, 2)</f>
        <v>0</v>
      </c>
      <c r="CO84" s="280">
        <f>Table9[[#This Row],[Employable population Score]]*'Detailed Rubric V3'!$C$92</f>
        <v>0</v>
      </c>
      <c r="CP84" s="280"/>
      <c r="CQ84" s="280" cm="1">
        <f t="array" ref="CQ84">_xlfn.IFS(Table9[[#This Row],[Housing (20%)]]="", 0, Table9[[#This Row],[Housing (20%)]]&gt;50, 0, Table9[[#This Row],[Housing (20%)]]&lt;25, 4, TRUE, 2)</f>
        <v>0</v>
      </c>
      <c r="CR84" s="280">
        <f>Table9[[#This Row],[Housing Score]]*'Detailed Rubric V3'!$F$92</f>
        <v>0</v>
      </c>
      <c r="CS84" s="280"/>
      <c r="CT84" s="280" cm="1">
        <f t="array" ref="CT84">_xlfn.IFS(Table9[[#This Row],[Hotels (10%)]]="", 0, Table9[[#This Row],[Hotels (10%)]]&gt;25, 4, Table9[[#This Row],[Hotels (10%)]]&lt;5, 0, TRUE, 2)</f>
        <v>0</v>
      </c>
      <c r="CU84" s="280">
        <f>Table9[[#This Row],[Hotels Score]]*'Detailed Rubric V3'!$I$92</f>
        <v>0</v>
      </c>
      <c r="CV84" s="280"/>
      <c r="CW84" s="280" cm="1">
        <f t="array" ref="CW84">_xlfn.IFS(Table9[[#This Row],[Health (Hospital) (15%)]]="", 0, Table9[[#This Row],[Health (Hospital) (15%)]]&gt;10, 4, Table9[[#This Row],[Health (Hospital) (15%)]]&lt;5, 0, TRUE, 2)</f>
        <v>0</v>
      </c>
      <c r="CX84" s="280">
        <f>Table9[[#This Row],[Health (Hospital) Score]]*'Detailed Rubric V3'!$L$92</f>
        <v>0</v>
      </c>
      <c r="CY84" s="280"/>
      <c r="CZ84" s="280" cm="1">
        <f t="array" ref="CZ84">_xlfn.IFS(Table9[[#This Row],[University/ Technical &amp; Vocational Institutions (15%)]]="", 0, Table9[[#This Row],[University/ Technical &amp; Vocational Institutions (15%)]]&gt;3, 4, Table9[[#This Row],[University/ Technical &amp; Vocational Institutions (15%)]]&lt;1, 0, TRUE, 2)</f>
        <v>0</v>
      </c>
      <c r="DA84" s="280">
        <f>Table9[[#This Row],[University/ Technical &amp; Vocational Institutions Score]]*'Detailed Rubric V3'!$O$92</f>
        <v>0</v>
      </c>
      <c r="DB84"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84" s="280"/>
      <c r="DD84" s="280" cm="1">
        <f t="array" ref="DD84">_xlfn.IFS(Table9[[#This Row],[Environment compliance (30%)]]="", 0, Table9[[#This Row],[Environment compliance (30%)]]="Yes", 4, TRUE, 0)</f>
        <v>0</v>
      </c>
      <c r="DE84" s="280">
        <f>Table9[[#This Row],[Environment compliance Score]]*'Detailed Rubric V3'!$C$104</f>
        <v>0</v>
      </c>
      <c r="DF84" s="280" t="s">
        <v>419</v>
      </c>
      <c r="DG84" s="280" cm="1">
        <f t="array" ref="DG84">_xlfn.IFS(Table9[[#This Row],[Flood Risk Index (30%)]]="", 0, Table9[[#This Row],[Flood Risk Index (30%)]]="Very Low", 4, Table9[[#This Row],[Flood Risk Index (30%)]]="Moderate &amp; Low", 2, TRUE, 0)</f>
        <v>2</v>
      </c>
      <c r="DH84" s="280">
        <f>Table9[[#This Row],[Flood Risk Index Score]]*'Detailed Rubric V3'!$F$104</f>
        <v>0.6</v>
      </c>
      <c r="DI84" s="280" t="s">
        <v>419</v>
      </c>
      <c r="DJ84" s="280" cm="1">
        <f t="array" ref="DJ84">_xlfn.IFS(Table9[[#This Row],[Earth Quake Risk Index (10%)]]="", 0, Table9[[#This Row],[Earth Quake Risk Index (10%)]]="Very Low", 4, Table9[[#This Row],[Earth Quake Risk Index (10%)]]="Moderate &amp; Low", 2, TRUE, 0)</f>
        <v>2</v>
      </c>
      <c r="DK84" s="280">
        <f>Table9[[#This Row],[Earth Quake Risk Index Score]]*'Detailed Rubric V3'!$I$104</f>
        <v>0.2</v>
      </c>
      <c r="DL84" s="280" t="s">
        <v>428</v>
      </c>
      <c r="DM84" s="280" cm="1">
        <f t="array" ref="DM84">_xlfn.IFS(Table9[[#This Row],[Sea Level Rise Risk Index (10%)]]="", 0, Table9[[#This Row],[Sea Level Rise Risk Index (10%)]]="Very Low", 4, Table9[[#This Row],[Sea Level Rise Risk Index (10%)]]="Moderate &amp; Low", 2, TRUE, 0)</f>
        <v>4</v>
      </c>
      <c r="DN84" s="280">
        <f>Table9[[#This Row],[Sea Level Rise  Risk Index Score]]*'Detailed Rubric V3'!$L$104</f>
        <v>0.4</v>
      </c>
      <c r="DO84" s="280" t="s">
        <v>419</v>
      </c>
      <c r="DP84" s="280" cm="1">
        <f t="array" ref="DP84">_xlfn.IFS(Table9[[#This Row],[Cyclone Risk Index (10%)]]="", 0, Table9[[#This Row],[Cyclone Risk Index (10%)]]="Very Low", 4, Table9[[#This Row],[Cyclone Risk Index (10%)]]="Moderate &amp; Low", 2, TRUE, 0)</f>
        <v>2</v>
      </c>
      <c r="DQ84" s="280">
        <f>Table9[[#This Row],[Cyclone Risk Index Score]]*'Detailed Rubric V3'!$O$104</f>
        <v>0.2</v>
      </c>
      <c r="DR84" s="280" t="s">
        <v>428</v>
      </c>
      <c r="DS84" s="280" cm="1">
        <f t="array" ref="DS84">_xlfn.IFS(Table9[[#This Row],[Storm Surge Risk Index (10%)]]="", 0, Table9[[#This Row],[Storm Surge Risk Index (10%)]]="Very Low", 4, Table9[[#This Row],[Storm Surge Risk Index (10%)]]="Moderate &amp; Low", 2, TRUE, 0)</f>
        <v>4</v>
      </c>
      <c r="DT84" s="280">
        <f>Table9[[#This Row],[Storm Surge Risk Index Score]]*'Detailed Rubric V3'!$R$104</f>
        <v>0.4</v>
      </c>
      <c r="DU84"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84" s="309">
        <f>SUM(Table9[[#This Row],[2.1. Connectivity/ Logistics (10% weightage)]],Table9[[#This Row],[2.2. Utility (12% weightage)]],Table9[[#This Row],[2.3. Agglomeration effects (10% weightage)]],Table9[[#This Row],[2.4. Regional Policy (4% weightage)]],Table9[[#This Row],[2.5. Social (8% weightage)]],Table9[[#This Row],[2.6. Environment (6% weightage)]])</f>
        <v>0.10800000000000001</v>
      </c>
      <c r="DW84" s="280">
        <f>_xlfn.RANK.EQ(Table9[[#This Row],[Level 2 Score]],$DV$3:$DV$103)</f>
        <v>64</v>
      </c>
      <c r="DX84" s="302">
        <f>Table9[[#This Row],[Level 1 Score]]+Table9[[#This Row],[Level 2 Score]]</f>
        <v>0.318</v>
      </c>
      <c r="DY84" s="294">
        <f>_xlfn.RANK.EQ(Table9[[#This Row],[Total Score]],$DX$3:$DX$103)</f>
        <v>81</v>
      </c>
      <c r="DZ84" s="237" t="str">
        <f>IF(Table9[[#This Row],[Count of Blanks]]&lt;=2, "Yes", "No")</f>
        <v>No</v>
      </c>
      <c r="EA84" s="237">
        <f>COUNTBLANK(Table9[[#This Row],[Name]:[Total Score Rank]])</f>
        <v>23</v>
      </c>
      <c r="EB84" s="237"/>
    </row>
    <row r="85" spans="2:132" ht="27" x14ac:dyDescent="0.25">
      <c r="B85" s="220">
        <v>91</v>
      </c>
      <c r="C85" s="221" t="s">
        <v>188</v>
      </c>
      <c r="D85" s="220" t="s">
        <v>76</v>
      </c>
      <c r="E85" s="220" t="s">
        <v>189</v>
      </c>
      <c r="F85" s="220" t="s">
        <v>190</v>
      </c>
      <c r="G85" s="220" t="s">
        <v>92</v>
      </c>
      <c r="H85" s="525" t="s">
        <v>410</v>
      </c>
      <c r="I85" s="70" t="s">
        <v>463</v>
      </c>
      <c r="J85" s="227" t="s">
        <v>435</v>
      </c>
      <c r="K85" s="220">
        <f>IFERROR(VLOOKUP(Table9[[#This Row],[Land Availability (Grade)​
(50%)]],'Detailed Rubric V3'!$B$8:$C$11,2), 0)</f>
        <v>2</v>
      </c>
      <c r="L85" s="220">
        <f>IFERROR(Table9[[#This Row],[Land Availability (Grade)​ Score]]*'Detailed Rubric V3'!$C$6, "")</f>
        <v>1</v>
      </c>
      <c r="M85" s="222">
        <v>92</v>
      </c>
      <c r="N85" s="222" cm="1">
        <f t="array" ref="N85">_xlfn.IFS(Table9[[#This Row],[Land Size (Acres)
(15%)]]&lt;100,0,Table9[[#This Row],[Land Size (Acres)
(15%)]]&gt;500,4,TRUE,2)</f>
        <v>0</v>
      </c>
      <c r="O85" s="222">
        <f>Table9[[#This Row],[Land Size (Acres) Score]]*'Detailed Rubric V3'!$G$6</f>
        <v>0</v>
      </c>
      <c r="P85" s="526"/>
      <c r="Q85" s="526">
        <f>IFERROR(Table9[[#This Row],[Site Filling Cost (Mn BDT)]]/Table9[[#This Row],[Land Size (Acres)
(15%)]],"")</f>
        <v>0</v>
      </c>
      <c r="R85" s="526" cm="1">
        <f t="array" ref="R85">IF(Table9[[#This Row],[Name]]="Sitakundo Economic Zone", 4, _xlfn.IFS(Table9[[#This Row],[Site Filling Cost (Mn BDT)]]="",0,Table9[[#This Row],[Land Suitability
(Cost of Land Filling in Million BDT per acre)
(25%)]]&gt;5,0,Table9[[#This Row],[Land Suitability
(Cost of Land Filling in Million BDT per acre)
(25%)]]&lt;2,4,TRUE,2))</f>
        <v>0</v>
      </c>
      <c r="S85" s="526">
        <f>Table9[[#This Row],[Land Suitability for Construction Score]]*'Detailed Rubric V3'!$J$6</f>
        <v>0</v>
      </c>
      <c r="T85" s="526"/>
      <c r="U85" s="526">
        <f>IFERROR(Table9[[#This Row],[Embankment/Dyke Cost (Mn BDT)]]/Table9[[#This Row],[Land Size (Acres)
(15%)]], 0)</f>
        <v>0</v>
      </c>
      <c r="V85" s="526" cm="1">
        <f t="array" ref="V85">IF(Table9[[#This Row],[Name]]="Sitakundo Economic Zone", 2, _xlfn.IFS(Table9[[#This Row],[Embankment/Dyke Cost (Mn BDT)]]="",0,Table9[[#This Row],[Cost of DRRI Infrastructure in million BDT per acre
(10%)]]&gt;5,0,Table9[[#This Row],[Cost of DRRI Infrastructure in million BDT per acre
(10%)]]&lt;2,4,TRUE,2))</f>
        <v>0</v>
      </c>
      <c r="W85" s="526">
        <f>Table9[[#This Row],[Requirement for Distaster Risk Reduction &amp; Resilience Infrastructure Score]]*'Detailed Rubric V3'!$M$6</f>
        <v>0</v>
      </c>
      <c r="X85"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0.2</v>
      </c>
      <c r="Y85" s="227" t="s">
        <v>440</v>
      </c>
      <c r="Z85" s="210">
        <f>IFERROR(VLOOKUP(Table9[[#This Row],[Zone Priority
(40%)]],'Detailed Rubric V3'!$B$18:$C$21, 2,FALSE), 0)</f>
        <v>4</v>
      </c>
      <c r="AA85" s="210">
        <f>IFERROR(Table9[[#This Row],[Zone Priority Score]]*'Detailed Rubric V3'!$C$16, 0)</f>
        <v>0</v>
      </c>
      <c r="AB85" s="237" t="s">
        <v>441</v>
      </c>
      <c r="AC85" s="237">
        <f>VLOOKUP(Table9[[#This Row],[Existing BEZA Report
(60%)]],'Detailed Rubric V3'!$E$18:$F$20,2,FALSE)</f>
        <v>0</v>
      </c>
      <c r="AD85" s="237">
        <f>Table9[[#This Row],[Existing BEZA Report Score]]*'Detailed Rubric V3'!F$16</f>
        <v>0</v>
      </c>
      <c r="AE85" s="237">
        <f>(Table9[[#This Row],[Zone Priority Weighted Score]]+Table9[[#This Row],[Existing BEZA Report Weighted Score]])*'Detailed Rubric V3'!$C$14</f>
        <v>0</v>
      </c>
      <c r="AF85" s="528">
        <v>0</v>
      </c>
      <c r="AG85" s="529" cm="1">
        <f t="array" ref="AG85">_xlfn.IFS(Table9[[#This Row],[Existing Sectors
(50%)]]&gt;10, 4,Table9[[#This Row],[Existing Sectors
(50%)]]&lt;5, 0, TRUE, 2)</f>
        <v>0</v>
      </c>
      <c r="AH85" s="529">
        <f>Table9[[#This Row],[Existing Sectors Score]]*'Detailed Rubric V3'!$C$25</f>
        <v>0</v>
      </c>
      <c r="AI85" s="529">
        <v>1</v>
      </c>
      <c r="AJ85" s="529">
        <v>1</v>
      </c>
      <c r="AK85" s="529" cm="1">
        <f t="array" ref="AK85">_xlfn.IFS(Table9[[#This Row],[Potential New Sectors
(50%)]]&gt;5, 4, Table9[[#This Row],[Potential New Sectors
(50%)]]&lt;2,0, TRUE, 2)</f>
        <v>0</v>
      </c>
      <c r="AL85" s="529">
        <f>Table9[[#This Row],[Potential New Sectors Score]]*'Detailed Rubric V3'!$F$25</f>
        <v>0</v>
      </c>
      <c r="AM85" s="232">
        <f>(Table9[[#This Row],[Existing Sectors Weighted Score]]+Table9[[#This Row],[Potential New Sectors Weighted Score]])*'Detailed Rubric V3'!$C$23</f>
        <v>0</v>
      </c>
      <c r="AN85" s="530">
        <f>SUM(Table9[[#This Row],[1.1. Land Details (20% weightage)]],Table9[[#This Row],[1.2. BEZA Existing plans (15% weightage)]],Table9[[#This Row],[1.3. Sector Demand (15% weightage):]])</f>
        <v>0.2</v>
      </c>
      <c r="AO85" s="531">
        <f>_xlfn.RANK.EQ(Table9[[#This Row],[Level 1 Score]],$AN$3:$AN$103)</f>
        <v>87</v>
      </c>
      <c r="AP85" s="280"/>
      <c r="AQ85" s="280" cm="1">
        <f t="array" ref="AQ85">_xlfn.IFS(Table9[[#This Row],[National Highway Connectivity (km)
(15%)]]="", 0, Table9[[#This Row],[National Highway Connectivity (km)
(15%)]]&gt;50, 0, Table9[[#This Row],[National Highway Connectivity (km)
(15%)]]&lt;=25, 4, TRUE, 2)</f>
        <v>0</v>
      </c>
      <c r="AR85" s="280">
        <f>Table9[[#This Row],[National Highway Connectivity Score]]*'Detailed Rubric V3'!$C$35</f>
        <v>0</v>
      </c>
      <c r="AS85" s="280"/>
      <c r="AT85" s="280" cm="1">
        <f t="array" ref="AT85">_xlfn.IFS(Table9[[#This Row],[Connecting Road to Highway (km)
(15%)]]="", 0, Table9[[#This Row],[Connecting Road to Highway (km)
(15%)]]="Yes", 4, TRUE, 0)</f>
        <v>0</v>
      </c>
      <c r="AU85" s="280">
        <f>Table9[[#This Row],[Connecting Road to Highway Score]]*'Detailed Rubric V3'!$F$35</f>
        <v>0</v>
      </c>
      <c r="AV85" s="280"/>
      <c r="AW85" s="280" cm="1">
        <f t="array" ref="AW85">_xlfn.IFS(Table9[[#This Row],[Seaport Connectivity (km)
(30%)]]="",0, Table9[[#This Row],[Seaport Connectivity (km)
(30%)]]&gt;400, 0,Table9[[#This Row],[Seaport Connectivity (km)
(30%)]]&lt;=200,4, TRUE, 2)</f>
        <v>0</v>
      </c>
      <c r="AX85" s="280">
        <f>Table9[[#This Row],[Seaport Connectivity Score]]*'Detailed Rubric V3'!$I$35</f>
        <v>0</v>
      </c>
      <c r="AY85" s="280"/>
      <c r="AZ85" s="280" cm="1">
        <f t="array" ref="AZ85">_xlfn.IFS(Table9[[#This Row],[Airport Connectivity (km)
(10%)]]="", 0, Table9[[#This Row],[Airport Connectivity (km)
(10%)]]&gt;200, 0, Table9[[#This Row],[Airport Connectivity (km)
(10%)]]&lt;=100,4,TRUE, 2)</f>
        <v>0</v>
      </c>
      <c r="BA85" s="280">
        <f>Table9[[#This Row],[Airport Connectivity Score]]*'Detailed Rubric V3'!$C$41</f>
        <v>0</v>
      </c>
      <c r="BB85" s="280"/>
      <c r="BC85" s="280" cm="1">
        <f t="array" ref="BC85">_xlfn.IFS(Table9[[#This Row],[Railway Station (km)
(10%)]]="", 0, Table9[[#This Row],[Railway Station (km)
(10%)]]&gt;150, 0,Table9[[#This Row],[Railway Station (km)
(10%)]]&lt;=50,4, TRUE, 2)</f>
        <v>0</v>
      </c>
      <c r="BD85" s="280">
        <f>Table9[[#This Row],[Railway Station Score]]*'Detailed Rubric V3'!$F$41</f>
        <v>0</v>
      </c>
      <c r="BE85" s="280"/>
      <c r="BF85" s="280" cm="1">
        <f t="array" ref="BF85">_xlfn.IFS(Table9[[#This Row],[Inland waterway/ Land port (km)
(20%)]]="", 0, Table9[[#This Row],[Inland waterway/ Land port (km)
(20%)]]&gt;200, 0,Table9[[#This Row],[Inland waterway/ Land port (km)
(20%)]]&lt;=50,4, TRUE, 2)</f>
        <v>0</v>
      </c>
      <c r="BG85" s="280">
        <f>Table9[[#This Row],[Inland waterway/ Land port Score]]*'Detailed Rubric V3'!$I$41</f>
        <v>0</v>
      </c>
      <c r="BH85"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85" s="280"/>
      <c r="BJ85" s="280" cm="1">
        <f t="array" ref="BJ85">_xlfn.IFS(Table9[[#This Row],[Power Station (40%)]]="",0, Table9[[#This Row],[Power Station (40%)]]&gt;100, 0,Table9[[#This Row],[Power Station (40%)]]&lt;=50,4, TRUE, 2)</f>
        <v>0</v>
      </c>
      <c r="BK85" s="280">
        <f>Table9[[#This Row],[Power Station Score]]*'Detailed Rubric V3'!$C$53</f>
        <v>0</v>
      </c>
      <c r="BL85" s="280"/>
      <c r="BM85" s="280" cm="1">
        <f t="array" ref="BM85">IF(ISNUMBER(Table9[[#This Row],[Gas Station (20%)]]), _xlfn.IFS(Table9[[#This Row],[Gas Station (20%)]]="", 0, Table9[[#This Row],[Gas Station (20%)]]&gt;100, 0,Table9[[#This Row],[Gas Station (20%)]]&lt;=50,4, TRUE, 2), 0)</f>
        <v>0</v>
      </c>
      <c r="BN85" s="280">
        <f>Table9[[#This Row],[Gas Station Score]]*'Detailed Rubric V3'!$F$53</f>
        <v>0</v>
      </c>
      <c r="BO85" s="280"/>
      <c r="BP85" s="280" cm="1">
        <f t="array" ref="BP85">IF(ISNUMBER(Table9[[#This Row],[Source of Surface Water (40%)]]), _xlfn.IFS(Table9[[#This Row],[Source of Surface Water (40%)]]="", 0, Table9[[#This Row],[Source of Surface Water (40%)]]&gt;50, 0,Table9[[#This Row],[Source of Surface Water (40%)]]&lt;=20,4, TRUE, 2), 0)</f>
        <v>0</v>
      </c>
      <c r="BQ85" s="280">
        <f>Table9[[#This Row],[Source of Surface Water Score]]*'Detailed Rubric V3'!$I$53</f>
        <v>0</v>
      </c>
      <c r="BR85" s="280">
        <f>SUM(Table9[[#This Row],[Power Station Weighted Score]],Table9[[#This Row],[Gas Station Weighted Score]],Table9[[#This Row],[Source of Surface Water Weighted Score]])*'Detailed Rubric V3'!$C$51</f>
        <v>0</v>
      </c>
      <c r="BS85" s="280"/>
      <c r="BT85" s="280" cm="1">
        <f t="array" ref="BT85">_xlfn.IFS(Table9[[#This Row],[Other BEZA EZ (20%)]]="", 0, Table9[[#This Row],[Other BEZA EZ (20%)]]="Yes", 4, TRUE, 0)</f>
        <v>0</v>
      </c>
      <c r="BU85" s="280">
        <f>Table9[[#This Row],[Other BEZA EZ Score]]*'Detailed Rubric V3'!$C$66</f>
        <v>0</v>
      </c>
      <c r="BV85" s="280"/>
      <c r="BW85" s="280" cm="1">
        <f t="array" ref="BW85">_xlfn.IFS(Table9[[#This Row],[BEPZA/ BHPTA/ BSCIC (20%)]]="", 0, Table9[[#This Row],[BEPZA/ BHPTA/ BSCIC (20%)]]="Yes", 4, TRUE, 0)</f>
        <v>0</v>
      </c>
      <c r="BX85" s="280">
        <f>Table9[[#This Row],[BEPZA/ BHPTA/ BSCIC Score]]*'Detailed Rubric V3'!$F$66</f>
        <v>0</v>
      </c>
      <c r="BY85" s="280"/>
      <c r="BZ85" s="280" cm="1">
        <f t="array" ref="BZ85">_xlfn.IFS(Table9[[#This Row],[Cluster Industries (from SMI) (20%)]]="", 0, Table9[[#This Row],[Cluster Industries (from SMI) (20%)]]&gt;100, 4, Table9[[#This Row],[Cluster Industries (from SMI) (20%)]]&lt;50, 0, TRUE, 2)</f>
        <v>0</v>
      </c>
      <c r="CA85" s="280">
        <f>Table9[[#This Row],[Cluster Industries (from SMI) Score]]*'Detailed Rubric V3'!$I$66</f>
        <v>0</v>
      </c>
      <c r="CB85" s="280"/>
      <c r="CC85" s="280" cm="1">
        <f t="array" ref="CC85">_xlfn.IFS(Table9[[#This Row],[Located on Industrial corridor (40%)]]="", 0, Table9[[#This Row],[Located on Industrial corridor (40%)]]="Yes", 4, TRUE, 0)</f>
        <v>0</v>
      </c>
      <c r="CD85" s="280">
        <f>Table9[[#This Row],[Located on Industrial corridor Score]]*'Detailed Rubric V3'!$L$66</f>
        <v>0</v>
      </c>
      <c r="CE85" s="280">
        <f>SUM(Table9[[#This Row],[Other BEZA EZ Weighted Score]],Table9[[#This Row],[BEPZA/ BHPTA/ BSCIC Weighted Score]],Table9[[#This Row],[Unorganized (from SMI) Weighted Score]],Table9[[#This Row],[Located on Industrial corridor Weighted Score]])*'Detailed Rubric V3'!$C$64</f>
        <v>0</v>
      </c>
      <c r="CF85" s="280"/>
      <c r="CG85" s="280" cm="1">
        <f t="array" ref="CG85">_xlfn.IFS(Table9[[#This Row],[Economic/ Social priority (laggered area) (100%)]]="", 0, Table9[[#This Row],[Economic/ Social priority (laggered area) (100%)]]="Yes", 4, TRUE, 0)</f>
        <v>0</v>
      </c>
      <c r="CH85" s="280">
        <f>Table9[[#This Row],[Economic/ Social priority (laggered area) Score]]*'Detailed Rubric V3'!$C$82</f>
        <v>0</v>
      </c>
      <c r="CI85" s="280"/>
      <c r="CJ85" s="280" cm="1">
        <f t="array" ref="CJ85">_xlfn.IFS(Table9[[#This Row],[Regional Tax incentive  (0%)]]="", 0, Table9[[#This Row],[Regional Tax incentive  (0%)]]="Yes", 4, TRUE, 0)</f>
        <v>0</v>
      </c>
      <c r="CK85" s="280">
        <f>Table9[[#This Row],[Regional Tax incentive Score]]*'Detailed Rubric V3'!$F$82</f>
        <v>0</v>
      </c>
      <c r="CL85" s="280">
        <f>SUM(Table9[[#This Row],[Economic/ Social priority (laagered area) Weighted Score]],Table9[[#This Row],[Regional Tax incentive  Weighted Score]])*'Detailed Rubric V3'!$C$80</f>
        <v>0</v>
      </c>
      <c r="CM85" s="280"/>
      <c r="CN85" s="280" cm="1">
        <f t="array" ref="CN85">_xlfn.IFS(Table9[[#This Row],[Employable population (40%) 2013]]="", 0, Table9[[#This Row],[Employable population (40%) 2013]]&gt;200000, 4, Table9[[#This Row],[Employable population (40%) 2013]]&lt;100000,0, TRUE, 2)</f>
        <v>0</v>
      </c>
      <c r="CO85" s="280">
        <f>Table9[[#This Row],[Employable population Score]]*'Detailed Rubric V3'!$C$92</f>
        <v>0</v>
      </c>
      <c r="CP85" s="280"/>
      <c r="CQ85" s="280" cm="1">
        <f t="array" ref="CQ85">_xlfn.IFS(Table9[[#This Row],[Housing (20%)]]="", 0, Table9[[#This Row],[Housing (20%)]]&gt;50, 0, Table9[[#This Row],[Housing (20%)]]&lt;25, 4, TRUE, 2)</f>
        <v>0</v>
      </c>
      <c r="CR85" s="280">
        <f>Table9[[#This Row],[Housing Score]]*'Detailed Rubric V3'!$F$92</f>
        <v>0</v>
      </c>
      <c r="CS85" s="280"/>
      <c r="CT85" s="280" cm="1">
        <f t="array" ref="CT85">_xlfn.IFS(Table9[[#This Row],[Hotels (10%)]]="", 0, Table9[[#This Row],[Hotels (10%)]]&gt;25, 4, Table9[[#This Row],[Hotels (10%)]]&lt;5, 0, TRUE, 2)</f>
        <v>0</v>
      </c>
      <c r="CU85" s="280">
        <f>Table9[[#This Row],[Hotels Score]]*'Detailed Rubric V3'!$I$92</f>
        <v>0</v>
      </c>
      <c r="CV85" s="280"/>
      <c r="CW85" s="280" cm="1">
        <f t="array" ref="CW85">_xlfn.IFS(Table9[[#This Row],[Health (Hospital) (15%)]]="", 0, Table9[[#This Row],[Health (Hospital) (15%)]]&gt;10, 4, Table9[[#This Row],[Health (Hospital) (15%)]]&lt;5, 0, TRUE, 2)</f>
        <v>0</v>
      </c>
      <c r="CX85" s="280">
        <f>Table9[[#This Row],[Health (Hospital) Score]]*'Detailed Rubric V3'!$L$92</f>
        <v>0</v>
      </c>
      <c r="CY85" s="280"/>
      <c r="CZ85" s="280" cm="1">
        <f t="array" ref="CZ85">_xlfn.IFS(Table9[[#This Row],[University/ Technical &amp; Vocational Institutions (15%)]]="", 0, Table9[[#This Row],[University/ Technical &amp; Vocational Institutions (15%)]]&gt;3, 4, Table9[[#This Row],[University/ Technical &amp; Vocational Institutions (15%)]]&lt;1, 0, TRUE, 2)</f>
        <v>0</v>
      </c>
      <c r="DA85" s="280">
        <f>Table9[[#This Row],[University/ Technical &amp; Vocational Institutions Score]]*'Detailed Rubric V3'!$O$92</f>
        <v>0</v>
      </c>
      <c r="DB85"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85" s="280"/>
      <c r="DD85" s="280" cm="1">
        <f t="array" ref="DD85">_xlfn.IFS(Table9[[#This Row],[Environment compliance (30%)]]="", 0, Table9[[#This Row],[Environment compliance (30%)]]="Yes", 4, TRUE, 0)</f>
        <v>0</v>
      </c>
      <c r="DE85" s="280">
        <f>Table9[[#This Row],[Environment compliance Score]]*'Detailed Rubric V3'!$C$104</f>
        <v>0</v>
      </c>
      <c r="DF85" s="280" t="s">
        <v>419</v>
      </c>
      <c r="DG85" s="280" cm="1">
        <f t="array" ref="DG85">_xlfn.IFS(Table9[[#This Row],[Flood Risk Index (30%)]]="", 0, Table9[[#This Row],[Flood Risk Index (30%)]]="Very Low", 4, Table9[[#This Row],[Flood Risk Index (30%)]]="Moderate &amp; Low", 2, TRUE, 0)</f>
        <v>2</v>
      </c>
      <c r="DH85" s="280">
        <f>Table9[[#This Row],[Flood Risk Index Score]]*'Detailed Rubric V3'!$F$104</f>
        <v>0.6</v>
      </c>
      <c r="DI85" s="280" t="s">
        <v>421</v>
      </c>
      <c r="DJ85" s="280" cm="1">
        <f t="array" ref="DJ85">_xlfn.IFS(Table9[[#This Row],[Earth Quake Risk Index (10%)]]="", 0, Table9[[#This Row],[Earth Quake Risk Index (10%)]]="Very Low", 4, Table9[[#This Row],[Earth Quake Risk Index (10%)]]="Moderate &amp; Low", 2, TRUE, 0)</f>
        <v>0</v>
      </c>
      <c r="DK85" s="280">
        <f>Table9[[#This Row],[Earth Quake Risk Index Score]]*'Detailed Rubric V3'!$I$104</f>
        <v>0</v>
      </c>
      <c r="DL85" s="280" t="s">
        <v>428</v>
      </c>
      <c r="DM85" s="280" cm="1">
        <f t="array" ref="DM85">_xlfn.IFS(Table9[[#This Row],[Sea Level Rise Risk Index (10%)]]="", 0, Table9[[#This Row],[Sea Level Rise Risk Index (10%)]]="Very Low", 4, Table9[[#This Row],[Sea Level Rise Risk Index (10%)]]="Moderate &amp; Low", 2, TRUE, 0)</f>
        <v>4</v>
      </c>
      <c r="DN85" s="280">
        <f>Table9[[#This Row],[Sea Level Rise  Risk Index Score]]*'Detailed Rubric V3'!$L$104</f>
        <v>0.4</v>
      </c>
      <c r="DO85" s="280" t="s">
        <v>419</v>
      </c>
      <c r="DP85" s="280" cm="1">
        <f t="array" ref="DP85">_xlfn.IFS(Table9[[#This Row],[Cyclone Risk Index (10%)]]="", 0, Table9[[#This Row],[Cyclone Risk Index (10%)]]="Very Low", 4, Table9[[#This Row],[Cyclone Risk Index (10%)]]="Moderate &amp; Low", 2, TRUE, 0)</f>
        <v>2</v>
      </c>
      <c r="DQ85" s="280">
        <f>Table9[[#This Row],[Cyclone Risk Index Score]]*'Detailed Rubric V3'!$O$104</f>
        <v>0.2</v>
      </c>
      <c r="DR85" s="280" t="s">
        <v>428</v>
      </c>
      <c r="DS85" s="280" cm="1">
        <f t="array" ref="DS85">_xlfn.IFS(Table9[[#This Row],[Storm Surge Risk Index (10%)]]="", 0, Table9[[#This Row],[Storm Surge Risk Index (10%)]]="Very Low", 4, Table9[[#This Row],[Storm Surge Risk Index (10%)]]="Moderate &amp; Low", 2, TRUE, 0)</f>
        <v>4</v>
      </c>
      <c r="DT85" s="280">
        <f>Table9[[#This Row],[Storm Surge Risk Index Score]]*'Detailed Rubric V3'!$R$104</f>
        <v>0.4</v>
      </c>
      <c r="DU85"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9.6000000000000002E-2</v>
      </c>
      <c r="DV85" s="309">
        <f>SUM(Table9[[#This Row],[2.1. Connectivity/ Logistics (10% weightage)]],Table9[[#This Row],[2.2. Utility (12% weightage)]],Table9[[#This Row],[2.3. Agglomeration effects (10% weightage)]],Table9[[#This Row],[2.4. Regional Policy (4% weightage)]],Table9[[#This Row],[2.5. Social (8% weightage)]],Table9[[#This Row],[2.6. Environment (6% weightage)]])</f>
        <v>9.6000000000000002E-2</v>
      </c>
      <c r="DW85" s="280">
        <f>_xlfn.RANK.EQ(Table9[[#This Row],[Level 2 Score]],$DV$3:$DV$103)</f>
        <v>73</v>
      </c>
      <c r="DX85" s="302">
        <f>Table9[[#This Row],[Level 1 Score]]+Table9[[#This Row],[Level 2 Score]]</f>
        <v>0.29600000000000004</v>
      </c>
      <c r="DY85" s="294">
        <f>_xlfn.RANK.EQ(Table9[[#This Row],[Total Score]],$DX$3:$DX$103)</f>
        <v>83</v>
      </c>
      <c r="DZ85" s="237" t="str">
        <f>IF(Table9[[#This Row],[Count of Blanks]]&lt;=2, "Yes", "No")</f>
        <v>No</v>
      </c>
      <c r="EA85" s="237">
        <f>COUNTBLANK(Table9[[#This Row],[Name]:[Total Score Rank]])</f>
        <v>23</v>
      </c>
      <c r="EB85" s="237"/>
    </row>
    <row r="86" spans="2:132" ht="27" x14ac:dyDescent="0.25">
      <c r="B86" s="220">
        <v>19</v>
      </c>
      <c r="C86" s="221" t="s">
        <v>218</v>
      </c>
      <c r="D86" s="220" t="s">
        <v>76</v>
      </c>
      <c r="E86" s="220" t="s">
        <v>82</v>
      </c>
      <c r="F86" s="220" t="s">
        <v>219</v>
      </c>
      <c r="G86" s="220" t="s">
        <v>70</v>
      </c>
      <c r="H86" s="525" t="s">
        <v>422</v>
      </c>
      <c r="I86" s="70" t="s">
        <v>472</v>
      </c>
      <c r="J86" s="227" t="s">
        <v>444</v>
      </c>
      <c r="K86" s="220">
        <f>IFERROR(VLOOKUP(Table9[[#This Row],[Land Availability (Grade)​
(50%)]],'Detailed Rubric V3'!$B$8:$C$11,2), 0)</f>
        <v>0</v>
      </c>
      <c r="L86" s="220">
        <f>IFERROR(Table9[[#This Row],[Land Availability (Grade)​ Score]]*'Detailed Rubric V3'!$C$6, "")</f>
        <v>0</v>
      </c>
      <c r="M86" s="222">
        <v>200</v>
      </c>
      <c r="N86" s="222" cm="1">
        <f t="array" ref="N86">_xlfn.IFS(Table9[[#This Row],[Land Size (Acres)
(15%)]]&lt;100,0,Table9[[#This Row],[Land Size (Acres)
(15%)]]&gt;500,4,TRUE,2)</f>
        <v>2</v>
      </c>
      <c r="O86" s="222">
        <f>Table9[[#This Row],[Land Size (Acres) Score]]*'Detailed Rubric V3'!$G$6</f>
        <v>0.3</v>
      </c>
      <c r="P86" s="526"/>
      <c r="Q86" s="526">
        <f>IFERROR(Table9[[#This Row],[Site Filling Cost (Mn BDT)]]/Table9[[#This Row],[Land Size (Acres)
(15%)]],"")</f>
        <v>0</v>
      </c>
      <c r="R86" s="526" cm="1">
        <f t="array" ref="R86">IF(Table9[[#This Row],[Name]]="Sitakundo Economic Zone", 4, _xlfn.IFS(Table9[[#This Row],[Site Filling Cost (Mn BDT)]]="",0,Table9[[#This Row],[Land Suitability
(Cost of Land Filling in Million BDT per acre)
(25%)]]&gt;5,0,Table9[[#This Row],[Land Suitability
(Cost of Land Filling in Million BDT per acre)
(25%)]]&lt;2,4,TRUE,2))</f>
        <v>0</v>
      </c>
      <c r="S86" s="526">
        <f>Table9[[#This Row],[Land Suitability for Construction Score]]*'Detailed Rubric V3'!$J$6</f>
        <v>0</v>
      </c>
      <c r="T86" s="526"/>
      <c r="U86" s="526">
        <f>IFERROR(Table9[[#This Row],[Embankment/Dyke Cost (Mn BDT)]]/Table9[[#This Row],[Land Size (Acres)
(15%)]], 0)</f>
        <v>0</v>
      </c>
      <c r="V86" s="526" cm="1">
        <f t="array" ref="V86">IF(Table9[[#This Row],[Name]]="Sitakundo Economic Zone", 2, _xlfn.IFS(Table9[[#This Row],[Embankment/Dyke Cost (Mn BDT)]]="",0,Table9[[#This Row],[Cost of DRRI Infrastructure in million BDT per acre
(10%)]]&gt;5,0,Table9[[#This Row],[Cost of DRRI Infrastructure in million BDT per acre
(10%)]]&lt;2,4,TRUE,2))</f>
        <v>0</v>
      </c>
      <c r="W86" s="526">
        <f>Table9[[#This Row],[Requirement for Distaster Risk Reduction &amp; Resilience Infrastructure Score]]*'Detailed Rubric V3'!$M$6</f>
        <v>0</v>
      </c>
      <c r="X86"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86" s="452" t="s">
        <v>436</v>
      </c>
      <c r="Z86" s="210">
        <f>IFERROR(VLOOKUP(Table9[[#This Row],[Zone Priority
(40%)]],'Detailed Rubric V3'!$B$18:$C$21, 2,FALSE), 0)</f>
        <v>0</v>
      </c>
      <c r="AA86" s="210">
        <f>IFERROR(Table9[[#This Row],[Zone Priority Score]]*'Detailed Rubric V3'!$C$16, 0)</f>
        <v>0</v>
      </c>
      <c r="AB86" s="237" t="s">
        <v>441</v>
      </c>
      <c r="AC86" s="237">
        <f>VLOOKUP(Table9[[#This Row],[Existing BEZA Report
(60%)]],'Detailed Rubric V3'!$E$18:$F$20,2,FALSE)</f>
        <v>0</v>
      </c>
      <c r="AD86" s="237">
        <f>Table9[[#This Row],[Existing BEZA Report Score]]*'Detailed Rubric V3'!F$16</f>
        <v>0</v>
      </c>
      <c r="AE86" s="237">
        <f>(Table9[[#This Row],[Zone Priority Weighted Score]]+Table9[[#This Row],[Existing BEZA Report Weighted Score]])*'Detailed Rubric V3'!$C$14</f>
        <v>0</v>
      </c>
      <c r="AF86" s="528">
        <v>0</v>
      </c>
      <c r="AG86" s="529" cm="1">
        <f t="array" ref="AG86">_xlfn.IFS(Table9[[#This Row],[Existing Sectors
(50%)]]&gt;10, 4,Table9[[#This Row],[Existing Sectors
(50%)]]&lt;5, 0, TRUE, 2)</f>
        <v>0</v>
      </c>
      <c r="AH86" s="529">
        <f>Table9[[#This Row],[Existing Sectors Score]]*'Detailed Rubric V3'!$C$25</f>
        <v>0</v>
      </c>
      <c r="AI86" s="529">
        <v>4</v>
      </c>
      <c r="AJ86" s="529">
        <v>4</v>
      </c>
      <c r="AK86" s="529" cm="1">
        <f t="array" ref="AK86">_xlfn.IFS(Table9[[#This Row],[Potential New Sectors
(50%)]]&gt;5, 4, Table9[[#This Row],[Potential New Sectors
(50%)]]&lt;2,0, TRUE, 2)</f>
        <v>2</v>
      </c>
      <c r="AL86" s="529">
        <f>Table9[[#This Row],[Potential New Sectors Score]]*'Detailed Rubric V3'!$F$25</f>
        <v>1</v>
      </c>
      <c r="AM86" s="232">
        <f>(Table9[[#This Row],[Existing Sectors Weighted Score]]+Table9[[#This Row],[Potential New Sectors Weighted Score]])*'Detailed Rubric V3'!$C$23</f>
        <v>0.15</v>
      </c>
      <c r="AN86" s="530">
        <f>SUM(Table9[[#This Row],[1.1. Land Details (20% weightage)]],Table9[[#This Row],[1.2. BEZA Existing plans (15% weightage)]],Table9[[#This Row],[1.3. Sector Demand (15% weightage):]])</f>
        <v>0.21</v>
      </c>
      <c r="AO86" s="531">
        <f>_xlfn.RANK.EQ(Table9[[#This Row],[Level 1 Score]],$AN$3:$AN$103)</f>
        <v>81</v>
      </c>
      <c r="AP86" s="280"/>
      <c r="AQ86" s="280" cm="1">
        <f t="array" ref="AQ86">_xlfn.IFS(Table9[[#This Row],[National Highway Connectivity (km)
(15%)]]="", 0, Table9[[#This Row],[National Highway Connectivity (km)
(15%)]]&gt;50, 0, Table9[[#This Row],[National Highway Connectivity (km)
(15%)]]&lt;=25, 4, TRUE, 2)</f>
        <v>0</v>
      </c>
      <c r="AR86" s="280">
        <f>Table9[[#This Row],[National Highway Connectivity Score]]*'Detailed Rubric V3'!$C$35</f>
        <v>0</v>
      </c>
      <c r="AS86" s="280"/>
      <c r="AT86" s="280" cm="1">
        <f t="array" ref="AT86">_xlfn.IFS(Table9[[#This Row],[Connecting Road to Highway (km)
(15%)]]="", 0, Table9[[#This Row],[Connecting Road to Highway (km)
(15%)]]="Yes", 4, TRUE, 0)</f>
        <v>0</v>
      </c>
      <c r="AU86" s="280">
        <f>Table9[[#This Row],[Connecting Road to Highway Score]]*'Detailed Rubric V3'!$F$35</f>
        <v>0</v>
      </c>
      <c r="AV86" s="280"/>
      <c r="AW86" s="280" cm="1">
        <f t="array" ref="AW86">_xlfn.IFS(Table9[[#This Row],[Seaport Connectivity (km)
(30%)]]="",0, Table9[[#This Row],[Seaport Connectivity (km)
(30%)]]&gt;400, 0,Table9[[#This Row],[Seaport Connectivity (km)
(30%)]]&lt;=200,4, TRUE, 2)</f>
        <v>0</v>
      </c>
      <c r="AX86" s="280">
        <f>Table9[[#This Row],[Seaport Connectivity Score]]*'Detailed Rubric V3'!$I$35</f>
        <v>0</v>
      </c>
      <c r="AY86" s="280"/>
      <c r="AZ86" s="280" cm="1">
        <f t="array" ref="AZ86">_xlfn.IFS(Table9[[#This Row],[Airport Connectivity (km)
(10%)]]="", 0, Table9[[#This Row],[Airport Connectivity (km)
(10%)]]&gt;200, 0, Table9[[#This Row],[Airport Connectivity (km)
(10%)]]&lt;=100,4,TRUE, 2)</f>
        <v>0</v>
      </c>
      <c r="BA86" s="280">
        <f>Table9[[#This Row],[Airport Connectivity Score]]*'Detailed Rubric V3'!$C$41</f>
        <v>0</v>
      </c>
      <c r="BB86" s="280"/>
      <c r="BC86" s="280" cm="1">
        <f t="array" ref="BC86">_xlfn.IFS(Table9[[#This Row],[Railway Station (km)
(10%)]]="", 0, Table9[[#This Row],[Railway Station (km)
(10%)]]&gt;150, 0,Table9[[#This Row],[Railway Station (km)
(10%)]]&lt;=50,4, TRUE, 2)</f>
        <v>0</v>
      </c>
      <c r="BD86" s="280">
        <f>Table9[[#This Row],[Railway Station Score]]*'Detailed Rubric V3'!$F$41</f>
        <v>0</v>
      </c>
      <c r="BE86" s="280"/>
      <c r="BF86" s="280" cm="1">
        <f t="array" ref="BF86">_xlfn.IFS(Table9[[#This Row],[Inland waterway/ Land port (km)
(20%)]]="", 0, Table9[[#This Row],[Inland waterway/ Land port (km)
(20%)]]&gt;200, 0,Table9[[#This Row],[Inland waterway/ Land port (km)
(20%)]]&lt;=50,4, TRUE, 2)</f>
        <v>0</v>
      </c>
      <c r="BG86" s="280">
        <f>Table9[[#This Row],[Inland waterway/ Land port Score]]*'Detailed Rubric V3'!$I$41</f>
        <v>0</v>
      </c>
      <c r="BH86"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86" s="280"/>
      <c r="BJ86" s="280" cm="1">
        <f t="array" ref="BJ86">_xlfn.IFS(Table9[[#This Row],[Power Station (40%)]]="",0, Table9[[#This Row],[Power Station (40%)]]&gt;100, 0,Table9[[#This Row],[Power Station (40%)]]&lt;=50,4, TRUE, 2)</f>
        <v>0</v>
      </c>
      <c r="BK86" s="280">
        <f>Table9[[#This Row],[Power Station Score]]*'Detailed Rubric V3'!$C$53</f>
        <v>0</v>
      </c>
      <c r="BL86" s="280"/>
      <c r="BM86" s="280" cm="1">
        <f t="array" ref="BM86">IF(ISNUMBER(Table9[[#This Row],[Gas Station (20%)]]), _xlfn.IFS(Table9[[#This Row],[Gas Station (20%)]]="", 0, Table9[[#This Row],[Gas Station (20%)]]&gt;100, 0,Table9[[#This Row],[Gas Station (20%)]]&lt;=50,4, TRUE, 2), 0)</f>
        <v>0</v>
      </c>
      <c r="BN86" s="280">
        <f>Table9[[#This Row],[Gas Station Score]]*'Detailed Rubric V3'!$F$53</f>
        <v>0</v>
      </c>
      <c r="BO86" s="280"/>
      <c r="BP86" s="280" cm="1">
        <f t="array" ref="BP86">IF(ISNUMBER(Table9[[#This Row],[Source of Surface Water (40%)]]), _xlfn.IFS(Table9[[#This Row],[Source of Surface Water (40%)]]="", 0, Table9[[#This Row],[Source of Surface Water (40%)]]&gt;50, 0,Table9[[#This Row],[Source of Surface Water (40%)]]&lt;=20,4, TRUE, 2), 0)</f>
        <v>0</v>
      </c>
      <c r="BQ86" s="280">
        <f>Table9[[#This Row],[Source of Surface Water Score]]*'Detailed Rubric V3'!$I$53</f>
        <v>0</v>
      </c>
      <c r="BR86" s="280">
        <f>SUM(Table9[[#This Row],[Power Station Weighted Score]],Table9[[#This Row],[Gas Station Weighted Score]],Table9[[#This Row],[Source of Surface Water Weighted Score]])*'Detailed Rubric V3'!$C$51</f>
        <v>0</v>
      </c>
      <c r="BS86" s="280"/>
      <c r="BT86" s="280" cm="1">
        <f t="array" ref="BT86">_xlfn.IFS(Table9[[#This Row],[Other BEZA EZ (20%)]]="", 0, Table9[[#This Row],[Other BEZA EZ (20%)]]="Yes", 4, TRUE, 0)</f>
        <v>0</v>
      </c>
      <c r="BU86" s="280">
        <f>Table9[[#This Row],[Other BEZA EZ Score]]*'Detailed Rubric V3'!$C$66</f>
        <v>0</v>
      </c>
      <c r="BV86" s="280"/>
      <c r="BW86" s="280" cm="1">
        <f t="array" ref="BW86">_xlfn.IFS(Table9[[#This Row],[BEPZA/ BHPTA/ BSCIC (20%)]]="", 0, Table9[[#This Row],[BEPZA/ BHPTA/ BSCIC (20%)]]="Yes", 4, TRUE, 0)</f>
        <v>0</v>
      </c>
      <c r="BX86" s="280">
        <f>Table9[[#This Row],[BEPZA/ BHPTA/ BSCIC Score]]*'Detailed Rubric V3'!$F$66</f>
        <v>0</v>
      </c>
      <c r="BY86" s="280"/>
      <c r="BZ86" s="280" cm="1">
        <f t="array" ref="BZ86">_xlfn.IFS(Table9[[#This Row],[Cluster Industries (from SMI) (20%)]]="", 0, Table9[[#This Row],[Cluster Industries (from SMI) (20%)]]&gt;100, 4, Table9[[#This Row],[Cluster Industries (from SMI) (20%)]]&lt;50, 0, TRUE, 2)</f>
        <v>0</v>
      </c>
      <c r="CA86" s="280">
        <f>Table9[[#This Row],[Cluster Industries (from SMI) Score]]*'Detailed Rubric V3'!$I$66</f>
        <v>0</v>
      </c>
      <c r="CB86" s="280"/>
      <c r="CC86" s="280" cm="1">
        <f t="array" ref="CC86">_xlfn.IFS(Table9[[#This Row],[Located on Industrial corridor (40%)]]="", 0, Table9[[#This Row],[Located on Industrial corridor (40%)]]="Yes", 4, TRUE, 0)</f>
        <v>0</v>
      </c>
      <c r="CD86" s="280">
        <f>Table9[[#This Row],[Located on Industrial corridor Score]]*'Detailed Rubric V3'!$L$66</f>
        <v>0</v>
      </c>
      <c r="CE86" s="280">
        <f>SUM(Table9[[#This Row],[Other BEZA EZ Weighted Score]],Table9[[#This Row],[BEPZA/ BHPTA/ BSCIC Weighted Score]],Table9[[#This Row],[Unorganized (from SMI) Weighted Score]],Table9[[#This Row],[Located on Industrial corridor Weighted Score]])*'Detailed Rubric V3'!$C$64</f>
        <v>0</v>
      </c>
      <c r="CF86" s="280"/>
      <c r="CG86" s="280" cm="1">
        <f t="array" ref="CG86">_xlfn.IFS(Table9[[#This Row],[Economic/ Social priority (laggered area) (100%)]]="", 0, Table9[[#This Row],[Economic/ Social priority (laggered area) (100%)]]="Yes", 4, TRUE, 0)</f>
        <v>0</v>
      </c>
      <c r="CH86" s="280">
        <f>Table9[[#This Row],[Economic/ Social priority (laggered area) Score]]*'Detailed Rubric V3'!$C$82</f>
        <v>0</v>
      </c>
      <c r="CI86" s="280"/>
      <c r="CJ86" s="280" cm="1">
        <f t="array" ref="CJ86">_xlfn.IFS(Table9[[#This Row],[Regional Tax incentive  (0%)]]="", 0, Table9[[#This Row],[Regional Tax incentive  (0%)]]="Yes", 4, TRUE, 0)</f>
        <v>0</v>
      </c>
      <c r="CK86" s="280">
        <f>Table9[[#This Row],[Regional Tax incentive Score]]*'Detailed Rubric V3'!$F$82</f>
        <v>0</v>
      </c>
      <c r="CL86" s="280">
        <f>SUM(Table9[[#This Row],[Economic/ Social priority (laagered area) Weighted Score]],Table9[[#This Row],[Regional Tax incentive  Weighted Score]])*'Detailed Rubric V3'!$C$80</f>
        <v>0</v>
      </c>
      <c r="CM86" s="280"/>
      <c r="CN86" s="280" cm="1">
        <f t="array" ref="CN86">_xlfn.IFS(Table9[[#This Row],[Employable population (40%) 2013]]="", 0, Table9[[#This Row],[Employable population (40%) 2013]]&gt;200000, 4, Table9[[#This Row],[Employable population (40%) 2013]]&lt;100000,0, TRUE, 2)</f>
        <v>0</v>
      </c>
      <c r="CO86" s="280">
        <f>Table9[[#This Row],[Employable population Score]]*'Detailed Rubric V3'!$C$92</f>
        <v>0</v>
      </c>
      <c r="CP86" s="280"/>
      <c r="CQ86" s="280" cm="1">
        <f t="array" ref="CQ86">_xlfn.IFS(Table9[[#This Row],[Housing (20%)]]="", 0, Table9[[#This Row],[Housing (20%)]]&gt;50, 0, Table9[[#This Row],[Housing (20%)]]&lt;25, 4, TRUE, 2)</f>
        <v>0</v>
      </c>
      <c r="CR86" s="280">
        <f>Table9[[#This Row],[Housing Score]]*'Detailed Rubric V3'!$F$92</f>
        <v>0</v>
      </c>
      <c r="CS86" s="280"/>
      <c r="CT86" s="280" cm="1">
        <f t="array" ref="CT86">_xlfn.IFS(Table9[[#This Row],[Hotels (10%)]]="", 0, Table9[[#This Row],[Hotels (10%)]]&gt;25, 4, Table9[[#This Row],[Hotels (10%)]]&lt;5, 0, TRUE, 2)</f>
        <v>0</v>
      </c>
      <c r="CU86" s="280">
        <f>Table9[[#This Row],[Hotels Score]]*'Detailed Rubric V3'!$I$92</f>
        <v>0</v>
      </c>
      <c r="CV86" s="280"/>
      <c r="CW86" s="280" cm="1">
        <f t="array" ref="CW86">_xlfn.IFS(Table9[[#This Row],[Health (Hospital) (15%)]]="", 0, Table9[[#This Row],[Health (Hospital) (15%)]]&gt;10, 4, Table9[[#This Row],[Health (Hospital) (15%)]]&lt;5, 0, TRUE, 2)</f>
        <v>0</v>
      </c>
      <c r="CX86" s="280">
        <f>Table9[[#This Row],[Health (Hospital) Score]]*'Detailed Rubric V3'!$L$92</f>
        <v>0</v>
      </c>
      <c r="CY86" s="280"/>
      <c r="CZ86" s="280" cm="1">
        <f t="array" ref="CZ86">_xlfn.IFS(Table9[[#This Row],[University/ Technical &amp; Vocational Institutions (15%)]]="", 0, Table9[[#This Row],[University/ Technical &amp; Vocational Institutions (15%)]]&gt;3, 4, Table9[[#This Row],[University/ Technical &amp; Vocational Institutions (15%)]]&lt;1, 0, TRUE, 2)</f>
        <v>0</v>
      </c>
      <c r="DA86" s="280">
        <f>Table9[[#This Row],[University/ Technical &amp; Vocational Institutions Score]]*'Detailed Rubric V3'!$O$92</f>
        <v>0</v>
      </c>
      <c r="DB86"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86" s="280"/>
      <c r="DD86" s="280" cm="1">
        <f t="array" ref="DD86">_xlfn.IFS(Table9[[#This Row],[Environment compliance (30%)]]="", 0, Table9[[#This Row],[Environment compliance (30%)]]="Yes", 4, TRUE, 0)</f>
        <v>0</v>
      </c>
      <c r="DE86" s="280">
        <f>Table9[[#This Row],[Environment compliance Score]]*'Detailed Rubric V3'!$C$104</f>
        <v>0</v>
      </c>
      <c r="DF86" s="280" t="s">
        <v>419</v>
      </c>
      <c r="DG86" s="280" cm="1">
        <f t="array" ref="DG86">_xlfn.IFS(Table9[[#This Row],[Flood Risk Index (30%)]]="", 0, Table9[[#This Row],[Flood Risk Index (30%)]]="Very Low", 4, Table9[[#This Row],[Flood Risk Index (30%)]]="Moderate &amp; Low", 2, TRUE, 0)</f>
        <v>2</v>
      </c>
      <c r="DH86" s="280">
        <f>Table9[[#This Row],[Flood Risk Index Score]]*'Detailed Rubric V3'!$F$104</f>
        <v>0.6</v>
      </c>
      <c r="DI86" s="280" t="s">
        <v>419</v>
      </c>
      <c r="DJ86" s="280" cm="1">
        <f t="array" ref="DJ86">_xlfn.IFS(Table9[[#This Row],[Earth Quake Risk Index (10%)]]="", 0, Table9[[#This Row],[Earth Quake Risk Index (10%)]]="Very Low", 4, Table9[[#This Row],[Earth Quake Risk Index (10%)]]="Moderate &amp; Low", 2, TRUE, 0)</f>
        <v>2</v>
      </c>
      <c r="DK86" s="280">
        <f>Table9[[#This Row],[Earth Quake Risk Index Score]]*'Detailed Rubric V3'!$I$104</f>
        <v>0.2</v>
      </c>
      <c r="DL86" s="280" t="s">
        <v>419</v>
      </c>
      <c r="DM86" s="280" cm="1">
        <f t="array" ref="DM86">_xlfn.IFS(Table9[[#This Row],[Sea Level Rise Risk Index (10%)]]="", 0, Table9[[#This Row],[Sea Level Rise Risk Index (10%)]]="Very Low", 4, Table9[[#This Row],[Sea Level Rise Risk Index (10%)]]="Moderate &amp; Low", 2, TRUE, 0)</f>
        <v>2</v>
      </c>
      <c r="DN86" s="280">
        <f>Table9[[#This Row],[Sea Level Rise  Risk Index Score]]*'Detailed Rubric V3'!$L$104</f>
        <v>0.2</v>
      </c>
      <c r="DO86" s="280" t="s">
        <v>420</v>
      </c>
      <c r="DP86" s="280" cm="1">
        <f t="array" ref="DP86">_xlfn.IFS(Table9[[#This Row],[Cyclone Risk Index (10%)]]="", 0, Table9[[#This Row],[Cyclone Risk Index (10%)]]="Very Low", 4, Table9[[#This Row],[Cyclone Risk Index (10%)]]="Moderate &amp; Low", 2, TRUE, 0)</f>
        <v>0</v>
      </c>
      <c r="DQ86" s="280">
        <f>Table9[[#This Row],[Cyclone Risk Index Score]]*'Detailed Rubric V3'!$O$104</f>
        <v>0</v>
      </c>
      <c r="DR86" s="280" t="s">
        <v>419</v>
      </c>
      <c r="DS86" s="280" cm="1">
        <f t="array" ref="DS86">_xlfn.IFS(Table9[[#This Row],[Storm Surge Risk Index (10%)]]="", 0, Table9[[#This Row],[Storm Surge Risk Index (10%)]]="Very Low", 4, Table9[[#This Row],[Storm Surge Risk Index (10%)]]="Moderate &amp; Low", 2, TRUE, 0)</f>
        <v>2</v>
      </c>
      <c r="DT86" s="280">
        <f>Table9[[#This Row],[Storm Surge Risk Index Score]]*'Detailed Rubric V3'!$R$104</f>
        <v>0.2</v>
      </c>
      <c r="DU86"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7.1999999999999995E-2</v>
      </c>
      <c r="DV86" s="309">
        <f>SUM(Table9[[#This Row],[2.1. Connectivity/ Logistics (10% weightage)]],Table9[[#This Row],[2.2. Utility (12% weightage)]],Table9[[#This Row],[2.3. Agglomeration effects (10% weightage)]],Table9[[#This Row],[2.4. Regional Policy (4% weightage)]],Table9[[#This Row],[2.5. Social (8% weightage)]],Table9[[#This Row],[2.6. Environment (6% weightage)]])</f>
        <v>7.1999999999999995E-2</v>
      </c>
      <c r="DW86" s="280">
        <f>_xlfn.RANK.EQ(Table9[[#This Row],[Level 2 Score]],$DV$3:$DV$103)</f>
        <v>83</v>
      </c>
      <c r="DX86" s="302">
        <f>Table9[[#This Row],[Level 1 Score]]+Table9[[#This Row],[Level 2 Score]]</f>
        <v>0.28199999999999997</v>
      </c>
      <c r="DY86" s="294">
        <f>_xlfn.RANK.EQ(Table9[[#This Row],[Total Score]],$DX$3:$DX$103)</f>
        <v>84</v>
      </c>
      <c r="DZ86" s="237" t="str">
        <f>IF(Table9[[#This Row],[Count of Blanks]]&lt;=2, "Yes", "No")</f>
        <v>No</v>
      </c>
      <c r="EA86" s="237">
        <f>COUNTBLANK(Table9[[#This Row],[Name]:[Total Score Rank]])</f>
        <v>23</v>
      </c>
      <c r="EB86" s="237"/>
    </row>
    <row r="87" spans="2:132" ht="27" x14ac:dyDescent="0.25">
      <c r="B87" s="220">
        <v>2</v>
      </c>
      <c r="C87" s="221" t="s">
        <v>220</v>
      </c>
      <c r="D87" s="220" t="s">
        <v>68</v>
      </c>
      <c r="E87" s="220" t="s">
        <v>221</v>
      </c>
      <c r="F87" s="220" t="s">
        <v>222</v>
      </c>
      <c r="G87" s="220" t="s">
        <v>70</v>
      </c>
      <c r="H87" s="525" t="s">
        <v>430</v>
      </c>
      <c r="I87" s="70" t="s">
        <v>473</v>
      </c>
      <c r="J87" s="227" t="s">
        <v>444</v>
      </c>
      <c r="K87" s="220">
        <f>IFERROR(VLOOKUP(Table9[[#This Row],[Land Availability (Grade)​
(50%)]],'Detailed Rubric V3'!$B$8:$C$11,2), 0)</f>
        <v>0</v>
      </c>
      <c r="L87" s="220">
        <f>IFERROR(Table9[[#This Row],[Land Availability (Grade)​ Score]]*'Detailed Rubric V3'!$C$6, "")</f>
        <v>0</v>
      </c>
      <c r="M87" s="222">
        <v>640</v>
      </c>
      <c r="N87" s="222" cm="1">
        <f t="array" ref="N87">_xlfn.IFS(Table9[[#This Row],[Land Size (Acres)
(15%)]]&lt;100,0,Table9[[#This Row],[Land Size (Acres)
(15%)]]&gt;500,4,TRUE,2)</f>
        <v>4</v>
      </c>
      <c r="O87" s="222">
        <f>Table9[[#This Row],[Land Size (Acres) Score]]*'Detailed Rubric V3'!$G$6</f>
        <v>0.6</v>
      </c>
      <c r="P87" s="526"/>
      <c r="Q87" s="526">
        <f>IFERROR(Table9[[#This Row],[Site Filling Cost (Mn BDT)]]/Table9[[#This Row],[Land Size (Acres)
(15%)]],"")</f>
        <v>0</v>
      </c>
      <c r="R87" s="526" cm="1">
        <f t="array" ref="R87">IF(Table9[[#This Row],[Name]]="Sitakundo Economic Zone", 4, _xlfn.IFS(Table9[[#This Row],[Site Filling Cost (Mn BDT)]]="",0,Table9[[#This Row],[Land Suitability
(Cost of Land Filling in Million BDT per acre)
(25%)]]&gt;5,0,Table9[[#This Row],[Land Suitability
(Cost of Land Filling in Million BDT per acre)
(25%)]]&lt;2,4,TRUE,2))</f>
        <v>0</v>
      </c>
      <c r="S87" s="526">
        <f>Table9[[#This Row],[Land Suitability for Construction Score]]*'Detailed Rubric V3'!$J$6</f>
        <v>0</v>
      </c>
      <c r="T87" s="526"/>
      <c r="U87" s="526">
        <f>IFERROR(Table9[[#This Row],[Embankment/Dyke Cost (Mn BDT)]]/Table9[[#This Row],[Land Size (Acres)
(15%)]], 0)</f>
        <v>0</v>
      </c>
      <c r="V87" s="526" cm="1">
        <f t="array" ref="V87">IF(Table9[[#This Row],[Name]]="Sitakundo Economic Zone", 2, _xlfn.IFS(Table9[[#This Row],[Embankment/Dyke Cost (Mn BDT)]]="",0,Table9[[#This Row],[Cost of DRRI Infrastructure in million BDT per acre
(10%)]]&gt;5,0,Table9[[#This Row],[Cost of DRRI Infrastructure in million BDT per acre
(10%)]]&lt;2,4,TRUE,2))</f>
        <v>0</v>
      </c>
      <c r="W87" s="526">
        <f>Table9[[#This Row],[Requirement for Distaster Risk Reduction &amp; Resilience Infrastructure Score]]*'Detailed Rubric V3'!$M$6</f>
        <v>0</v>
      </c>
      <c r="X87"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87" s="452" t="s">
        <v>436</v>
      </c>
      <c r="Z87" s="210">
        <f>IFERROR(VLOOKUP(Table9[[#This Row],[Zone Priority
(40%)]],'Detailed Rubric V3'!$B$18:$C$21, 2,FALSE), 0)</f>
        <v>0</v>
      </c>
      <c r="AA87" s="210">
        <f>IFERROR(Table9[[#This Row],[Zone Priority Score]]*'Detailed Rubric V3'!$C$16, 0)</f>
        <v>0</v>
      </c>
      <c r="AB87" s="237" t="s">
        <v>441</v>
      </c>
      <c r="AC87" s="237">
        <f>VLOOKUP(Table9[[#This Row],[Existing BEZA Report
(60%)]],'Detailed Rubric V3'!$E$18:$F$20,2,FALSE)</f>
        <v>0</v>
      </c>
      <c r="AD87" s="237">
        <f>Table9[[#This Row],[Existing BEZA Report Score]]*'Detailed Rubric V3'!F$16</f>
        <v>0</v>
      </c>
      <c r="AE87" s="237">
        <f>(Table9[[#This Row],[Zone Priority Weighted Score]]+Table9[[#This Row],[Existing BEZA Report Weighted Score]])*'Detailed Rubric V3'!$C$14</f>
        <v>0</v>
      </c>
      <c r="AF87" s="528">
        <v>1</v>
      </c>
      <c r="AG87" s="529" cm="1">
        <f t="array" ref="AG87">_xlfn.IFS(Table9[[#This Row],[Existing Sectors
(50%)]]&gt;10, 4,Table9[[#This Row],[Existing Sectors
(50%)]]&lt;5, 0, TRUE, 2)</f>
        <v>0</v>
      </c>
      <c r="AH87" s="529">
        <f>Table9[[#This Row],[Existing Sectors Score]]*'Detailed Rubric V3'!$C$25</f>
        <v>0</v>
      </c>
      <c r="AI87" s="529">
        <v>2</v>
      </c>
      <c r="AJ87" s="529">
        <v>1</v>
      </c>
      <c r="AK87" s="529" cm="1">
        <f t="array" ref="AK87">_xlfn.IFS(Table9[[#This Row],[Potential New Sectors
(50%)]]&gt;5, 4, Table9[[#This Row],[Potential New Sectors
(50%)]]&lt;2,0, TRUE, 2)</f>
        <v>0</v>
      </c>
      <c r="AL87" s="529">
        <f>Table9[[#This Row],[Potential New Sectors Score]]*'Detailed Rubric V3'!$F$25</f>
        <v>0</v>
      </c>
      <c r="AM87" s="232">
        <f>(Table9[[#This Row],[Existing Sectors Weighted Score]]+Table9[[#This Row],[Potential New Sectors Weighted Score]])*'Detailed Rubric V3'!$C$23</f>
        <v>0</v>
      </c>
      <c r="AN87" s="530">
        <f>SUM(Table9[[#This Row],[1.1. Land Details (20% weightage)]],Table9[[#This Row],[1.2. BEZA Existing plans (15% weightage)]],Table9[[#This Row],[1.3. Sector Demand (15% weightage):]])</f>
        <v>0.12</v>
      </c>
      <c r="AO87" s="531">
        <f>_xlfn.RANK.EQ(Table9[[#This Row],[Level 1 Score]],$AN$3:$AN$103)</f>
        <v>90</v>
      </c>
      <c r="AP87" s="280"/>
      <c r="AQ87" s="280" cm="1">
        <f t="array" ref="AQ87">_xlfn.IFS(Table9[[#This Row],[National Highway Connectivity (km)
(15%)]]="", 0, Table9[[#This Row],[National Highway Connectivity (km)
(15%)]]&gt;50, 0, Table9[[#This Row],[National Highway Connectivity (km)
(15%)]]&lt;=25, 4, TRUE, 2)</f>
        <v>0</v>
      </c>
      <c r="AR87" s="280">
        <f>Table9[[#This Row],[National Highway Connectivity Score]]*'Detailed Rubric V3'!$C$35</f>
        <v>0</v>
      </c>
      <c r="AS87" s="280"/>
      <c r="AT87" s="280" cm="1">
        <f t="array" ref="AT87">_xlfn.IFS(Table9[[#This Row],[Connecting Road to Highway (km)
(15%)]]="", 0, Table9[[#This Row],[Connecting Road to Highway (km)
(15%)]]="Yes", 4, TRUE, 0)</f>
        <v>0</v>
      </c>
      <c r="AU87" s="280">
        <f>Table9[[#This Row],[Connecting Road to Highway Score]]*'Detailed Rubric V3'!$F$35</f>
        <v>0</v>
      </c>
      <c r="AV87" s="280"/>
      <c r="AW87" s="280" cm="1">
        <f t="array" ref="AW87">_xlfn.IFS(Table9[[#This Row],[Seaport Connectivity (km)
(30%)]]="",0, Table9[[#This Row],[Seaport Connectivity (km)
(30%)]]&gt;400, 0,Table9[[#This Row],[Seaport Connectivity (km)
(30%)]]&lt;=200,4, TRUE, 2)</f>
        <v>0</v>
      </c>
      <c r="AX87" s="280">
        <f>Table9[[#This Row],[Seaport Connectivity Score]]*'Detailed Rubric V3'!$I$35</f>
        <v>0</v>
      </c>
      <c r="AY87" s="280"/>
      <c r="AZ87" s="280" cm="1">
        <f t="array" ref="AZ87">_xlfn.IFS(Table9[[#This Row],[Airport Connectivity (km)
(10%)]]="", 0, Table9[[#This Row],[Airport Connectivity (km)
(10%)]]&gt;200, 0, Table9[[#This Row],[Airport Connectivity (km)
(10%)]]&lt;=100,4,TRUE, 2)</f>
        <v>0</v>
      </c>
      <c r="BA87" s="280">
        <f>Table9[[#This Row],[Airport Connectivity Score]]*'Detailed Rubric V3'!$C$41</f>
        <v>0</v>
      </c>
      <c r="BB87" s="280"/>
      <c r="BC87" s="280" cm="1">
        <f t="array" ref="BC87">_xlfn.IFS(Table9[[#This Row],[Railway Station (km)
(10%)]]="", 0, Table9[[#This Row],[Railway Station (km)
(10%)]]&gt;150, 0,Table9[[#This Row],[Railway Station (km)
(10%)]]&lt;=50,4, TRUE, 2)</f>
        <v>0</v>
      </c>
      <c r="BD87" s="280">
        <f>Table9[[#This Row],[Railway Station Score]]*'Detailed Rubric V3'!$F$41</f>
        <v>0</v>
      </c>
      <c r="BE87" s="280"/>
      <c r="BF87" s="280" cm="1">
        <f t="array" ref="BF87">_xlfn.IFS(Table9[[#This Row],[Inland waterway/ Land port (km)
(20%)]]="", 0, Table9[[#This Row],[Inland waterway/ Land port (km)
(20%)]]&gt;200, 0,Table9[[#This Row],[Inland waterway/ Land port (km)
(20%)]]&lt;=50,4, TRUE, 2)</f>
        <v>0</v>
      </c>
      <c r="BG87" s="280">
        <f>Table9[[#This Row],[Inland waterway/ Land port Score]]*'Detailed Rubric V3'!$I$41</f>
        <v>0</v>
      </c>
      <c r="BH87"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87" s="280"/>
      <c r="BJ87" s="280" cm="1">
        <f t="array" ref="BJ87">_xlfn.IFS(Table9[[#This Row],[Power Station (40%)]]="",0, Table9[[#This Row],[Power Station (40%)]]&gt;100, 0,Table9[[#This Row],[Power Station (40%)]]&lt;=50,4, TRUE, 2)</f>
        <v>0</v>
      </c>
      <c r="BK87" s="280">
        <f>Table9[[#This Row],[Power Station Score]]*'Detailed Rubric V3'!$C$53</f>
        <v>0</v>
      </c>
      <c r="BL87" s="280"/>
      <c r="BM87" s="280" cm="1">
        <f t="array" ref="BM87">IF(ISNUMBER(Table9[[#This Row],[Gas Station (20%)]]), _xlfn.IFS(Table9[[#This Row],[Gas Station (20%)]]="", 0, Table9[[#This Row],[Gas Station (20%)]]&gt;100, 0,Table9[[#This Row],[Gas Station (20%)]]&lt;=50,4, TRUE, 2), 0)</f>
        <v>0</v>
      </c>
      <c r="BN87" s="280">
        <f>Table9[[#This Row],[Gas Station Score]]*'Detailed Rubric V3'!$F$53</f>
        <v>0</v>
      </c>
      <c r="BO87" s="280"/>
      <c r="BP87" s="280" cm="1">
        <f t="array" ref="BP87">IF(ISNUMBER(Table9[[#This Row],[Source of Surface Water (40%)]]), _xlfn.IFS(Table9[[#This Row],[Source of Surface Water (40%)]]="", 0, Table9[[#This Row],[Source of Surface Water (40%)]]&gt;50, 0,Table9[[#This Row],[Source of Surface Water (40%)]]&lt;=20,4, TRUE, 2), 0)</f>
        <v>0</v>
      </c>
      <c r="BQ87" s="280">
        <f>Table9[[#This Row],[Source of Surface Water Score]]*'Detailed Rubric V3'!$I$53</f>
        <v>0</v>
      </c>
      <c r="BR87" s="280">
        <f>SUM(Table9[[#This Row],[Power Station Weighted Score]],Table9[[#This Row],[Gas Station Weighted Score]],Table9[[#This Row],[Source of Surface Water Weighted Score]])*'Detailed Rubric V3'!$C$51</f>
        <v>0</v>
      </c>
      <c r="BS87" s="280"/>
      <c r="BT87" s="280" cm="1">
        <f t="array" ref="BT87">_xlfn.IFS(Table9[[#This Row],[Other BEZA EZ (20%)]]="", 0, Table9[[#This Row],[Other BEZA EZ (20%)]]="Yes", 4, TRUE, 0)</f>
        <v>0</v>
      </c>
      <c r="BU87" s="280">
        <f>Table9[[#This Row],[Other BEZA EZ Score]]*'Detailed Rubric V3'!$C$66</f>
        <v>0</v>
      </c>
      <c r="BV87" s="280"/>
      <c r="BW87" s="280" cm="1">
        <f t="array" ref="BW87">_xlfn.IFS(Table9[[#This Row],[BEPZA/ BHPTA/ BSCIC (20%)]]="", 0, Table9[[#This Row],[BEPZA/ BHPTA/ BSCIC (20%)]]="Yes", 4, TRUE, 0)</f>
        <v>0</v>
      </c>
      <c r="BX87" s="280">
        <f>Table9[[#This Row],[BEPZA/ BHPTA/ BSCIC Score]]*'Detailed Rubric V3'!$F$66</f>
        <v>0</v>
      </c>
      <c r="BY87" s="280"/>
      <c r="BZ87" s="280" cm="1">
        <f t="array" ref="BZ87">_xlfn.IFS(Table9[[#This Row],[Cluster Industries (from SMI) (20%)]]="", 0, Table9[[#This Row],[Cluster Industries (from SMI) (20%)]]&gt;100, 4, Table9[[#This Row],[Cluster Industries (from SMI) (20%)]]&lt;50, 0, TRUE, 2)</f>
        <v>0</v>
      </c>
      <c r="CA87" s="280">
        <f>Table9[[#This Row],[Cluster Industries (from SMI) Score]]*'Detailed Rubric V3'!$I$66</f>
        <v>0</v>
      </c>
      <c r="CB87" s="280"/>
      <c r="CC87" s="280" cm="1">
        <f t="array" ref="CC87">_xlfn.IFS(Table9[[#This Row],[Located on Industrial corridor (40%)]]="", 0, Table9[[#This Row],[Located on Industrial corridor (40%)]]="Yes", 4, TRUE, 0)</f>
        <v>0</v>
      </c>
      <c r="CD87" s="280">
        <f>Table9[[#This Row],[Located on Industrial corridor Score]]*'Detailed Rubric V3'!$L$66</f>
        <v>0</v>
      </c>
      <c r="CE87" s="280">
        <f>SUM(Table9[[#This Row],[Other BEZA EZ Weighted Score]],Table9[[#This Row],[BEPZA/ BHPTA/ BSCIC Weighted Score]],Table9[[#This Row],[Unorganized (from SMI) Weighted Score]],Table9[[#This Row],[Located on Industrial corridor Weighted Score]])*'Detailed Rubric V3'!$C$64</f>
        <v>0</v>
      </c>
      <c r="CF87" s="280"/>
      <c r="CG87" s="280" cm="1">
        <f t="array" ref="CG87">_xlfn.IFS(Table9[[#This Row],[Economic/ Social priority (laggered area) (100%)]]="", 0, Table9[[#This Row],[Economic/ Social priority (laggered area) (100%)]]="Yes", 4, TRUE, 0)</f>
        <v>0</v>
      </c>
      <c r="CH87" s="280">
        <f>Table9[[#This Row],[Economic/ Social priority (laggered area) Score]]*'Detailed Rubric V3'!$C$82</f>
        <v>0</v>
      </c>
      <c r="CI87" s="280"/>
      <c r="CJ87" s="280" cm="1">
        <f t="array" ref="CJ87">_xlfn.IFS(Table9[[#This Row],[Regional Tax incentive  (0%)]]="", 0, Table9[[#This Row],[Regional Tax incentive  (0%)]]="Yes", 4, TRUE, 0)</f>
        <v>0</v>
      </c>
      <c r="CK87" s="280">
        <f>Table9[[#This Row],[Regional Tax incentive Score]]*'Detailed Rubric V3'!$F$82</f>
        <v>0</v>
      </c>
      <c r="CL87" s="280">
        <f>SUM(Table9[[#This Row],[Economic/ Social priority (laagered area) Weighted Score]],Table9[[#This Row],[Regional Tax incentive  Weighted Score]])*'Detailed Rubric V3'!$C$80</f>
        <v>0</v>
      </c>
      <c r="CM87" s="280"/>
      <c r="CN87" s="280" cm="1">
        <f t="array" ref="CN87">_xlfn.IFS(Table9[[#This Row],[Employable population (40%) 2013]]="", 0, Table9[[#This Row],[Employable population (40%) 2013]]&gt;200000, 4, Table9[[#This Row],[Employable population (40%) 2013]]&lt;100000,0, TRUE, 2)</f>
        <v>0</v>
      </c>
      <c r="CO87" s="280">
        <f>Table9[[#This Row],[Employable population Score]]*'Detailed Rubric V3'!$C$92</f>
        <v>0</v>
      </c>
      <c r="CP87" s="280"/>
      <c r="CQ87" s="280" cm="1">
        <f t="array" ref="CQ87">_xlfn.IFS(Table9[[#This Row],[Housing (20%)]]="", 0, Table9[[#This Row],[Housing (20%)]]&gt;50, 0, Table9[[#This Row],[Housing (20%)]]&lt;25, 4, TRUE, 2)</f>
        <v>0</v>
      </c>
      <c r="CR87" s="280">
        <f>Table9[[#This Row],[Housing Score]]*'Detailed Rubric V3'!$F$92</f>
        <v>0</v>
      </c>
      <c r="CS87" s="280"/>
      <c r="CT87" s="280" cm="1">
        <f t="array" ref="CT87">_xlfn.IFS(Table9[[#This Row],[Hotels (10%)]]="", 0, Table9[[#This Row],[Hotels (10%)]]&gt;25, 4, Table9[[#This Row],[Hotels (10%)]]&lt;5, 0, TRUE, 2)</f>
        <v>0</v>
      </c>
      <c r="CU87" s="280">
        <f>Table9[[#This Row],[Hotels Score]]*'Detailed Rubric V3'!$I$92</f>
        <v>0</v>
      </c>
      <c r="CV87" s="280"/>
      <c r="CW87" s="280" cm="1">
        <f t="array" ref="CW87">_xlfn.IFS(Table9[[#This Row],[Health (Hospital) (15%)]]="", 0, Table9[[#This Row],[Health (Hospital) (15%)]]&gt;10, 4, Table9[[#This Row],[Health (Hospital) (15%)]]&lt;5, 0, TRUE, 2)</f>
        <v>0</v>
      </c>
      <c r="CX87" s="280">
        <f>Table9[[#This Row],[Health (Hospital) Score]]*'Detailed Rubric V3'!$L$92</f>
        <v>0</v>
      </c>
      <c r="CY87" s="280"/>
      <c r="CZ87" s="280" cm="1">
        <f t="array" ref="CZ87">_xlfn.IFS(Table9[[#This Row],[University/ Technical &amp; Vocational Institutions (15%)]]="", 0, Table9[[#This Row],[University/ Technical &amp; Vocational Institutions (15%)]]&gt;3, 4, Table9[[#This Row],[University/ Technical &amp; Vocational Institutions (15%)]]&lt;1, 0, TRUE, 2)</f>
        <v>0</v>
      </c>
      <c r="DA87" s="280">
        <f>Table9[[#This Row],[University/ Technical &amp; Vocational Institutions Score]]*'Detailed Rubric V3'!$O$92</f>
        <v>0</v>
      </c>
      <c r="DB87"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87" s="280"/>
      <c r="DD87" s="280" cm="1">
        <f t="array" ref="DD87">_xlfn.IFS(Table9[[#This Row],[Environment compliance (30%)]]="", 0, Table9[[#This Row],[Environment compliance (30%)]]="Yes", 4, TRUE, 0)</f>
        <v>0</v>
      </c>
      <c r="DE87" s="280">
        <f>Table9[[#This Row],[Environment compliance Score]]*'Detailed Rubric V3'!$C$104</f>
        <v>0</v>
      </c>
      <c r="DF87" s="280" t="s">
        <v>428</v>
      </c>
      <c r="DG87" s="280" cm="1">
        <f t="array" ref="DG87">_xlfn.IFS(Table9[[#This Row],[Flood Risk Index (30%)]]="", 0, Table9[[#This Row],[Flood Risk Index (30%)]]="Very Low", 4, Table9[[#This Row],[Flood Risk Index (30%)]]="Moderate &amp; Low", 2, TRUE, 0)</f>
        <v>4</v>
      </c>
      <c r="DH87" s="280">
        <f>Table9[[#This Row],[Flood Risk Index Score]]*'Detailed Rubric V3'!$F$104</f>
        <v>1.2</v>
      </c>
      <c r="DI87" s="280" t="s">
        <v>428</v>
      </c>
      <c r="DJ87" s="280" cm="1">
        <f t="array" ref="DJ87">_xlfn.IFS(Table9[[#This Row],[Earth Quake Risk Index (10%)]]="", 0, Table9[[#This Row],[Earth Quake Risk Index (10%)]]="Very Low", 4, Table9[[#This Row],[Earth Quake Risk Index (10%)]]="Moderate &amp; Low", 2, TRUE, 0)</f>
        <v>4</v>
      </c>
      <c r="DK87" s="280">
        <f>Table9[[#This Row],[Earth Quake Risk Index Score]]*'Detailed Rubric V3'!$I$104</f>
        <v>0.4</v>
      </c>
      <c r="DL87" s="280" t="s">
        <v>428</v>
      </c>
      <c r="DM87" s="280" cm="1">
        <f t="array" ref="DM87">_xlfn.IFS(Table9[[#This Row],[Sea Level Rise Risk Index (10%)]]="", 0, Table9[[#This Row],[Sea Level Rise Risk Index (10%)]]="Very Low", 4, Table9[[#This Row],[Sea Level Rise Risk Index (10%)]]="Moderate &amp; Low", 2, TRUE, 0)</f>
        <v>4</v>
      </c>
      <c r="DN87" s="280">
        <f>Table9[[#This Row],[Sea Level Rise  Risk Index Score]]*'Detailed Rubric V3'!$L$104</f>
        <v>0.4</v>
      </c>
      <c r="DO87" s="280" t="s">
        <v>419</v>
      </c>
      <c r="DP87" s="280" cm="1">
        <f t="array" ref="DP87">_xlfn.IFS(Table9[[#This Row],[Cyclone Risk Index (10%)]]="", 0, Table9[[#This Row],[Cyclone Risk Index (10%)]]="Very Low", 4, Table9[[#This Row],[Cyclone Risk Index (10%)]]="Moderate &amp; Low", 2, TRUE, 0)</f>
        <v>2</v>
      </c>
      <c r="DQ87" s="280">
        <f>Table9[[#This Row],[Cyclone Risk Index Score]]*'Detailed Rubric V3'!$O$104</f>
        <v>0.2</v>
      </c>
      <c r="DR87" s="280" t="s">
        <v>428</v>
      </c>
      <c r="DS87" s="280" cm="1">
        <f t="array" ref="DS87">_xlfn.IFS(Table9[[#This Row],[Storm Surge Risk Index (10%)]]="", 0, Table9[[#This Row],[Storm Surge Risk Index (10%)]]="Very Low", 4, Table9[[#This Row],[Storm Surge Risk Index (10%)]]="Moderate &amp; Low", 2, TRUE, 0)</f>
        <v>4</v>
      </c>
      <c r="DT87" s="280">
        <f>Table9[[#This Row],[Storm Surge Risk Index Score]]*'Detailed Rubric V3'!$R$104</f>
        <v>0.4</v>
      </c>
      <c r="DU87"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0.156</v>
      </c>
      <c r="DV87" s="309">
        <f>SUM(Table9[[#This Row],[2.1. Connectivity/ Logistics (10% weightage)]],Table9[[#This Row],[2.2. Utility (12% weightage)]],Table9[[#This Row],[2.3. Agglomeration effects (10% weightage)]],Table9[[#This Row],[2.4. Regional Policy (4% weightage)]],Table9[[#This Row],[2.5. Social (8% weightage)]],Table9[[#This Row],[2.6. Environment (6% weightage)]])</f>
        <v>0.156</v>
      </c>
      <c r="DW87" s="280">
        <f>_xlfn.RANK.EQ(Table9[[#This Row],[Level 2 Score]],$DV$3:$DV$103)</f>
        <v>51</v>
      </c>
      <c r="DX87" s="302">
        <f>Table9[[#This Row],[Level 1 Score]]+Table9[[#This Row],[Level 2 Score]]</f>
        <v>0.27600000000000002</v>
      </c>
      <c r="DY87" s="294">
        <f>_xlfn.RANK.EQ(Table9[[#This Row],[Total Score]],$DX$3:$DX$103)</f>
        <v>85</v>
      </c>
      <c r="DZ87" s="237" t="str">
        <f>IF(Table9[[#This Row],[Count of Blanks]]&lt;=2, "Yes", "No")</f>
        <v>No</v>
      </c>
      <c r="EA87" s="237">
        <f>COUNTBLANK(Table9[[#This Row],[Name]:[Total Score Rank]])</f>
        <v>23</v>
      </c>
      <c r="EB87" s="237"/>
    </row>
    <row r="88" spans="2:132" ht="27" x14ac:dyDescent="0.25">
      <c r="B88" s="220">
        <v>61</v>
      </c>
      <c r="C88" s="221" t="s">
        <v>223</v>
      </c>
      <c r="D88" s="220" t="s">
        <v>94</v>
      </c>
      <c r="E88" s="220" t="s">
        <v>202</v>
      </c>
      <c r="F88" s="220" t="s">
        <v>224</v>
      </c>
      <c r="G88" s="220" t="s">
        <v>70</v>
      </c>
      <c r="H88" s="525" t="s">
        <v>430</v>
      </c>
      <c r="I88" s="70" t="s">
        <v>474</v>
      </c>
      <c r="J88" s="227" t="s">
        <v>444</v>
      </c>
      <c r="K88" s="220">
        <f>IFERROR(VLOOKUP(Table9[[#This Row],[Land Availability (Grade)​
(50%)]],'Detailed Rubric V3'!$B$8:$C$11,2), 0)</f>
        <v>0</v>
      </c>
      <c r="L88" s="220">
        <f>IFERROR(Table9[[#This Row],[Land Availability (Grade)​ Score]]*'Detailed Rubric V3'!$C$6, "")</f>
        <v>0</v>
      </c>
      <c r="M88" s="222">
        <v>2925.2</v>
      </c>
      <c r="N88" s="222" cm="1">
        <f t="array" ref="N88">_xlfn.IFS(Table9[[#This Row],[Land Size (Acres)
(15%)]]&lt;100,0,Table9[[#This Row],[Land Size (Acres)
(15%)]]&gt;500,4,TRUE,2)</f>
        <v>4</v>
      </c>
      <c r="O88" s="222">
        <f>Table9[[#This Row],[Land Size (Acres) Score]]*'Detailed Rubric V3'!$G$6</f>
        <v>0.6</v>
      </c>
      <c r="P88" s="526"/>
      <c r="Q88" s="526">
        <f>IFERROR(Table9[[#This Row],[Site Filling Cost (Mn BDT)]]/Table9[[#This Row],[Land Size (Acres)
(15%)]],"")</f>
        <v>0</v>
      </c>
      <c r="R88" s="526" cm="1">
        <f t="array" ref="R88">IF(Table9[[#This Row],[Name]]="Sitakundo Economic Zone", 4, _xlfn.IFS(Table9[[#This Row],[Site Filling Cost (Mn BDT)]]="",0,Table9[[#This Row],[Land Suitability
(Cost of Land Filling in Million BDT per acre)
(25%)]]&gt;5,0,Table9[[#This Row],[Land Suitability
(Cost of Land Filling in Million BDT per acre)
(25%)]]&lt;2,4,TRUE,2))</f>
        <v>0</v>
      </c>
      <c r="S88" s="526">
        <f>Table9[[#This Row],[Land Suitability for Construction Score]]*'Detailed Rubric V3'!$J$6</f>
        <v>0</v>
      </c>
      <c r="T88" s="526"/>
      <c r="U88" s="526">
        <f>IFERROR(Table9[[#This Row],[Embankment/Dyke Cost (Mn BDT)]]/Table9[[#This Row],[Land Size (Acres)
(15%)]], 0)</f>
        <v>0</v>
      </c>
      <c r="V88" s="526" cm="1">
        <f t="array" ref="V88">IF(Table9[[#This Row],[Name]]="Sitakundo Economic Zone", 2, _xlfn.IFS(Table9[[#This Row],[Embankment/Dyke Cost (Mn BDT)]]="",0,Table9[[#This Row],[Cost of DRRI Infrastructure in million BDT per acre
(10%)]]&gt;5,0,Table9[[#This Row],[Cost of DRRI Infrastructure in million BDT per acre
(10%)]]&lt;2,4,TRUE,2))</f>
        <v>0</v>
      </c>
      <c r="W88" s="526">
        <f>Table9[[#This Row],[Requirement for Distaster Risk Reduction &amp; Resilience Infrastructure Score]]*'Detailed Rubric V3'!$M$6</f>
        <v>0</v>
      </c>
      <c r="X88"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88" s="227" t="s">
        <v>436</v>
      </c>
      <c r="Z88" s="210">
        <f>IFERROR(VLOOKUP(Table9[[#This Row],[Zone Priority
(40%)]],'Detailed Rubric V3'!$B$18:$C$21, 2,FALSE), 0)</f>
        <v>0</v>
      </c>
      <c r="AA88" s="210">
        <f>IFERROR(Table9[[#This Row],[Zone Priority Score]]*'Detailed Rubric V3'!$C$16, 0)</f>
        <v>0</v>
      </c>
      <c r="AB88" s="237" t="s">
        <v>441</v>
      </c>
      <c r="AC88" s="237">
        <f>VLOOKUP(Table9[[#This Row],[Existing BEZA Report
(60%)]],'Detailed Rubric V3'!$E$18:$F$20,2,FALSE)</f>
        <v>0</v>
      </c>
      <c r="AD88" s="237">
        <f>Table9[[#This Row],[Existing BEZA Report Score]]*'Detailed Rubric V3'!F$16</f>
        <v>0</v>
      </c>
      <c r="AE88" s="237">
        <f>(Table9[[#This Row],[Zone Priority Weighted Score]]+Table9[[#This Row],[Existing BEZA Report Weighted Score]])*'Detailed Rubric V3'!$C$14</f>
        <v>0</v>
      </c>
      <c r="AF88" s="528">
        <v>4</v>
      </c>
      <c r="AG88" s="529" cm="1">
        <f t="array" ref="AG88">_xlfn.IFS(Table9[[#This Row],[Existing Sectors
(50%)]]&gt;10, 4,Table9[[#This Row],[Existing Sectors
(50%)]]&lt;5, 0, TRUE, 2)</f>
        <v>0</v>
      </c>
      <c r="AH88" s="529">
        <f>Table9[[#This Row],[Existing Sectors Score]]*'Detailed Rubric V3'!$C$25</f>
        <v>0</v>
      </c>
      <c r="AI88" s="529">
        <v>5</v>
      </c>
      <c r="AJ88" s="529">
        <v>1</v>
      </c>
      <c r="AK88" s="529" cm="1">
        <f t="array" ref="AK88">_xlfn.IFS(Table9[[#This Row],[Potential New Sectors
(50%)]]&gt;5, 4, Table9[[#This Row],[Potential New Sectors
(50%)]]&lt;2,0, TRUE, 2)</f>
        <v>0</v>
      </c>
      <c r="AL88" s="529">
        <f>Table9[[#This Row],[Potential New Sectors Score]]*'Detailed Rubric V3'!$F$25</f>
        <v>0</v>
      </c>
      <c r="AM88" s="232">
        <f>(Table9[[#This Row],[Existing Sectors Weighted Score]]+Table9[[#This Row],[Potential New Sectors Weighted Score]])*'Detailed Rubric V3'!$C$23</f>
        <v>0</v>
      </c>
      <c r="AN88" s="530">
        <f>SUM(Table9[[#This Row],[1.1. Land Details (20% weightage)]],Table9[[#This Row],[1.2. BEZA Existing plans (15% weightage)]],Table9[[#This Row],[1.3. Sector Demand (15% weightage):]])</f>
        <v>0.12</v>
      </c>
      <c r="AO88" s="531">
        <f>_xlfn.RANK.EQ(Table9[[#This Row],[Level 1 Score]],$AN$3:$AN$103)</f>
        <v>90</v>
      </c>
      <c r="AP88" s="280"/>
      <c r="AQ88" s="280" cm="1">
        <f t="array" ref="AQ88">_xlfn.IFS(Table9[[#This Row],[National Highway Connectivity (km)
(15%)]]="", 0, Table9[[#This Row],[National Highway Connectivity (km)
(15%)]]&gt;50, 0, Table9[[#This Row],[National Highway Connectivity (km)
(15%)]]&lt;=25, 4, TRUE, 2)</f>
        <v>0</v>
      </c>
      <c r="AR88" s="280">
        <f>Table9[[#This Row],[National Highway Connectivity Score]]*'Detailed Rubric V3'!$C$35</f>
        <v>0</v>
      </c>
      <c r="AS88" s="280"/>
      <c r="AT88" s="280" cm="1">
        <f t="array" ref="AT88">_xlfn.IFS(Table9[[#This Row],[Connecting Road to Highway (km)
(15%)]]="", 0, Table9[[#This Row],[Connecting Road to Highway (km)
(15%)]]="Yes", 4, TRUE, 0)</f>
        <v>0</v>
      </c>
      <c r="AU88" s="280">
        <f>Table9[[#This Row],[Connecting Road to Highway Score]]*'Detailed Rubric V3'!$F$35</f>
        <v>0</v>
      </c>
      <c r="AV88" s="280"/>
      <c r="AW88" s="280" cm="1">
        <f t="array" ref="AW88">_xlfn.IFS(Table9[[#This Row],[Seaport Connectivity (km)
(30%)]]="",0, Table9[[#This Row],[Seaport Connectivity (km)
(30%)]]&gt;400, 0,Table9[[#This Row],[Seaport Connectivity (km)
(30%)]]&lt;=200,4, TRUE, 2)</f>
        <v>0</v>
      </c>
      <c r="AX88" s="280">
        <f>Table9[[#This Row],[Seaport Connectivity Score]]*'Detailed Rubric V3'!$I$35</f>
        <v>0</v>
      </c>
      <c r="AY88" s="280"/>
      <c r="AZ88" s="280" cm="1">
        <f t="array" ref="AZ88">_xlfn.IFS(Table9[[#This Row],[Airport Connectivity (km)
(10%)]]="", 0, Table9[[#This Row],[Airport Connectivity (km)
(10%)]]&gt;200, 0, Table9[[#This Row],[Airport Connectivity (km)
(10%)]]&lt;=100,4,TRUE, 2)</f>
        <v>0</v>
      </c>
      <c r="BA88" s="280">
        <f>Table9[[#This Row],[Airport Connectivity Score]]*'Detailed Rubric V3'!$C$41</f>
        <v>0</v>
      </c>
      <c r="BB88" s="280"/>
      <c r="BC88" s="280" cm="1">
        <f t="array" ref="BC88">_xlfn.IFS(Table9[[#This Row],[Railway Station (km)
(10%)]]="", 0, Table9[[#This Row],[Railway Station (km)
(10%)]]&gt;150, 0,Table9[[#This Row],[Railway Station (km)
(10%)]]&lt;=50,4, TRUE, 2)</f>
        <v>0</v>
      </c>
      <c r="BD88" s="280">
        <f>Table9[[#This Row],[Railway Station Score]]*'Detailed Rubric V3'!$F$41</f>
        <v>0</v>
      </c>
      <c r="BE88" s="280"/>
      <c r="BF88" s="280" cm="1">
        <f t="array" ref="BF88">_xlfn.IFS(Table9[[#This Row],[Inland waterway/ Land port (km)
(20%)]]="", 0, Table9[[#This Row],[Inland waterway/ Land port (km)
(20%)]]&gt;200, 0,Table9[[#This Row],[Inland waterway/ Land port (km)
(20%)]]&lt;=50,4, TRUE, 2)</f>
        <v>0</v>
      </c>
      <c r="BG88" s="280">
        <f>Table9[[#This Row],[Inland waterway/ Land port Score]]*'Detailed Rubric V3'!$I$41</f>
        <v>0</v>
      </c>
      <c r="BH88"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88" s="280"/>
      <c r="BJ88" s="280" cm="1">
        <f t="array" ref="BJ88">_xlfn.IFS(Table9[[#This Row],[Power Station (40%)]]="",0, Table9[[#This Row],[Power Station (40%)]]&gt;100, 0,Table9[[#This Row],[Power Station (40%)]]&lt;=50,4, TRUE, 2)</f>
        <v>0</v>
      </c>
      <c r="BK88" s="280">
        <f>Table9[[#This Row],[Power Station Score]]*'Detailed Rubric V3'!$C$53</f>
        <v>0</v>
      </c>
      <c r="BL88" s="280"/>
      <c r="BM88" s="280" cm="1">
        <f t="array" ref="BM88">IF(ISNUMBER(Table9[[#This Row],[Gas Station (20%)]]), _xlfn.IFS(Table9[[#This Row],[Gas Station (20%)]]="", 0, Table9[[#This Row],[Gas Station (20%)]]&gt;100, 0,Table9[[#This Row],[Gas Station (20%)]]&lt;=50,4, TRUE, 2), 0)</f>
        <v>0</v>
      </c>
      <c r="BN88" s="280">
        <f>Table9[[#This Row],[Gas Station Score]]*'Detailed Rubric V3'!$F$53</f>
        <v>0</v>
      </c>
      <c r="BO88" s="280"/>
      <c r="BP88" s="280" cm="1">
        <f t="array" ref="BP88">IF(ISNUMBER(Table9[[#This Row],[Source of Surface Water (40%)]]), _xlfn.IFS(Table9[[#This Row],[Source of Surface Water (40%)]]="", 0, Table9[[#This Row],[Source of Surface Water (40%)]]&gt;50, 0,Table9[[#This Row],[Source of Surface Water (40%)]]&lt;=20,4, TRUE, 2), 0)</f>
        <v>0</v>
      </c>
      <c r="BQ88" s="280">
        <f>Table9[[#This Row],[Source of Surface Water Score]]*'Detailed Rubric V3'!$I$53</f>
        <v>0</v>
      </c>
      <c r="BR88" s="280">
        <f>SUM(Table9[[#This Row],[Power Station Weighted Score]],Table9[[#This Row],[Gas Station Weighted Score]],Table9[[#This Row],[Source of Surface Water Weighted Score]])*'Detailed Rubric V3'!$C$51</f>
        <v>0</v>
      </c>
      <c r="BS88" s="280"/>
      <c r="BT88" s="280" cm="1">
        <f t="array" ref="BT88">_xlfn.IFS(Table9[[#This Row],[Other BEZA EZ (20%)]]="", 0, Table9[[#This Row],[Other BEZA EZ (20%)]]="Yes", 4, TRUE, 0)</f>
        <v>0</v>
      </c>
      <c r="BU88" s="280">
        <f>Table9[[#This Row],[Other BEZA EZ Score]]*'Detailed Rubric V3'!$C$66</f>
        <v>0</v>
      </c>
      <c r="BV88" s="280"/>
      <c r="BW88" s="280" cm="1">
        <f t="array" ref="BW88">_xlfn.IFS(Table9[[#This Row],[BEPZA/ BHPTA/ BSCIC (20%)]]="", 0, Table9[[#This Row],[BEPZA/ BHPTA/ BSCIC (20%)]]="Yes", 4, TRUE, 0)</f>
        <v>0</v>
      </c>
      <c r="BX88" s="280">
        <f>Table9[[#This Row],[BEPZA/ BHPTA/ BSCIC Score]]*'Detailed Rubric V3'!$F$66</f>
        <v>0</v>
      </c>
      <c r="BY88" s="280"/>
      <c r="BZ88" s="280" cm="1">
        <f t="array" ref="BZ88">_xlfn.IFS(Table9[[#This Row],[Cluster Industries (from SMI) (20%)]]="", 0, Table9[[#This Row],[Cluster Industries (from SMI) (20%)]]&gt;100, 4, Table9[[#This Row],[Cluster Industries (from SMI) (20%)]]&lt;50, 0, TRUE, 2)</f>
        <v>0</v>
      </c>
      <c r="CA88" s="280">
        <f>Table9[[#This Row],[Cluster Industries (from SMI) Score]]*'Detailed Rubric V3'!$I$66</f>
        <v>0</v>
      </c>
      <c r="CB88" s="280"/>
      <c r="CC88" s="280" cm="1">
        <f t="array" ref="CC88">_xlfn.IFS(Table9[[#This Row],[Located on Industrial corridor (40%)]]="", 0, Table9[[#This Row],[Located on Industrial corridor (40%)]]="Yes", 4, TRUE, 0)</f>
        <v>0</v>
      </c>
      <c r="CD88" s="280">
        <f>Table9[[#This Row],[Located on Industrial corridor Score]]*'Detailed Rubric V3'!$L$66</f>
        <v>0</v>
      </c>
      <c r="CE88" s="280">
        <f>SUM(Table9[[#This Row],[Other BEZA EZ Weighted Score]],Table9[[#This Row],[BEPZA/ BHPTA/ BSCIC Weighted Score]],Table9[[#This Row],[Unorganized (from SMI) Weighted Score]],Table9[[#This Row],[Located on Industrial corridor Weighted Score]])*'Detailed Rubric V3'!$C$64</f>
        <v>0</v>
      </c>
      <c r="CF88" s="280"/>
      <c r="CG88" s="280" cm="1">
        <f t="array" ref="CG88">_xlfn.IFS(Table9[[#This Row],[Economic/ Social priority (laggered area) (100%)]]="", 0, Table9[[#This Row],[Economic/ Social priority (laggered area) (100%)]]="Yes", 4, TRUE, 0)</f>
        <v>0</v>
      </c>
      <c r="CH88" s="280">
        <f>Table9[[#This Row],[Economic/ Social priority (laggered area) Score]]*'Detailed Rubric V3'!$C$82</f>
        <v>0</v>
      </c>
      <c r="CI88" s="280"/>
      <c r="CJ88" s="280" cm="1">
        <f t="array" ref="CJ88">_xlfn.IFS(Table9[[#This Row],[Regional Tax incentive  (0%)]]="", 0, Table9[[#This Row],[Regional Tax incentive  (0%)]]="Yes", 4, TRUE, 0)</f>
        <v>0</v>
      </c>
      <c r="CK88" s="280">
        <f>Table9[[#This Row],[Regional Tax incentive Score]]*'Detailed Rubric V3'!$F$82</f>
        <v>0</v>
      </c>
      <c r="CL88" s="280">
        <f>SUM(Table9[[#This Row],[Economic/ Social priority (laagered area) Weighted Score]],Table9[[#This Row],[Regional Tax incentive  Weighted Score]])*'Detailed Rubric V3'!$C$80</f>
        <v>0</v>
      </c>
      <c r="CM88" s="280"/>
      <c r="CN88" s="280" cm="1">
        <f t="array" ref="CN88">_xlfn.IFS(Table9[[#This Row],[Employable population (40%) 2013]]="", 0, Table9[[#This Row],[Employable population (40%) 2013]]&gt;200000, 4, Table9[[#This Row],[Employable population (40%) 2013]]&lt;100000,0, TRUE, 2)</f>
        <v>0</v>
      </c>
      <c r="CO88" s="280">
        <f>Table9[[#This Row],[Employable population Score]]*'Detailed Rubric V3'!$C$92</f>
        <v>0</v>
      </c>
      <c r="CP88" s="280"/>
      <c r="CQ88" s="280" cm="1">
        <f t="array" ref="CQ88">_xlfn.IFS(Table9[[#This Row],[Housing (20%)]]="", 0, Table9[[#This Row],[Housing (20%)]]&gt;50, 0, Table9[[#This Row],[Housing (20%)]]&lt;25, 4, TRUE, 2)</f>
        <v>0</v>
      </c>
      <c r="CR88" s="280">
        <f>Table9[[#This Row],[Housing Score]]*'Detailed Rubric V3'!$F$92</f>
        <v>0</v>
      </c>
      <c r="CS88" s="280"/>
      <c r="CT88" s="280" cm="1">
        <f t="array" ref="CT88">_xlfn.IFS(Table9[[#This Row],[Hotels (10%)]]="", 0, Table9[[#This Row],[Hotels (10%)]]&gt;25, 4, Table9[[#This Row],[Hotels (10%)]]&lt;5, 0, TRUE, 2)</f>
        <v>0</v>
      </c>
      <c r="CU88" s="280">
        <f>Table9[[#This Row],[Hotels Score]]*'Detailed Rubric V3'!$I$92</f>
        <v>0</v>
      </c>
      <c r="CV88" s="280"/>
      <c r="CW88" s="280" cm="1">
        <f t="array" ref="CW88">_xlfn.IFS(Table9[[#This Row],[Health (Hospital) (15%)]]="", 0, Table9[[#This Row],[Health (Hospital) (15%)]]&gt;10, 4, Table9[[#This Row],[Health (Hospital) (15%)]]&lt;5, 0, TRUE, 2)</f>
        <v>0</v>
      </c>
      <c r="CX88" s="280">
        <f>Table9[[#This Row],[Health (Hospital) Score]]*'Detailed Rubric V3'!$L$92</f>
        <v>0</v>
      </c>
      <c r="CY88" s="280"/>
      <c r="CZ88" s="280" cm="1">
        <f t="array" ref="CZ88">_xlfn.IFS(Table9[[#This Row],[University/ Technical &amp; Vocational Institutions (15%)]]="", 0, Table9[[#This Row],[University/ Technical &amp; Vocational Institutions (15%)]]&gt;3, 4, Table9[[#This Row],[University/ Technical &amp; Vocational Institutions (15%)]]&lt;1, 0, TRUE, 2)</f>
        <v>0</v>
      </c>
      <c r="DA88" s="280">
        <f>Table9[[#This Row],[University/ Technical &amp; Vocational Institutions Score]]*'Detailed Rubric V3'!$O$92</f>
        <v>0</v>
      </c>
      <c r="DB88"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88" s="280"/>
      <c r="DD88" s="280" cm="1">
        <f t="array" ref="DD88">_xlfn.IFS(Table9[[#This Row],[Environment compliance (30%)]]="", 0, Table9[[#This Row],[Environment compliance (30%)]]="Yes", 4, TRUE, 0)</f>
        <v>0</v>
      </c>
      <c r="DE88" s="280">
        <f>Table9[[#This Row],[Environment compliance Score]]*'Detailed Rubric V3'!$C$104</f>
        <v>0</v>
      </c>
      <c r="DF88" s="280" t="s">
        <v>428</v>
      </c>
      <c r="DG88" s="280" cm="1">
        <f t="array" ref="DG88">_xlfn.IFS(Table9[[#This Row],[Flood Risk Index (30%)]]="", 0, Table9[[#This Row],[Flood Risk Index (30%)]]="Very Low", 4, Table9[[#This Row],[Flood Risk Index (30%)]]="Moderate &amp; Low", 2, TRUE, 0)</f>
        <v>4</v>
      </c>
      <c r="DH88" s="280">
        <f>Table9[[#This Row],[Flood Risk Index Score]]*'Detailed Rubric V3'!$F$104</f>
        <v>1.2</v>
      </c>
      <c r="DI88" s="280" t="s">
        <v>419</v>
      </c>
      <c r="DJ88" s="280" cm="1">
        <f t="array" ref="DJ88">_xlfn.IFS(Table9[[#This Row],[Earth Quake Risk Index (10%)]]="", 0, Table9[[#This Row],[Earth Quake Risk Index (10%)]]="Very Low", 4, Table9[[#This Row],[Earth Quake Risk Index (10%)]]="Moderate &amp; Low", 2, TRUE, 0)</f>
        <v>2</v>
      </c>
      <c r="DK88" s="280">
        <f>Table9[[#This Row],[Earth Quake Risk Index Score]]*'Detailed Rubric V3'!$I$104</f>
        <v>0.2</v>
      </c>
      <c r="DL88" s="280" t="s">
        <v>428</v>
      </c>
      <c r="DM88" s="280" cm="1">
        <f t="array" ref="DM88">_xlfn.IFS(Table9[[#This Row],[Sea Level Rise Risk Index (10%)]]="", 0, Table9[[#This Row],[Sea Level Rise Risk Index (10%)]]="Very Low", 4, Table9[[#This Row],[Sea Level Rise Risk Index (10%)]]="Moderate &amp; Low", 2, TRUE, 0)</f>
        <v>4</v>
      </c>
      <c r="DN88" s="280">
        <f>Table9[[#This Row],[Sea Level Rise  Risk Index Score]]*'Detailed Rubric V3'!$L$104</f>
        <v>0.4</v>
      </c>
      <c r="DO88" s="280" t="s">
        <v>428</v>
      </c>
      <c r="DP88" s="280" cm="1">
        <f t="array" ref="DP88">_xlfn.IFS(Table9[[#This Row],[Cyclone Risk Index (10%)]]="", 0, Table9[[#This Row],[Cyclone Risk Index (10%)]]="Very Low", 4, Table9[[#This Row],[Cyclone Risk Index (10%)]]="Moderate &amp; Low", 2, TRUE, 0)</f>
        <v>4</v>
      </c>
      <c r="DQ88" s="280">
        <f>Table9[[#This Row],[Cyclone Risk Index Score]]*'Detailed Rubric V3'!$O$104</f>
        <v>0.4</v>
      </c>
      <c r="DR88" s="280" t="s">
        <v>428</v>
      </c>
      <c r="DS88" s="280" cm="1">
        <f t="array" ref="DS88">_xlfn.IFS(Table9[[#This Row],[Storm Surge Risk Index (10%)]]="", 0, Table9[[#This Row],[Storm Surge Risk Index (10%)]]="Very Low", 4, Table9[[#This Row],[Storm Surge Risk Index (10%)]]="Moderate &amp; Low", 2, TRUE, 0)</f>
        <v>4</v>
      </c>
      <c r="DT88" s="280">
        <f>Table9[[#This Row],[Storm Surge Risk Index Score]]*'Detailed Rubric V3'!$R$104</f>
        <v>0.4</v>
      </c>
      <c r="DU88"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0.15599999999999997</v>
      </c>
      <c r="DV88" s="309">
        <f>SUM(Table9[[#This Row],[2.1. Connectivity/ Logistics (10% weightage)]],Table9[[#This Row],[2.2. Utility (12% weightage)]],Table9[[#This Row],[2.3. Agglomeration effects (10% weightage)]],Table9[[#This Row],[2.4. Regional Policy (4% weightage)]],Table9[[#This Row],[2.5. Social (8% weightage)]],Table9[[#This Row],[2.6. Environment (6% weightage)]])</f>
        <v>0.15599999999999997</v>
      </c>
      <c r="DW88" s="280">
        <f>_xlfn.RANK.EQ(Table9[[#This Row],[Level 2 Score]],$DV$3:$DV$103)</f>
        <v>52</v>
      </c>
      <c r="DX88" s="302">
        <f>Table9[[#This Row],[Level 1 Score]]+Table9[[#This Row],[Level 2 Score]]</f>
        <v>0.27599999999999997</v>
      </c>
      <c r="DY88" s="294">
        <f>_xlfn.RANK.EQ(Table9[[#This Row],[Total Score]],$DX$3:$DX$103)</f>
        <v>86</v>
      </c>
      <c r="DZ88" s="237" t="str">
        <f>IF(Table9[[#This Row],[Count of Blanks]]&lt;=2, "Yes", "No")</f>
        <v>No</v>
      </c>
      <c r="EA88" s="237">
        <f>COUNTBLANK(Table9[[#This Row],[Name]:[Total Score Rank]])</f>
        <v>23</v>
      </c>
      <c r="EB88" s="237"/>
    </row>
    <row r="89" spans="2:132" ht="54" x14ac:dyDescent="0.25">
      <c r="B89" s="544" t="s">
        <v>225</v>
      </c>
      <c r="C89" s="545" t="s">
        <v>226</v>
      </c>
      <c r="D89" s="544" t="s">
        <v>68</v>
      </c>
      <c r="E89" s="544" t="s">
        <v>180</v>
      </c>
      <c r="F89" s="544" t="s">
        <v>180</v>
      </c>
      <c r="G89" s="544"/>
      <c r="H89" s="557"/>
      <c r="I89" s="251"/>
      <c r="J89" s="511" t="s">
        <v>180</v>
      </c>
      <c r="K89" s="225">
        <f>IFERROR(VLOOKUP(Table9[[#This Row],[Land Availability (Grade)​
(50%)]],'Detailed Rubric V3'!$B$8:$C$11,2), 0)</f>
        <v>0</v>
      </c>
      <c r="L89" s="225">
        <f>IFERROR(Table9[[#This Row],[Land Availability (Grade)​ Score]]*'Detailed Rubric V3'!$C$6, "")</f>
        <v>0</v>
      </c>
      <c r="M89" s="225">
        <v>20315.810000000001</v>
      </c>
      <c r="N89" s="548" cm="1">
        <f t="array" ref="N89">_xlfn.IFS(Table9[[#This Row],[Land Size (Acres)
(15%)]]&lt;100,0,Table9[[#This Row],[Land Size (Acres)
(15%)]]&gt;500,4,TRUE,2)</f>
        <v>4</v>
      </c>
      <c r="O89" s="548">
        <f>Table9[[#This Row],[Land Size (Acres) Score]]*'Detailed Rubric V3'!$G$6</f>
        <v>0.6</v>
      </c>
      <c r="P89" s="549"/>
      <c r="Q89" s="549">
        <f>IFERROR(Table9[[#This Row],[Site Filling Cost (Mn BDT)]]/Table9[[#This Row],[Land Size (Acres)
(15%)]],"")</f>
        <v>0</v>
      </c>
      <c r="R89" s="549" cm="1">
        <f t="array" ref="R89">IF(Table9[[#This Row],[Name]]="Sitakundo Economic Zone", 4, _xlfn.IFS(Table9[[#This Row],[Site Filling Cost (Mn BDT)]]="",0,Table9[[#This Row],[Land Suitability
(Cost of Land Filling in Million BDT per acre)
(25%)]]&gt;5,0,Table9[[#This Row],[Land Suitability
(Cost of Land Filling in Million BDT per acre)
(25%)]]&lt;2,4,TRUE,2))</f>
        <v>0</v>
      </c>
      <c r="S89" s="549">
        <f>Table9[[#This Row],[Land Suitability for Construction Score]]*'Detailed Rubric V3'!$J$6</f>
        <v>0</v>
      </c>
      <c r="T89" s="549"/>
      <c r="U89" s="549">
        <f>IFERROR(Table9[[#This Row],[Embankment/Dyke Cost (Mn BDT)]]/Table9[[#This Row],[Land Size (Acres)
(15%)]], 0)</f>
        <v>0</v>
      </c>
      <c r="V89" s="549" cm="1">
        <f t="array" ref="V89">IF(Table9[[#This Row],[Name]]="Sitakundo Economic Zone", 2, _xlfn.IFS(Table9[[#This Row],[Embankment/Dyke Cost (Mn BDT)]]="",0,Table9[[#This Row],[Cost of DRRI Infrastructure in million BDT per acre
(10%)]]&gt;5,0,Table9[[#This Row],[Cost of DRRI Infrastructure in million BDT per acre
(10%)]]&lt;2,4,TRUE,2))</f>
        <v>0</v>
      </c>
      <c r="W89" s="549">
        <f>Table9[[#This Row],[Requirement for Distaster Risk Reduction &amp; Resilience Infrastructure Score]]*'Detailed Rubric V3'!$M$6</f>
        <v>0</v>
      </c>
      <c r="X89" s="550">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89" s="511" t="s">
        <v>440</v>
      </c>
      <c r="Z89" s="587">
        <f>IFERROR(VLOOKUP(Table9[[#This Row],[Zone Priority
(40%)]],'Detailed Rubric V3'!$B$18:$C$21, 2,FALSE), 0)</f>
        <v>4</v>
      </c>
      <c r="AA89" s="587">
        <f>IFERROR(Table9[[#This Row],[Zone Priority Score]]*'Detailed Rubric V3'!$C$16, 0)</f>
        <v>0</v>
      </c>
      <c r="AB89" s="588" t="s">
        <v>441</v>
      </c>
      <c r="AC89" s="588">
        <f>VLOOKUP(Table9[[#This Row],[Existing BEZA Report
(60%)]],'Detailed Rubric V3'!$E$18:$F$20,2,FALSE)</f>
        <v>0</v>
      </c>
      <c r="AD89" s="588">
        <f>Table9[[#This Row],[Existing BEZA Report Score]]*'Detailed Rubric V3'!F$16</f>
        <v>0</v>
      </c>
      <c r="AE89" s="518">
        <f>(Table9[[#This Row],[Zone Priority Weighted Score]]+Table9[[#This Row],[Existing BEZA Report Weighted Score]])*'Detailed Rubric V3'!$C$14</f>
        <v>0</v>
      </c>
      <c r="AF89" s="552">
        <v>1</v>
      </c>
      <c r="AG89" s="589" cm="1">
        <f t="array" ref="AG89">_xlfn.IFS(Table9[[#This Row],[Existing Sectors
(50%)]]&gt;10, 4,Table9[[#This Row],[Existing Sectors
(50%)]]&lt;5, 0, TRUE, 2)</f>
        <v>0</v>
      </c>
      <c r="AH89" s="589">
        <f>Table9[[#This Row],[Existing Sectors Score]]*'Detailed Rubric V3'!$C$25</f>
        <v>0</v>
      </c>
      <c r="AI89" s="589">
        <v>4</v>
      </c>
      <c r="AJ89" s="589">
        <v>3</v>
      </c>
      <c r="AK89" s="589" cm="1">
        <f t="array" ref="AK89">_xlfn.IFS(Table9[[#This Row],[Potential New Sectors
(50%)]]&gt;5, 4, Table9[[#This Row],[Potential New Sectors
(50%)]]&lt;2,0, TRUE, 2)</f>
        <v>2</v>
      </c>
      <c r="AL89" s="589">
        <f>Table9[[#This Row],[Potential New Sectors Score]]*'Detailed Rubric V3'!$F$25</f>
        <v>1</v>
      </c>
      <c r="AM89" s="590">
        <f>(Table9[[#This Row],[Existing Sectors Weighted Score]]+Table9[[#This Row],[Potential New Sectors Weighted Score]])*'Detailed Rubric V3'!$C$23</f>
        <v>0.15</v>
      </c>
      <c r="AN89" s="555">
        <f>SUM(Table9[[#This Row],[1.1. Land Details (20% weightage)]],Table9[[#This Row],[1.2. BEZA Existing plans (15% weightage)]],Table9[[#This Row],[1.3. Sector Demand (15% weightage):]])</f>
        <v>0.27</v>
      </c>
      <c r="AO89" s="556">
        <f>_xlfn.RANK.EQ(Table9[[#This Row],[Level 1 Score]],$AN$3:$AN$103)</f>
        <v>72</v>
      </c>
      <c r="AP89" s="280"/>
      <c r="AQ89" s="280" cm="1">
        <f t="array" ref="AQ89">_xlfn.IFS(Table9[[#This Row],[National Highway Connectivity (km)
(15%)]]="", 0, Table9[[#This Row],[National Highway Connectivity (km)
(15%)]]&gt;50, 0, Table9[[#This Row],[National Highway Connectivity (km)
(15%)]]&lt;=25, 4, TRUE, 2)</f>
        <v>0</v>
      </c>
      <c r="AR89" s="280">
        <f>Table9[[#This Row],[National Highway Connectivity Score]]*'Detailed Rubric V3'!$C$35</f>
        <v>0</v>
      </c>
      <c r="AS89" s="280"/>
      <c r="AT89" s="280" cm="1">
        <f t="array" ref="AT89">_xlfn.IFS(Table9[[#This Row],[Connecting Road to Highway (km)
(15%)]]="", 0, Table9[[#This Row],[Connecting Road to Highway (km)
(15%)]]="Yes", 4, TRUE, 0)</f>
        <v>0</v>
      </c>
      <c r="AU89" s="280">
        <f>Table9[[#This Row],[Connecting Road to Highway Score]]*'Detailed Rubric V3'!$F$35</f>
        <v>0</v>
      </c>
      <c r="AV89" s="280"/>
      <c r="AW89" s="280" cm="1">
        <f t="array" ref="AW89">_xlfn.IFS(Table9[[#This Row],[Seaport Connectivity (km)
(30%)]]="",0, Table9[[#This Row],[Seaport Connectivity (km)
(30%)]]&gt;400, 0,Table9[[#This Row],[Seaport Connectivity (km)
(30%)]]&lt;=200,4, TRUE, 2)</f>
        <v>0</v>
      </c>
      <c r="AX89" s="280">
        <f>Table9[[#This Row],[Seaport Connectivity Score]]*'Detailed Rubric V3'!$I$35</f>
        <v>0</v>
      </c>
      <c r="AY89" s="280"/>
      <c r="AZ89" s="280" cm="1">
        <f t="array" ref="AZ89">_xlfn.IFS(Table9[[#This Row],[Airport Connectivity (km)
(10%)]]="", 0, Table9[[#This Row],[Airport Connectivity (km)
(10%)]]&gt;200, 0, Table9[[#This Row],[Airport Connectivity (km)
(10%)]]&lt;=100,4,TRUE, 2)</f>
        <v>0</v>
      </c>
      <c r="BA89" s="280">
        <f>Table9[[#This Row],[Airport Connectivity Score]]*'Detailed Rubric V3'!$C$41</f>
        <v>0</v>
      </c>
      <c r="BB89" s="280"/>
      <c r="BC89" s="280" cm="1">
        <f t="array" ref="BC89">_xlfn.IFS(Table9[[#This Row],[Railway Station (km)
(10%)]]="", 0, Table9[[#This Row],[Railway Station (km)
(10%)]]&gt;150, 0,Table9[[#This Row],[Railway Station (km)
(10%)]]&lt;=50,4, TRUE, 2)</f>
        <v>0</v>
      </c>
      <c r="BD89" s="280">
        <f>Table9[[#This Row],[Railway Station Score]]*'Detailed Rubric V3'!$F$41</f>
        <v>0</v>
      </c>
      <c r="BE89" s="280"/>
      <c r="BF89" s="280" cm="1">
        <f t="array" ref="BF89">_xlfn.IFS(Table9[[#This Row],[Inland waterway/ Land port (km)
(20%)]]="", 0, Table9[[#This Row],[Inland waterway/ Land port (km)
(20%)]]&gt;200, 0,Table9[[#This Row],[Inland waterway/ Land port (km)
(20%)]]&lt;=50,4, TRUE, 2)</f>
        <v>0</v>
      </c>
      <c r="BG89" s="280">
        <f>Table9[[#This Row],[Inland waterway/ Land port Score]]*'Detailed Rubric V3'!$I$41</f>
        <v>0</v>
      </c>
      <c r="BH89"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89" s="280"/>
      <c r="BJ89" s="280" cm="1">
        <f t="array" ref="BJ89">_xlfn.IFS(Table9[[#This Row],[Power Station (40%)]]="",0, Table9[[#This Row],[Power Station (40%)]]&gt;100, 0,Table9[[#This Row],[Power Station (40%)]]&lt;=50,4, TRUE, 2)</f>
        <v>0</v>
      </c>
      <c r="BK89" s="280">
        <f>Table9[[#This Row],[Power Station Score]]*'Detailed Rubric V3'!$C$53</f>
        <v>0</v>
      </c>
      <c r="BL89" s="280"/>
      <c r="BM89" s="280" cm="1">
        <f t="array" ref="BM89">IF(ISNUMBER(Table9[[#This Row],[Gas Station (20%)]]), _xlfn.IFS(Table9[[#This Row],[Gas Station (20%)]]="", 0, Table9[[#This Row],[Gas Station (20%)]]&gt;100, 0,Table9[[#This Row],[Gas Station (20%)]]&lt;=50,4, TRUE, 2), 0)</f>
        <v>0</v>
      </c>
      <c r="BN89" s="280">
        <f>Table9[[#This Row],[Gas Station Score]]*'Detailed Rubric V3'!$F$53</f>
        <v>0</v>
      </c>
      <c r="BO89" s="280"/>
      <c r="BP89" s="280" cm="1">
        <f t="array" ref="BP89">IF(ISNUMBER(Table9[[#This Row],[Source of Surface Water (40%)]]), _xlfn.IFS(Table9[[#This Row],[Source of Surface Water (40%)]]="", 0, Table9[[#This Row],[Source of Surface Water (40%)]]&gt;50, 0,Table9[[#This Row],[Source of Surface Water (40%)]]&lt;=20,4, TRUE, 2), 0)</f>
        <v>0</v>
      </c>
      <c r="BQ89" s="280">
        <f>Table9[[#This Row],[Source of Surface Water Score]]*'Detailed Rubric V3'!$I$53</f>
        <v>0</v>
      </c>
      <c r="BR89" s="280">
        <f>SUM(Table9[[#This Row],[Power Station Weighted Score]],Table9[[#This Row],[Gas Station Weighted Score]],Table9[[#This Row],[Source of Surface Water Weighted Score]])*'Detailed Rubric V3'!$C$51</f>
        <v>0</v>
      </c>
      <c r="BS89" s="280"/>
      <c r="BT89" s="280" cm="1">
        <f t="array" ref="BT89">_xlfn.IFS(Table9[[#This Row],[Other BEZA EZ (20%)]]="", 0, Table9[[#This Row],[Other BEZA EZ (20%)]]="Yes", 4, TRUE, 0)</f>
        <v>0</v>
      </c>
      <c r="BU89" s="280">
        <f>Table9[[#This Row],[Other BEZA EZ Score]]*'Detailed Rubric V3'!$C$66</f>
        <v>0</v>
      </c>
      <c r="BV89" s="280"/>
      <c r="BW89" s="280" cm="1">
        <f t="array" ref="BW89">_xlfn.IFS(Table9[[#This Row],[BEPZA/ BHPTA/ BSCIC (20%)]]="", 0, Table9[[#This Row],[BEPZA/ BHPTA/ BSCIC (20%)]]="Yes", 4, TRUE, 0)</f>
        <v>0</v>
      </c>
      <c r="BX89" s="280">
        <f>Table9[[#This Row],[BEPZA/ BHPTA/ BSCIC Score]]*'Detailed Rubric V3'!$F$66</f>
        <v>0</v>
      </c>
      <c r="BY89" s="280"/>
      <c r="BZ89" s="280" cm="1">
        <f t="array" ref="BZ89">_xlfn.IFS(Table9[[#This Row],[Cluster Industries (from SMI) (20%)]]="", 0, Table9[[#This Row],[Cluster Industries (from SMI) (20%)]]&gt;100, 4, Table9[[#This Row],[Cluster Industries (from SMI) (20%)]]&lt;50, 0, TRUE, 2)</f>
        <v>0</v>
      </c>
      <c r="CA89" s="280">
        <f>Table9[[#This Row],[Cluster Industries (from SMI) Score]]*'Detailed Rubric V3'!$I$66</f>
        <v>0</v>
      </c>
      <c r="CB89" s="280"/>
      <c r="CC89" s="280" cm="1">
        <f t="array" ref="CC89">_xlfn.IFS(Table9[[#This Row],[Located on Industrial corridor (40%)]]="", 0, Table9[[#This Row],[Located on Industrial corridor (40%)]]="Yes", 4, TRUE, 0)</f>
        <v>0</v>
      </c>
      <c r="CD89" s="280">
        <f>Table9[[#This Row],[Located on Industrial corridor Score]]*'Detailed Rubric V3'!$L$66</f>
        <v>0</v>
      </c>
      <c r="CE89" s="280">
        <f>SUM(Table9[[#This Row],[Other BEZA EZ Weighted Score]],Table9[[#This Row],[BEPZA/ BHPTA/ BSCIC Weighted Score]],Table9[[#This Row],[Unorganized (from SMI) Weighted Score]],Table9[[#This Row],[Located on Industrial corridor Weighted Score]])*'Detailed Rubric V3'!$C$64</f>
        <v>0</v>
      </c>
      <c r="CF89" s="280"/>
      <c r="CG89" s="280" cm="1">
        <f t="array" ref="CG89">_xlfn.IFS(Table9[[#This Row],[Economic/ Social priority (laggered area) (100%)]]="", 0, Table9[[#This Row],[Economic/ Social priority (laggered area) (100%)]]="Yes", 4, TRUE, 0)</f>
        <v>0</v>
      </c>
      <c r="CH89" s="280">
        <f>Table9[[#This Row],[Economic/ Social priority (laggered area) Score]]*'Detailed Rubric V3'!$C$82</f>
        <v>0</v>
      </c>
      <c r="CI89" s="280"/>
      <c r="CJ89" s="280" cm="1">
        <f t="array" ref="CJ89">_xlfn.IFS(Table9[[#This Row],[Regional Tax incentive  (0%)]]="", 0, Table9[[#This Row],[Regional Tax incentive  (0%)]]="Yes", 4, TRUE, 0)</f>
        <v>0</v>
      </c>
      <c r="CK89" s="280">
        <f>Table9[[#This Row],[Regional Tax incentive Score]]*'Detailed Rubric V3'!$F$82</f>
        <v>0</v>
      </c>
      <c r="CL89" s="280">
        <f>SUM(Table9[[#This Row],[Economic/ Social priority (laagered area) Weighted Score]],Table9[[#This Row],[Regional Tax incentive  Weighted Score]])*'Detailed Rubric V3'!$C$80</f>
        <v>0</v>
      </c>
      <c r="CM89" s="280"/>
      <c r="CN89" s="280" cm="1">
        <f t="array" ref="CN89">_xlfn.IFS(Table9[[#This Row],[Employable population (40%) 2013]]="", 0, Table9[[#This Row],[Employable population (40%) 2013]]&gt;200000, 4, Table9[[#This Row],[Employable population (40%) 2013]]&lt;100000,0, TRUE, 2)</f>
        <v>0</v>
      </c>
      <c r="CO89" s="280">
        <f>Table9[[#This Row],[Employable population Score]]*'Detailed Rubric V3'!$C$92</f>
        <v>0</v>
      </c>
      <c r="CP89" s="280"/>
      <c r="CQ89" s="280" cm="1">
        <f t="array" ref="CQ89">_xlfn.IFS(Table9[[#This Row],[Housing (20%)]]="", 0, Table9[[#This Row],[Housing (20%)]]&gt;50, 0, Table9[[#This Row],[Housing (20%)]]&lt;25, 4, TRUE, 2)</f>
        <v>0</v>
      </c>
      <c r="CR89" s="280">
        <f>Table9[[#This Row],[Housing Score]]*'Detailed Rubric V3'!$F$92</f>
        <v>0</v>
      </c>
      <c r="CS89" s="280"/>
      <c r="CT89" s="280" cm="1">
        <f t="array" ref="CT89">_xlfn.IFS(Table9[[#This Row],[Hotels (10%)]]="", 0, Table9[[#This Row],[Hotels (10%)]]&gt;25, 4, Table9[[#This Row],[Hotels (10%)]]&lt;5, 0, TRUE, 2)</f>
        <v>0</v>
      </c>
      <c r="CU89" s="280">
        <f>Table9[[#This Row],[Hotels Score]]*'Detailed Rubric V3'!$I$92</f>
        <v>0</v>
      </c>
      <c r="CV89" s="280"/>
      <c r="CW89" s="280" cm="1">
        <f t="array" ref="CW89">_xlfn.IFS(Table9[[#This Row],[Health (Hospital) (15%)]]="", 0, Table9[[#This Row],[Health (Hospital) (15%)]]&gt;10, 4, Table9[[#This Row],[Health (Hospital) (15%)]]&lt;5, 0, TRUE, 2)</f>
        <v>0</v>
      </c>
      <c r="CX89" s="280">
        <f>Table9[[#This Row],[Health (Hospital) Score]]*'Detailed Rubric V3'!$L$92</f>
        <v>0</v>
      </c>
      <c r="CY89" s="280"/>
      <c r="CZ89" s="280" cm="1">
        <f t="array" ref="CZ89">_xlfn.IFS(Table9[[#This Row],[University/ Technical &amp; Vocational Institutions (15%)]]="", 0, Table9[[#This Row],[University/ Technical &amp; Vocational Institutions (15%)]]&gt;3, 4, Table9[[#This Row],[University/ Technical &amp; Vocational Institutions (15%)]]&lt;1, 0, TRUE, 2)</f>
        <v>0</v>
      </c>
      <c r="DA89" s="280">
        <f>Table9[[#This Row],[University/ Technical &amp; Vocational Institutions Score]]*'Detailed Rubric V3'!$O$92</f>
        <v>0</v>
      </c>
      <c r="DB89"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89" s="280"/>
      <c r="DD89" s="280" cm="1">
        <f t="array" ref="DD89">_xlfn.IFS(Table9[[#This Row],[Environment compliance (30%)]]="", 0, Table9[[#This Row],[Environment compliance (30%)]]="Yes", 4, TRUE, 0)</f>
        <v>0</v>
      </c>
      <c r="DE89" s="280">
        <f>Table9[[#This Row],[Environment compliance Score]]*'Detailed Rubric V3'!$C$104</f>
        <v>0</v>
      </c>
      <c r="DF89" s="280"/>
      <c r="DG89" s="280" cm="1">
        <f t="array" ref="DG89">_xlfn.IFS(Table9[[#This Row],[Flood Risk Index (30%)]]="", 0, Table9[[#This Row],[Flood Risk Index (30%)]]="Very Low", 4, Table9[[#This Row],[Flood Risk Index (30%)]]="Moderate &amp; Low", 2, TRUE, 0)</f>
        <v>0</v>
      </c>
      <c r="DH89" s="280">
        <f>Table9[[#This Row],[Flood Risk Index Score]]*'Detailed Rubric V3'!$F$104</f>
        <v>0</v>
      </c>
      <c r="DI89" s="280"/>
      <c r="DJ89" s="280" cm="1">
        <f t="array" ref="DJ89">_xlfn.IFS(Table9[[#This Row],[Earth Quake Risk Index (10%)]]="", 0, Table9[[#This Row],[Earth Quake Risk Index (10%)]]="Very Low", 4, Table9[[#This Row],[Earth Quake Risk Index (10%)]]="Moderate &amp; Low", 2, TRUE, 0)</f>
        <v>0</v>
      </c>
      <c r="DK89" s="280">
        <f>Table9[[#This Row],[Earth Quake Risk Index Score]]*'Detailed Rubric V3'!$I$104</f>
        <v>0</v>
      </c>
      <c r="DL89" s="280"/>
      <c r="DM89" s="280" cm="1">
        <f t="array" ref="DM89">_xlfn.IFS(Table9[[#This Row],[Sea Level Rise Risk Index (10%)]]="", 0, Table9[[#This Row],[Sea Level Rise Risk Index (10%)]]="Very Low", 4, Table9[[#This Row],[Sea Level Rise Risk Index (10%)]]="Moderate &amp; Low", 2, TRUE, 0)</f>
        <v>0</v>
      </c>
      <c r="DN89" s="280">
        <f>Table9[[#This Row],[Sea Level Rise  Risk Index Score]]*'Detailed Rubric V3'!$L$104</f>
        <v>0</v>
      </c>
      <c r="DO89" s="280"/>
      <c r="DP89" s="280" cm="1">
        <f t="array" ref="DP89">_xlfn.IFS(Table9[[#This Row],[Cyclone Risk Index (10%)]]="", 0, Table9[[#This Row],[Cyclone Risk Index (10%)]]="Very Low", 4, Table9[[#This Row],[Cyclone Risk Index (10%)]]="Moderate &amp; Low", 2, TRUE, 0)</f>
        <v>0</v>
      </c>
      <c r="DQ89" s="280">
        <f>Table9[[#This Row],[Cyclone Risk Index Score]]*'Detailed Rubric V3'!$O$104</f>
        <v>0</v>
      </c>
      <c r="DR89" s="280"/>
      <c r="DS89" s="280" cm="1">
        <f t="array" ref="DS89">_xlfn.IFS(Table9[[#This Row],[Storm Surge Risk Index (10%)]]="", 0, Table9[[#This Row],[Storm Surge Risk Index (10%)]]="Very Low", 4, Table9[[#This Row],[Storm Surge Risk Index (10%)]]="Moderate &amp; Low", 2, TRUE, 0)</f>
        <v>0</v>
      </c>
      <c r="DT89" s="280">
        <f>Table9[[#This Row],[Storm Surge Risk Index Score]]*'Detailed Rubric V3'!$R$104</f>
        <v>0</v>
      </c>
      <c r="DU89"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v>
      </c>
      <c r="DV89" s="309">
        <f>SUM(Table9[[#This Row],[2.1. Connectivity/ Logistics (10% weightage)]],Table9[[#This Row],[2.2. Utility (12% weightage)]],Table9[[#This Row],[2.3. Agglomeration effects (10% weightage)]],Table9[[#This Row],[2.4. Regional Policy (4% weightage)]],Table9[[#This Row],[2.5. Social (8% weightage)]],Table9[[#This Row],[2.6. Environment (6% weightage)]])</f>
        <v>0</v>
      </c>
      <c r="DW89" s="280">
        <f>_xlfn.RANK.EQ(Table9[[#This Row],[Level 2 Score]],$DV$3:$DV$103)</f>
        <v>101</v>
      </c>
      <c r="DX89" s="302">
        <f>Table9[[#This Row],[Level 1 Score]]+Table9[[#This Row],[Level 2 Score]]</f>
        <v>0.27</v>
      </c>
      <c r="DY89" s="294">
        <f>_xlfn.RANK.EQ(Table9[[#This Row],[Total Score]],$DX$3:$DX$103)</f>
        <v>87</v>
      </c>
      <c r="DZ89" s="237" t="str">
        <f>IF(Table9[[#This Row],[Count of Blanks]]&lt;=2, "Yes", "No")</f>
        <v>No</v>
      </c>
      <c r="EA89" s="237">
        <f>COUNTBLANK(Table9[[#This Row],[Name]:[Total Score Rank]])</f>
        <v>31</v>
      </c>
      <c r="EB89" s="237"/>
    </row>
    <row r="90" spans="2:132" ht="40.5" x14ac:dyDescent="0.25">
      <c r="B90" s="220">
        <v>69</v>
      </c>
      <c r="C90" s="221" t="s">
        <v>191</v>
      </c>
      <c r="D90" s="220" t="s">
        <v>76</v>
      </c>
      <c r="E90" s="220" t="s">
        <v>117</v>
      </c>
      <c r="F90" s="220" t="s">
        <v>118</v>
      </c>
      <c r="G90" s="220" t="s">
        <v>92</v>
      </c>
      <c r="H90" s="525" t="s">
        <v>430</v>
      </c>
      <c r="I90" s="70" t="s">
        <v>455</v>
      </c>
      <c r="J90" s="227" t="s">
        <v>444</v>
      </c>
      <c r="K90" s="220">
        <f>IFERROR(VLOOKUP(Table9[[#This Row],[Land Availability (Grade)​
(50%)]],'Detailed Rubric V3'!$B$8:$C$11,2), 0)</f>
        <v>0</v>
      </c>
      <c r="L90" s="220">
        <f>IFERROR(Table9[[#This Row],[Land Availability (Grade)​ Score]]*'Detailed Rubric V3'!$C$6, "")</f>
        <v>0</v>
      </c>
      <c r="M90" s="222">
        <v>492</v>
      </c>
      <c r="N90" s="222" cm="1">
        <f t="array" ref="N90">_xlfn.IFS(Table9[[#This Row],[Land Size (Acres)
(15%)]]&lt;100,0,Table9[[#This Row],[Land Size (Acres)
(15%)]]&gt;500,4,TRUE,2)</f>
        <v>2</v>
      </c>
      <c r="O90" s="222">
        <f>Table9[[#This Row],[Land Size (Acres) Score]]*'Detailed Rubric V3'!$G$6</f>
        <v>0.3</v>
      </c>
      <c r="P90" s="526"/>
      <c r="Q90" s="526">
        <f>IFERROR(Table9[[#This Row],[Site Filling Cost (Mn BDT)]]/Table9[[#This Row],[Land Size (Acres)
(15%)]],"")</f>
        <v>0</v>
      </c>
      <c r="R90" s="526" cm="1">
        <f t="array" ref="R90">IF(Table9[[#This Row],[Name]]="Sitakundo Economic Zone", 4, _xlfn.IFS(Table9[[#This Row],[Site Filling Cost (Mn BDT)]]="",0,Table9[[#This Row],[Land Suitability
(Cost of Land Filling in Million BDT per acre)
(25%)]]&gt;5,0,Table9[[#This Row],[Land Suitability
(Cost of Land Filling in Million BDT per acre)
(25%)]]&lt;2,4,TRUE,2))</f>
        <v>0</v>
      </c>
      <c r="S90" s="526">
        <f>Table9[[#This Row],[Land Suitability for Construction Score]]*'Detailed Rubric V3'!$J$6</f>
        <v>0</v>
      </c>
      <c r="T90" s="526"/>
      <c r="U90" s="526">
        <f>IFERROR(Table9[[#This Row],[Embankment/Dyke Cost (Mn BDT)]]/Table9[[#This Row],[Land Size (Acres)
(15%)]], 0)</f>
        <v>0</v>
      </c>
      <c r="V90" s="526" cm="1">
        <f t="array" ref="V90">IF(Table9[[#This Row],[Name]]="Sitakundo Economic Zone", 2, _xlfn.IFS(Table9[[#This Row],[Embankment/Dyke Cost (Mn BDT)]]="",0,Table9[[#This Row],[Cost of DRRI Infrastructure in million BDT per acre
(10%)]]&gt;5,0,Table9[[#This Row],[Cost of DRRI Infrastructure in million BDT per acre
(10%)]]&lt;2,4,TRUE,2))</f>
        <v>0</v>
      </c>
      <c r="W90" s="526">
        <f>Table9[[#This Row],[Requirement for Distaster Risk Reduction &amp; Resilience Infrastructure Score]]*'Detailed Rubric V3'!$M$6</f>
        <v>0</v>
      </c>
      <c r="X90"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90" s="227" t="s">
        <v>440</v>
      </c>
      <c r="Z90" s="210">
        <f>IFERROR(VLOOKUP(Table9[[#This Row],[Zone Priority
(40%)]],'Detailed Rubric V3'!$B$18:$C$21, 2,FALSE), 0)</f>
        <v>4</v>
      </c>
      <c r="AA90" s="210">
        <f>IFERROR(Table9[[#This Row],[Zone Priority Score]]*'Detailed Rubric V3'!$C$16, 0)</f>
        <v>0</v>
      </c>
      <c r="AB90" s="237" t="s">
        <v>441</v>
      </c>
      <c r="AC90" s="237">
        <f>VLOOKUP(Table9[[#This Row],[Existing BEZA Report
(60%)]],'Detailed Rubric V3'!$E$18:$F$20,2,FALSE)</f>
        <v>0</v>
      </c>
      <c r="AD90" s="237">
        <f>Table9[[#This Row],[Existing BEZA Report Score]]*'Detailed Rubric V3'!F$16</f>
        <v>0</v>
      </c>
      <c r="AE90" s="237">
        <f>(Table9[[#This Row],[Zone Priority Weighted Score]]+Table9[[#This Row],[Existing BEZA Report Weighted Score]])*'Detailed Rubric V3'!$C$14</f>
        <v>0</v>
      </c>
      <c r="AF90" s="528">
        <v>5</v>
      </c>
      <c r="AG90" s="529" cm="1">
        <f t="array" ref="AG90">_xlfn.IFS(Table9[[#This Row],[Existing Sectors
(50%)]]&gt;10, 4,Table9[[#This Row],[Existing Sectors
(50%)]]&lt;5, 0, TRUE, 2)</f>
        <v>2</v>
      </c>
      <c r="AH90" s="529">
        <f>Table9[[#This Row],[Existing Sectors Score]]*'Detailed Rubric V3'!$C$25</f>
        <v>1</v>
      </c>
      <c r="AI90" s="529">
        <v>6</v>
      </c>
      <c r="AJ90" s="529">
        <v>1</v>
      </c>
      <c r="AK90" s="529" cm="1">
        <f t="array" ref="AK90">_xlfn.IFS(Table9[[#This Row],[Potential New Sectors
(50%)]]&gt;5, 4, Table9[[#This Row],[Potential New Sectors
(50%)]]&lt;2,0, TRUE, 2)</f>
        <v>0</v>
      </c>
      <c r="AL90" s="529">
        <f>Table9[[#This Row],[Potential New Sectors Score]]*'Detailed Rubric V3'!$F$25</f>
        <v>0</v>
      </c>
      <c r="AM90" s="232">
        <f>(Table9[[#This Row],[Existing Sectors Weighted Score]]+Table9[[#This Row],[Potential New Sectors Weighted Score]])*'Detailed Rubric V3'!$C$23</f>
        <v>0.15</v>
      </c>
      <c r="AN90" s="530">
        <f>SUM(Table9[[#This Row],[1.1. Land Details (20% weightage)]],Table9[[#This Row],[1.2. BEZA Existing plans (15% weightage)]],Table9[[#This Row],[1.3. Sector Demand (15% weightage):]])</f>
        <v>0.21</v>
      </c>
      <c r="AO90" s="531">
        <f>_xlfn.RANK.EQ(Table9[[#This Row],[Level 1 Score]],$AN$3:$AN$103)</f>
        <v>81</v>
      </c>
      <c r="AP90" s="280"/>
      <c r="AQ90" s="280" cm="1">
        <f t="array" ref="AQ90">_xlfn.IFS(Table9[[#This Row],[National Highway Connectivity (km)
(15%)]]="", 0, Table9[[#This Row],[National Highway Connectivity (km)
(15%)]]&gt;50, 0, Table9[[#This Row],[National Highway Connectivity (km)
(15%)]]&lt;=25, 4, TRUE, 2)</f>
        <v>0</v>
      </c>
      <c r="AR90" s="280">
        <f>Table9[[#This Row],[National Highway Connectivity Score]]*'Detailed Rubric V3'!$C$35</f>
        <v>0</v>
      </c>
      <c r="AS90" s="280"/>
      <c r="AT90" s="280" cm="1">
        <f t="array" ref="AT90">_xlfn.IFS(Table9[[#This Row],[Connecting Road to Highway (km)
(15%)]]="", 0, Table9[[#This Row],[Connecting Road to Highway (km)
(15%)]]="Yes", 4, TRUE, 0)</f>
        <v>0</v>
      </c>
      <c r="AU90" s="280">
        <f>Table9[[#This Row],[Connecting Road to Highway Score]]*'Detailed Rubric V3'!$F$35</f>
        <v>0</v>
      </c>
      <c r="AV90" s="280"/>
      <c r="AW90" s="280" cm="1">
        <f t="array" ref="AW90">_xlfn.IFS(Table9[[#This Row],[Seaport Connectivity (km)
(30%)]]="",0, Table9[[#This Row],[Seaport Connectivity (km)
(30%)]]&gt;400, 0,Table9[[#This Row],[Seaport Connectivity (km)
(30%)]]&lt;=200,4, TRUE, 2)</f>
        <v>0</v>
      </c>
      <c r="AX90" s="280">
        <f>Table9[[#This Row],[Seaport Connectivity Score]]*'Detailed Rubric V3'!$I$35</f>
        <v>0</v>
      </c>
      <c r="AY90" s="280"/>
      <c r="AZ90" s="280" cm="1">
        <f t="array" ref="AZ90">_xlfn.IFS(Table9[[#This Row],[Airport Connectivity (km)
(10%)]]="", 0, Table9[[#This Row],[Airport Connectivity (km)
(10%)]]&gt;200, 0, Table9[[#This Row],[Airport Connectivity (km)
(10%)]]&lt;=100,4,TRUE, 2)</f>
        <v>0</v>
      </c>
      <c r="BA90" s="280">
        <f>Table9[[#This Row],[Airport Connectivity Score]]*'Detailed Rubric V3'!$C$41</f>
        <v>0</v>
      </c>
      <c r="BB90" s="280"/>
      <c r="BC90" s="280" cm="1">
        <f t="array" ref="BC90">_xlfn.IFS(Table9[[#This Row],[Railway Station (km)
(10%)]]="", 0, Table9[[#This Row],[Railway Station (km)
(10%)]]&gt;150, 0,Table9[[#This Row],[Railway Station (km)
(10%)]]&lt;=50,4, TRUE, 2)</f>
        <v>0</v>
      </c>
      <c r="BD90" s="280">
        <f>Table9[[#This Row],[Railway Station Score]]*'Detailed Rubric V3'!$F$41</f>
        <v>0</v>
      </c>
      <c r="BE90" s="280"/>
      <c r="BF90" s="280" cm="1">
        <f t="array" ref="BF90">_xlfn.IFS(Table9[[#This Row],[Inland waterway/ Land port (km)
(20%)]]="", 0, Table9[[#This Row],[Inland waterway/ Land port (km)
(20%)]]&gt;200, 0,Table9[[#This Row],[Inland waterway/ Land port (km)
(20%)]]&lt;=50,4, TRUE, 2)</f>
        <v>0</v>
      </c>
      <c r="BG90" s="280">
        <f>Table9[[#This Row],[Inland waterway/ Land port Score]]*'Detailed Rubric V3'!$I$41</f>
        <v>0</v>
      </c>
      <c r="BH90"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90" s="280"/>
      <c r="BJ90" s="280" cm="1">
        <f t="array" ref="BJ90">_xlfn.IFS(Table9[[#This Row],[Power Station (40%)]]="",0, Table9[[#This Row],[Power Station (40%)]]&gt;100, 0,Table9[[#This Row],[Power Station (40%)]]&lt;=50,4, TRUE, 2)</f>
        <v>0</v>
      </c>
      <c r="BK90" s="280">
        <f>Table9[[#This Row],[Power Station Score]]*'Detailed Rubric V3'!$C$53</f>
        <v>0</v>
      </c>
      <c r="BL90" s="280"/>
      <c r="BM90" s="280" cm="1">
        <f t="array" ref="BM90">IF(ISNUMBER(Table9[[#This Row],[Gas Station (20%)]]), _xlfn.IFS(Table9[[#This Row],[Gas Station (20%)]]="", 0, Table9[[#This Row],[Gas Station (20%)]]&gt;100, 0,Table9[[#This Row],[Gas Station (20%)]]&lt;=50,4, TRUE, 2), 0)</f>
        <v>0</v>
      </c>
      <c r="BN90" s="280">
        <f>Table9[[#This Row],[Gas Station Score]]*'Detailed Rubric V3'!$F$53</f>
        <v>0</v>
      </c>
      <c r="BO90" s="280"/>
      <c r="BP90" s="280" cm="1">
        <f t="array" ref="BP90">IF(ISNUMBER(Table9[[#This Row],[Source of Surface Water (40%)]]), _xlfn.IFS(Table9[[#This Row],[Source of Surface Water (40%)]]="", 0, Table9[[#This Row],[Source of Surface Water (40%)]]&gt;50, 0,Table9[[#This Row],[Source of Surface Water (40%)]]&lt;=20,4, TRUE, 2), 0)</f>
        <v>0</v>
      </c>
      <c r="BQ90" s="280">
        <f>Table9[[#This Row],[Source of Surface Water Score]]*'Detailed Rubric V3'!$I$53</f>
        <v>0</v>
      </c>
      <c r="BR90" s="280">
        <f>SUM(Table9[[#This Row],[Power Station Weighted Score]],Table9[[#This Row],[Gas Station Weighted Score]],Table9[[#This Row],[Source of Surface Water Weighted Score]])*'Detailed Rubric V3'!$C$51</f>
        <v>0</v>
      </c>
      <c r="BS90" s="280"/>
      <c r="BT90" s="280" cm="1">
        <f t="array" ref="BT90">_xlfn.IFS(Table9[[#This Row],[Other BEZA EZ (20%)]]="", 0, Table9[[#This Row],[Other BEZA EZ (20%)]]="Yes", 4, TRUE, 0)</f>
        <v>0</v>
      </c>
      <c r="BU90" s="280">
        <f>Table9[[#This Row],[Other BEZA EZ Score]]*'Detailed Rubric V3'!$C$66</f>
        <v>0</v>
      </c>
      <c r="BV90" s="280"/>
      <c r="BW90" s="280" cm="1">
        <f t="array" ref="BW90">_xlfn.IFS(Table9[[#This Row],[BEPZA/ BHPTA/ BSCIC (20%)]]="", 0, Table9[[#This Row],[BEPZA/ BHPTA/ BSCIC (20%)]]="Yes", 4, TRUE, 0)</f>
        <v>0</v>
      </c>
      <c r="BX90" s="280">
        <f>Table9[[#This Row],[BEPZA/ BHPTA/ BSCIC Score]]*'Detailed Rubric V3'!$F$66</f>
        <v>0</v>
      </c>
      <c r="BY90" s="280"/>
      <c r="BZ90" s="280" cm="1">
        <f t="array" ref="BZ90">_xlfn.IFS(Table9[[#This Row],[Cluster Industries (from SMI) (20%)]]="", 0, Table9[[#This Row],[Cluster Industries (from SMI) (20%)]]&gt;100, 4, Table9[[#This Row],[Cluster Industries (from SMI) (20%)]]&lt;50, 0, TRUE, 2)</f>
        <v>0</v>
      </c>
      <c r="CA90" s="280">
        <f>Table9[[#This Row],[Cluster Industries (from SMI) Score]]*'Detailed Rubric V3'!$I$66</f>
        <v>0</v>
      </c>
      <c r="CB90" s="280"/>
      <c r="CC90" s="280" cm="1">
        <f t="array" ref="CC90">_xlfn.IFS(Table9[[#This Row],[Located on Industrial corridor (40%)]]="", 0, Table9[[#This Row],[Located on Industrial corridor (40%)]]="Yes", 4, TRUE, 0)</f>
        <v>0</v>
      </c>
      <c r="CD90" s="280">
        <f>Table9[[#This Row],[Located on Industrial corridor Score]]*'Detailed Rubric V3'!$L$66</f>
        <v>0</v>
      </c>
      <c r="CE90" s="280">
        <f>SUM(Table9[[#This Row],[Other BEZA EZ Weighted Score]],Table9[[#This Row],[BEPZA/ BHPTA/ BSCIC Weighted Score]],Table9[[#This Row],[Unorganized (from SMI) Weighted Score]],Table9[[#This Row],[Located on Industrial corridor Weighted Score]])*'Detailed Rubric V3'!$C$64</f>
        <v>0</v>
      </c>
      <c r="CF90" s="280"/>
      <c r="CG90" s="280" cm="1">
        <f t="array" ref="CG90">_xlfn.IFS(Table9[[#This Row],[Economic/ Social priority (laggered area) (100%)]]="", 0, Table9[[#This Row],[Economic/ Social priority (laggered area) (100%)]]="Yes", 4, TRUE, 0)</f>
        <v>0</v>
      </c>
      <c r="CH90" s="280">
        <f>Table9[[#This Row],[Economic/ Social priority (laggered area) Score]]*'Detailed Rubric V3'!$C$82</f>
        <v>0</v>
      </c>
      <c r="CI90" s="280"/>
      <c r="CJ90" s="280" cm="1">
        <f t="array" ref="CJ90">_xlfn.IFS(Table9[[#This Row],[Regional Tax incentive  (0%)]]="", 0, Table9[[#This Row],[Regional Tax incentive  (0%)]]="Yes", 4, TRUE, 0)</f>
        <v>0</v>
      </c>
      <c r="CK90" s="280">
        <f>Table9[[#This Row],[Regional Tax incentive Score]]*'Detailed Rubric V3'!$F$82</f>
        <v>0</v>
      </c>
      <c r="CL90" s="280">
        <f>SUM(Table9[[#This Row],[Economic/ Social priority (laagered area) Weighted Score]],Table9[[#This Row],[Regional Tax incentive  Weighted Score]])*'Detailed Rubric V3'!$C$80</f>
        <v>0</v>
      </c>
      <c r="CM90" s="280"/>
      <c r="CN90" s="280" cm="1">
        <f t="array" ref="CN90">_xlfn.IFS(Table9[[#This Row],[Employable population (40%) 2013]]="", 0, Table9[[#This Row],[Employable population (40%) 2013]]&gt;200000, 4, Table9[[#This Row],[Employable population (40%) 2013]]&lt;100000,0, TRUE, 2)</f>
        <v>0</v>
      </c>
      <c r="CO90" s="280">
        <f>Table9[[#This Row],[Employable population Score]]*'Detailed Rubric V3'!$C$92</f>
        <v>0</v>
      </c>
      <c r="CP90" s="280"/>
      <c r="CQ90" s="280" cm="1">
        <f t="array" ref="CQ90">_xlfn.IFS(Table9[[#This Row],[Housing (20%)]]="", 0, Table9[[#This Row],[Housing (20%)]]&gt;50, 0, Table9[[#This Row],[Housing (20%)]]&lt;25, 4, TRUE, 2)</f>
        <v>0</v>
      </c>
      <c r="CR90" s="280">
        <f>Table9[[#This Row],[Housing Score]]*'Detailed Rubric V3'!$F$92</f>
        <v>0</v>
      </c>
      <c r="CS90" s="280"/>
      <c r="CT90" s="280" cm="1">
        <f t="array" ref="CT90">_xlfn.IFS(Table9[[#This Row],[Hotels (10%)]]="", 0, Table9[[#This Row],[Hotels (10%)]]&gt;25, 4, Table9[[#This Row],[Hotels (10%)]]&lt;5, 0, TRUE, 2)</f>
        <v>0</v>
      </c>
      <c r="CU90" s="280">
        <f>Table9[[#This Row],[Hotels Score]]*'Detailed Rubric V3'!$I$92</f>
        <v>0</v>
      </c>
      <c r="CV90" s="280"/>
      <c r="CW90" s="280" cm="1">
        <f t="array" ref="CW90">_xlfn.IFS(Table9[[#This Row],[Health (Hospital) (15%)]]="", 0, Table9[[#This Row],[Health (Hospital) (15%)]]&gt;10, 4, Table9[[#This Row],[Health (Hospital) (15%)]]&lt;5, 0, TRUE, 2)</f>
        <v>0</v>
      </c>
      <c r="CX90" s="280">
        <f>Table9[[#This Row],[Health (Hospital) Score]]*'Detailed Rubric V3'!$L$92</f>
        <v>0</v>
      </c>
      <c r="CY90" s="280"/>
      <c r="CZ90" s="280" cm="1">
        <f t="array" ref="CZ90">_xlfn.IFS(Table9[[#This Row],[University/ Technical &amp; Vocational Institutions (15%)]]="", 0, Table9[[#This Row],[University/ Technical &amp; Vocational Institutions (15%)]]&gt;3, 4, Table9[[#This Row],[University/ Technical &amp; Vocational Institutions (15%)]]&lt;1, 0, TRUE, 2)</f>
        <v>0</v>
      </c>
      <c r="DA90" s="280">
        <f>Table9[[#This Row],[University/ Technical &amp; Vocational Institutions Score]]*'Detailed Rubric V3'!$O$92</f>
        <v>0</v>
      </c>
      <c r="DB90"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90" s="280"/>
      <c r="DD90" s="280" cm="1">
        <f t="array" ref="DD90">_xlfn.IFS(Table9[[#This Row],[Environment compliance (30%)]]="", 0, Table9[[#This Row],[Environment compliance (30%)]]="Yes", 4, TRUE, 0)</f>
        <v>0</v>
      </c>
      <c r="DE90" s="280">
        <f>Table9[[#This Row],[Environment compliance Score]]*'Detailed Rubric V3'!$C$104</f>
        <v>0</v>
      </c>
      <c r="DF90" s="280" t="s">
        <v>421</v>
      </c>
      <c r="DG90" s="280" cm="1">
        <f t="array" ref="DG90">_xlfn.IFS(Table9[[#This Row],[Flood Risk Index (30%)]]="", 0, Table9[[#This Row],[Flood Risk Index (30%)]]="Very Low", 4, Table9[[#This Row],[Flood Risk Index (30%)]]="Moderate &amp; Low", 2, TRUE, 0)</f>
        <v>0</v>
      </c>
      <c r="DH90" s="280">
        <f>Table9[[#This Row],[Flood Risk Index Score]]*'Detailed Rubric V3'!$F$104</f>
        <v>0</v>
      </c>
      <c r="DI90" s="280" t="s">
        <v>421</v>
      </c>
      <c r="DJ90" s="280" cm="1">
        <f t="array" ref="DJ90">_xlfn.IFS(Table9[[#This Row],[Earth Quake Risk Index (10%)]]="", 0, Table9[[#This Row],[Earth Quake Risk Index (10%)]]="Very Low", 4, Table9[[#This Row],[Earth Quake Risk Index (10%)]]="Moderate &amp; Low", 2, TRUE, 0)</f>
        <v>0</v>
      </c>
      <c r="DK90" s="280">
        <f>Table9[[#This Row],[Earth Quake Risk Index Score]]*'Detailed Rubric V3'!$I$104</f>
        <v>0</v>
      </c>
      <c r="DL90" s="280" t="s">
        <v>428</v>
      </c>
      <c r="DM90" s="280" cm="1">
        <f t="array" ref="DM90">_xlfn.IFS(Table9[[#This Row],[Sea Level Rise Risk Index (10%)]]="", 0, Table9[[#This Row],[Sea Level Rise Risk Index (10%)]]="Very Low", 4, Table9[[#This Row],[Sea Level Rise Risk Index (10%)]]="Moderate &amp; Low", 2, TRUE, 0)</f>
        <v>4</v>
      </c>
      <c r="DN90" s="280">
        <f>Table9[[#This Row],[Sea Level Rise  Risk Index Score]]*'Detailed Rubric V3'!$L$104</f>
        <v>0.4</v>
      </c>
      <c r="DO90" s="280" t="s">
        <v>419</v>
      </c>
      <c r="DP90" s="280" cm="1">
        <f t="array" ref="DP90">_xlfn.IFS(Table9[[#This Row],[Cyclone Risk Index (10%)]]="", 0, Table9[[#This Row],[Cyclone Risk Index (10%)]]="Very Low", 4, Table9[[#This Row],[Cyclone Risk Index (10%)]]="Moderate &amp; Low", 2, TRUE, 0)</f>
        <v>2</v>
      </c>
      <c r="DQ90" s="280">
        <f>Table9[[#This Row],[Cyclone Risk Index Score]]*'Detailed Rubric V3'!$O$104</f>
        <v>0.2</v>
      </c>
      <c r="DR90" s="280" t="s">
        <v>428</v>
      </c>
      <c r="DS90" s="280" cm="1">
        <f t="array" ref="DS90">_xlfn.IFS(Table9[[#This Row],[Storm Surge Risk Index (10%)]]="", 0, Table9[[#This Row],[Storm Surge Risk Index (10%)]]="Very Low", 4, Table9[[#This Row],[Storm Surge Risk Index (10%)]]="Moderate &amp; Low", 2, TRUE, 0)</f>
        <v>4</v>
      </c>
      <c r="DT90" s="280">
        <f>Table9[[#This Row],[Storm Surge Risk Index Score]]*'Detailed Rubric V3'!$R$104</f>
        <v>0.4</v>
      </c>
      <c r="DU90"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90" s="309">
        <f>SUM(Table9[[#This Row],[2.1. Connectivity/ Logistics (10% weightage)]],Table9[[#This Row],[2.2. Utility (12% weightage)]],Table9[[#This Row],[2.3. Agglomeration effects (10% weightage)]],Table9[[#This Row],[2.4. Regional Policy (4% weightage)]],Table9[[#This Row],[2.5. Social (8% weightage)]],Table9[[#This Row],[2.6. Environment (6% weightage)]])</f>
        <v>0.06</v>
      </c>
      <c r="DW90" s="280">
        <f>_xlfn.RANK.EQ(Table9[[#This Row],[Level 2 Score]],$DV$3:$DV$103)</f>
        <v>88</v>
      </c>
      <c r="DX90" s="302">
        <f>Table9[[#This Row],[Level 1 Score]]+Table9[[#This Row],[Level 2 Score]]</f>
        <v>0.27</v>
      </c>
      <c r="DY90" s="294">
        <f>_xlfn.RANK.EQ(Table9[[#This Row],[Total Score]],$DX$3:$DX$103)</f>
        <v>87</v>
      </c>
      <c r="DZ90" s="237" t="str">
        <f>IF(Table9[[#This Row],[Count of Blanks]]&lt;=2, "Yes", "No")</f>
        <v>No</v>
      </c>
      <c r="EA90" s="237">
        <f>COUNTBLANK(Table9[[#This Row],[Name]:[Total Score Rank]])</f>
        <v>23</v>
      </c>
      <c r="EB90" s="237"/>
    </row>
    <row r="91" spans="2:132" ht="27" x14ac:dyDescent="0.25">
      <c r="B91" s="220">
        <v>72</v>
      </c>
      <c r="C91" s="221" t="s">
        <v>192</v>
      </c>
      <c r="D91" s="220" t="s">
        <v>76</v>
      </c>
      <c r="E91" s="220" t="s">
        <v>117</v>
      </c>
      <c r="F91" s="220" t="s">
        <v>118</v>
      </c>
      <c r="G91" s="220" t="s">
        <v>92</v>
      </c>
      <c r="H91" s="525" t="s">
        <v>430</v>
      </c>
      <c r="I91" s="70" t="s">
        <v>455</v>
      </c>
      <c r="J91" s="227" t="s">
        <v>444</v>
      </c>
      <c r="K91" s="220">
        <f>IFERROR(VLOOKUP(Table9[[#This Row],[Land Availability (Grade)​
(50%)]],'Detailed Rubric V3'!$B$8:$C$11,2), 0)</f>
        <v>0</v>
      </c>
      <c r="L91" s="220">
        <f>IFERROR(Table9[[#This Row],[Land Availability (Grade)​ Score]]*'Detailed Rubric V3'!$C$6, "")</f>
        <v>0</v>
      </c>
      <c r="M91" s="222">
        <v>170.49</v>
      </c>
      <c r="N91" s="222" cm="1">
        <f t="array" ref="N91">_xlfn.IFS(Table9[[#This Row],[Land Size (Acres)
(15%)]]&lt;100,0,Table9[[#This Row],[Land Size (Acres)
(15%)]]&gt;500,4,TRUE,2)</f>
        <v>2</v>
      </c>
      <c r="O91" s="222">
        <f>Table9[[#This Row],[Land Size (Acres) Score]]*'Detailed Rubric V3'!$G$6</f>
        <v>0.3</v>
      </c>
      <c r="P91" s="526"/>
      <c r="Q91" s="526">
        <f>IFERROR(Table9[[#This Row],[Site Filling Cost (Mn BDT)]]/Table9[[#This Row],[Land Size (Acres)
(15%)]],"")</f>
        <v>0</v>
      </c>
      <c r="R91" s="526" cm="1">
        <f t="array" ref="R91">IF(Table9[[#This Row],[Name]]="Sitakundo Economic Zone", 4, _xlfn.IFS(Table9[[#This Row],[Site Filling Cost (Mn BDT)]]="",0,Table9[[#This Row],[Land Suitability
(Cost of Land Filling in Million BDT per acre)
(25%)]]&gt;5,0,Table9[[#This Row],[Land Suitability
(Cost of Land Filling in Million BDT per acre)
(25%)]]&lt;2,4,TRUE,2))</f>
        <v>0</v>
      </c>
      <c r="S91" s="526">
        <f>Table9[[#This Row],[Land Suitability for Construction Score]]*'Detailed Rubric V3'!$J$6</f>
        <v>0</v>
      </c>
      <c r="T91" s="526"/>
      <c r="U91" s="526">
        <f>IFERROR(Table9[[#This Row],[Embankment/Dyke Cost (Mn BDT)]]/Table9[[#This Row],[Land Size (Acres)
(15%)]], 0)</f>
        <v>0</v>
      </c>
      <c r="V91" s="526" cm="1">
        <f t="array" ref="V91">IF(Table9[[#This Row],[Name]]="Sitakundo Economic Zone", 2, _xlfn.IFS(Table9[[#This Row],[Embankment/Dyke Cost (Mn BDT)]]="",0,Table9[[#This Row],[Cost of DRRI Infrastructure in million BDT per acre
(10%)]]&gt;5,0,Table9[[#This Row],[Cost of DRRI Infrastructure in million BDT per acre
(10%)]]&lt;2,4,TRUE,2))</f>
        <v>0</v>
      </c>
      <c r="W91" s="526">
        <f>Table9[[#This Row],[Requirement for Distaster Risk Reduction &amp; Resilience Infrastructure Score]]*'Detailed Rubric V3'!$M$6</f>
        <v>0</v>
      </c>
      <c r="X91"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91" s="227" t="s">
        <v>440</v>
      </c>
      <c r="Z91" s="210">
        <f>IFERROR(VLOOKUP(Table9[[#This Row],[Zone Priority
(40%)]],'Detailed Rubric V3'!$B$18:$C$21, 2,FALSE), 0)</f>
        <v>4</v>
      </c>
      <c r="AA91" s="210">
        <f>IFERROR(Table9[[#This Row],[Zone Priority Score]]*'Detailed Rubric V3'!$C$16, 0)</f>
        <v>0</v>
      </c>
      <c r="AB91" s="237" t="s">
        <v>441</v>
      </c>
      <c r="AC91" s="237">
        <f>VLOOKUP(Table9[[#This Row],[Existing BEZA Report
(60%)]],'Detailed Rubric V3'!$E$18:$F$20,2,FALSE)</f>
        <v>0</v>
      </c>
      <c r="AD91" s="237">
        <f>Table9[[#This Row],[Existing BEZA Report Score]]*'Detailed Rubric V3'!F$16</f>
        <v>0</v>
      </c>
      <c r="AE91" s="237">
        <f>(Table9[[#This Row],[Zone Priority Weighted Score]]+Table9[[#This Row],[Existing BEZA Report Weighted Score]])*'Detailed Rubric V3'!$C$14</f>
        <v>0</v>
      </c>
      <c r="AF91" s="528">
        <v>5</v>
      </c>
      <c r="AG91" s="529" cm="1">
        <f t="array" ref="AG91">_xlfn.IFS(Table9[[#This Row],[Existing Sectors
(50%)]]&gt;10, 4,Table9[[#This Row],[Existing Sectors
(50%)]]&lt;5, 0, TRUE, 2)</f>
        <v>2</v>
      </c>
      <c r="AH91" s="529">
        <f>Table9[[#This Row],[Existing Sectors Score]]*'Detailed Rubric V3'!$C$25</f>
        <v>1</v>
      </c>
      <c r="AI91" s="529">
        <v>6</v>
      </c>
      <c r="AJ91" s="529">
        <v>1</v>
      </c>
      <c r="AK91" s="529" cm="1">
        <f t="array" ref="AK91">_xlfn.IFS(Table9[[#This Row],[Potential New Sectors
(50%)]]&gt;5, 4, Table9[[#This Row],[Potential New Sectors
(50%)]]&lt;2,0, TRUE, 2)</f>
        <v>0</v>
      </c>
      <c r="AL91" s="529">
        <f>Table9[[#This Row],[Potential New Sectors Score]]*'Detailed Rubric V3'!$F$25</f>
        <v>0</v>
      </c>
      <c r="AM91" s="232">
        <f>(Table9[[#This Row],[Existing Sectors Weighted Score]]+Table9[[#This Row],[Potential New Sectors Weighted Score]])*'Detailed Rubric V3'!$C$23</f>
        <v>0.15</v>
      </c>
      <c r="AN91" s="530">
        <f>SUM(Table9[[#This Row],[1.1. Land Details (20% weightage)]],Table9[[#This Row],[1.2. BEZA Existing plans (15% weightage)]],Table9[[#This Row],[1.3. Sector Demand (15% weightage):]])</f>
        <v>0.21</v>
      </c>
      <c r="AO91" s="531">
        <f>_xlfn.RANK.EQ(Table9[[#This Row],[Level 1 Score]],$AN$3:$AN$103)</f>
        <v>81</v>
      </c>
      <c r="AP91" s="280"/>
      <c r="AQ91" s="280" cm="1">
        <f t="array" ref="AQ91">_xlfn.IFS(Table9[[#This Row],[National Highway Connectivity (km)
(15%)]]="", 0, Table9[[#This Row],[National Highway Connectivity (km)
(15%)]]&gt;50, 0, Table9[[#This Row],[National Highway Connectivity (km)
(15%)]]&lt;=25, 4, TRUE, 2)</f>
        <v>0</v>
      </c>
      <c r="AR91" s="280">
        <f>Table9[[#This Row],[National Highway Connectivity Score]]*'Detailed Rubric V3'!$C$35</f>
        <v>0</v>
      </c>
      <c r="AS91" s="280"/>
      <c r="AT91" s="280" cm="1">
        <f t="array" ref="AT91">_xlfn.IFS(Table9[[#This Row],[Connecting Road to Highway (km)
(15%)]]="", 0, Table9[[#This Row],[Connecting Road to Highway (km)
(15%)]]="Yes", 4, TRUE, 0)</f>
        <v>0</v>
      </c>
      <c r="AU91" s="280">
        <f>Table9[[#This Row],[Connecting Road to Highway Score]]*'Detailed Rubric V3'!$F$35</f>
        <v>0</v>
      </c>
      <c r="AV91" s="280"/>
      <c r="AW91" s="280" cm="1">
        <f t="array" ref="AW91">_xlfn.IFS(Table9[[#This Row],[Seaport Connectivity (km)
(30%)]]="",0, Table9[[#This Row],[Seaport Connectivity (km)
(30%)]]&gt;400, 0,Table9[[#This Row],[Seaport Connectivity (km)
(30%)]]&lt;=200,4, TRUE, 2)</f>
        <v>0</v>
      </c>
      <c r="AX91" s="280">
        <f>Table9[[#This Row],[Seaport Connectivity Score]]*'Detailed Rubric V3'!$I$35</f>
        <v>0</v>
      </c>
      <c r="AY91" s="280"/>
      <c r="AZ91" s="280" cm="1">
        <f t="array" ref="AZ91">_xlfn.IFS(Table9[[#This Row],[Airport Connectivity (km)
(10%)]]="", 0, Table9[[#This Row],[Airport Connectivity (km)
(10%)]]&gt;200, 0, Table9[[#This Row],[Airport Connectivity (km)
(10%)]]&lt;=100,4,TRUE, 2)</f>
        <v>0</v>
      </c>
      <c r="BA91" s="280">
        <f>Table9[[#This Row],[Airport Connectivity Score]]*'Detailed Rubric V3'!$C$41</f>
        <v>0</v>
      </c>
      <c r="BB91" s="280"/>
      <c r="BC91" s="280" cm="1">
        <f t="array" ref="BC91">_xlfn.IFS(Table9[[#This Row],[Railway Station (km)
(10%)]]="", 0, Table9[[#This Row],[Railway Station (km)
(10%)]]&gt;150, 0,Table9[[#This Row],[Railway Station (km)
(10%)]]&lt;=50,4, TRUE, 2)</f>
        <v>0</v>
      </c>
      <c r="BD91" s="280">
        <f>Table9[[#This Row],[Railway Station Score]]*'Detailed Rubric V3'!$F$41</f>
        <v>0</v>
      </c>
      <c r="BE91" s="280"/>
      <c r="BF91" s="280" cm="1">
        <f t="array" ref="BF91">_xlfn.IFS(Table9[[#This Row],[Inland waterway/ Land port (km)
(20%)]]="", 0, Table9[[#This Row],[Inland waterway/ Land port (km)
(20%)]]&gt;200, 0,Table9[[#This Row],[Inland waterway/ Land port (km)
(20%)]]&lt;=50,4, TRUE, 2)</f>
        <v>0</v>
      </c>
      <c r="BG91" s="280">
        <f>Table9[[#This Row],[Inland waterway/ Land port Score]]*'Detailed Rubric V3'!$I$41</f>
        <v>0</v>
      </c>
      <c r="BH91"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91" s="280"/>
      <c r="BJ91" s="280" cm="1">
        <f t="array" ref="BJ91">_xlfn.IFS(Table9[[#This Row],[Power Station (40%)]]="",0, Table9[[#This Row],[Power Station (40%)]]&gt;100, 0,Table9[[#This Row],[Power Station (40%)]]&lt;=50,4, TRUE, 2)</f>
        <v>0</v>
      </c>
      <c r="BK91" s="280">
        <f>Table9[[#This Row],[Power Station Score]]*'Detailed Rubric V3'!$C$53</f>
        <v>0</v>
      </c>
      <c r="BL91" s="280"/>
      <c r="BM91" s="280" cm="1">
        <f t="array" ref="BM91">IF(ISNUMBER(Table9[[#This Row],[Gas Station (20%)]]), _xlfn.IFS(Table9[[#This Row],[Gas Station (20%)]]="", 0, Table9[[#This Row],[Gas Station (20%)]]&gt;100, 0,Table9[[#This Row],[Gas Station (20%)]]&lt;=50,4, TRUE, 2), 0)</f>
        <v>0</v>
      </c>
      <c r="BN91" s="280">
        <f>Table9[[#This Row],[Gas Station Score]]*'Detailed Rubric V3'!$F$53</f>
        <v>0</v>
      </c>
      <c r="BO91" s="280"/>
      <c r="BP91" s="280" cm="1">
        <f t="array" ref="BP91">IF(ISNUMBER(Table9[[#This Row],[Source of Surface Water (40%)]]), _xlfn.IFS(Table9[[#This Row],[Source of Surface Water (40%)]]="", 0, Table9[[#This Row],[Source of Surface Water (40%)]]&gt;50, 0,Table9[[#This Row],[Source of Surface Water (40%)]]&lt;=20,4, TRUE, 2), 0)</f>
        <v>0</v>
      </c>
      <c r="BQ91" s="280">
        <f>Table9[[#This Row],[Source of Surface Water Score]]*'Detailed Rubric V3'!$I$53</f>
        <v>0</v>
      </c>
      <c r="BR91" s="280">
        <f>SUM(Table9[[#This Row],[Power Station Weighted Score]],Table9[[#This Row],[Gas Station Weighted Score]],Table9[[#This Row],[Source of Surface Water Weighted Score]])*'Detailed Rubric V3'!$C$51</f>
        <v>0</v>
      </c>
      <c r="BS91" s="280"/>
      <c r="BT91" s="280" cm="1">
        <f t="array" ref="BT91">_xlfn.IFS(Table9[[#This Row],[Other BEZA EZ (20%)]]="", 0, Table9[[#This Row],[Other BEZA EZ (20%)]]="Yes", 4, TRUE, 0)</f>
        <v>0</v>
      </c>
      <c r="BU91" s="280">
        <f>Table9[[#This Row],[Other BEZA EZ Score]]*'Detailed Rubric V3'!$C$66</f>
        <v>0</v>
      </c>
      <c r="BV91" s="280"/>
      <c r="BW91" s="280" cm="1">
        <f t="array" ref="BW91">_xlfn.IFS(Table9[[#This Row],[BEPZA/ BHPTA/ BSCIC (20%)]]="", 0, Table9[[#This Row],[BEPZA/ BHPTA/ BSCIC (20%)]]="Yes", 4, TRUE, 0)</f>
        <v>0</v>
      </c>
      <c r="BX91" s="280">
        <f>Table9[[#This Row],[BEPZA/ BHPTA/ BSCIC Score]]*'Detailed Rubric V3'!$F$66</f>
        <v>0</v>
      </c>
      <c r="BY91" s="280"/>
      <c r="BZ91" s="280" cm="1">
        <f t="array" ref="BZ91">_xlfn.IFS(Table9[[#This Row],[Cluster Industries (from SMI) (20%)]]="", 0, Table9[[#This Row],[Cluster Industries (from SMI) (20%)]]&gt;100, 4, Table9[[#This Row],[Cluster Industries (from SMI) (20%)]]&lt;50, 0, TRUE, 2)</f>
        <v>0</v>
      </c>
      <c r="CA91" s="280">
        <f>Table9[[#This Row],[Cluster Industries (from SMI) Score]]*'Detailed Rubric V3'!$I$66</f>
        <v>0</v>
      </c>
      <c r="CB91" s="280"/>
      <c r="CC91" s="280" cm="1">
        <f t="array" ref="CC91">_xlfn.IFS(Table9[[#This Row],[Located on Industrial corridor (40%)]]="", 0, Table9[[#This Row],[Located on Industrial corridor (40%)]]="Yes", 4, TRUE, 0)</f>
        <v>0</v>
      </c>
      <c r="CD91" s="280">
        <f>Table9[[#This Row],[Located on Industrial corridor Score]]*'Detailed Rubric V3'!$L$66</f>
        <v>0</v>
      </c>
      <c r="CE91" s="280">
        <f>SUM(Table9[[#This Row],[Other BEZA EZ Weighted Score]],Table9[[#This Row],[BEPZA/ BHPTA/ BSCIC Weighted Score]],Table9[[#This Row],[Unorganized (from SMI) Weighted Score]],Table9[[#This Row],[Located on Industrial corridor Weighted Score]])*'Detailed Rubric V3'!$C$64</f>
        <v>0</v>
      </c>
      <c r="CF91" s="280"/>
      <c r="CG91" s="280" cm="1">
        <f t="array" ref="CG91">_xlfn.IFS(Table9[[#This Row],[Economic/ Social priority (laggered area) (100%)]]="", 0, Table9[[#This Row],[Economic/ Social priority (laggered area) (100%)]]="Yes", 4, TRUE, 0)</f>
        <v>0</v>
      </c>
      <c r="CH91" s="280">
        <f>Table9[[#This Row],[Economic/ Social priority (laggered area) Score]]*'Detailed Rubric V3'!$C$82</f>
        <v>0</v>
      </c>
      <c r="CI91" s="280"/>
      <c r="CJ91" s="280" cm="1">
        <f t="array" ref="CJ91">_xlfn.IFS(Table9[[#This Row],[Regional Tax incentive  (0%)]]="", 0, Table9[[#This Row],[Regional Tax incentive  (0%)]]="Yes", 4, TRUE, 0)</f>
        <v>0</v>
      </c>
      <c r="CK91" s="280">
        <f>Table9[[#This Row],[Regional Tax incentive Score]]*'Detailed Rubric V3'!$F$82</f>
        <v>0</v>
      </c>
      <c r="CL91" s="280">
        <f>SUM(Table9[[#This Row],[Economic/ Social priority (laagered area) Weighted Score]],Table9[[#This Row],[Regional Tax incentive  Weighted Score]])*'Detailed Rubric V3'!$C$80</f>
        <v>0</v>
      </c>
      <c r="CM91" s="280"/>
      <c r="CN91" s="280" cm="1">
        <f t="array" ref="CN91">_xlfn.IFS(Table9[[#This Row],[Employable population (40%) 2013]]="", 0, Table9[[#This Row],[Employable population (40%) 2013]]&gt;200000, 4, Table9[[#This Row],[Employable population (40%) 2013]]&lt;100000,0, TRUE, 2)</f>
        <v>0</v>
      </c>
      <c r="CO91" s="280">
        <f>Table9[[#This Row],[Employable population Score]]*'Detailed Rubric V3'!$C$92</f>
        <v>0</v>
      </c>
      <c r="CP91" s="280"/>
      <c r="CQ91" s="280" cm="1">
        <f t="array" ref="CQ91">_xlfn.IFS(Table9[[#This Row],[Housing (20%)]]="", 0, Table9[[#This Row],[Housing (20%)]]&gt;50, 0, Table9[[#This Row],[Housing (20%)]]&lt;25, 4, TRUE, 2)</f>
        <v>0</v>
      </c>
      <c r="CR91" s="280">
        <f>Table9[[#This Row],[Housing Score]]*'Detailed Rubric V3'!$F$92</f>
        <v>0</v>
      </c>
      <c r="CS91" s="280"/>
      <c r="CT91" s="280" cm="1">
        <f t="array" ref="CT91">_xlfn.IFS(Table9[[#This Row],[Hotels (10%)]]="", 0, Table9[[#This Row],[Hotels (10%)]]&gt;25, 4, Table9[[#This Row],[Hotels (10%)]]&lt;5, 0, TRUE, 2)</f>
        <v>0</v>
      </c>
      <c r="CU91" s="280">
        <f>Table9[[#This Row],[Hotels Score]]*'Detailed Rubric V3'!$I$92</f>
        <v>0</v>
      </c>
      <c r="CV91" s="280"/>
      <c r="CW91" s="280" cm="1">
        <f t="array" ref="CW91">_xlfn.IFS(Table9[[#This Row],[Health (Hospital) (15%)]]="", 0, Table9[[#This Row],[Health (Hospital) (15%)]]&gt;10, 4, Table9[[#This Row],[Health (Hospital) (15%)]]&lt;5, 0, TRUE, 2)</f>
        <v>0</v>
      </c>
      <c r="CX91" s="280">
        <f>Table9[[#This Row],[Health (Hospital) Score]]*'Detailed Rubric V3'!$L$92</f>
        <v>0</v>
      </c>
      <c r="CY91" s="280"/>
      <c r="CZ91" s="280" cm="1">
        <f t="array" ref="CZ91">_xlfn.IFS(Table9[[#This Row],[University/ Technical &amp; Vocational Institutions (15%)]]="", 0, Table9[[#This Row],[University/ Technical &amp; Vocational Institutions (15%)]]&gt;3, 4, Table9[[#This Row],[University/ Technical &amp; Vocational Institutions (15%)]]&lt;1, 0, TRUE, 2)</f>
        <v>0</v>
      </c>
      <c r="DA91" s="280">
        <f>Table9[[#This Row],[University/ Technical &amp; Vocational Institutions Score]]*'Detailed Rubric V3'!$O$92</f>
        <v>0</v>
      </c>
      <c r="DB91"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91" s="280"/>
      <c r="DD91" s="280" cm="1">
        <f t="array" ref="DD91">_xlfn.IFS(Table9[[#This Row],[Environment compliance (30%)]]="", 0, Table9[[#This Row],[Environment compliance (30%)]]="Yes", 4, TRUE, 0)</f>
        <v>0</v>
      </c>
      <c r="DE91" s="280">
        <f>Table9[[#This Row],[Environment compliance Score]]*'Detailed Rubric V3'!$C$104</f>
        <v>0</v>
      </c>
      <c r="DF91" s="280" t="s">
        <v>421</v>
      </c>
      <c r="DG91" s="280" cm="1">
        <f t="array" ref="DG91">_xlfn.IFS(Table9[[#This Row],[Flood Risk Index (30%)]]="", 0, Table9[[#This Row],[Flood Risk Index (30%)]]="Very Low", 4, Table9[[#This Row],[Flood Risk Index (30%)]]="Moderate &amp; Low", 2, TRUE, 0)</f>
        <v>0</v>
      </c>
      <c r="DH91" s="280">
        <f>Table9[[#This Row],[Flood Risk Index Score]]*'Detailed Rubric V3'!$F$104</f>
        <v>0</v>
      </c>
      <c r="DI91" s="280" t="s">
        <v>421</v>
      </c>
      <c r="DJ91" s="280" cm="1">
        <f t="array" ref="DJ91">_xlfn.IFS(Table9[[#This Row],[Earth Quake Risk Index (10%)]]="", 0, Table9[[#This Row],[Earth Quake Risk Index (10%)]]="Very Low", 4, Table9[[#This Row],[Earth Quake Risk Index (10%)]]="Moderate &amp; Low", 2, TRUE, 0)</f>
        <v>0</v>
      </c>
      <c r="DK91" s="280">
        <f>Table9[[#This Row],[Earth Quake Risk Index Score]]*'Detailed Rubric V3'!$I$104</f>
        <v>0</v>
      </c>
      <c r="DL91" s="280" t="s">
        <v>428</v>
      </c>
      <c r="DM91" s="280" cm="1">
        <f t="array" ref="DM91">_xlfn.IFS(Table9[[#This Row],[Sea Level Rise Risk Index (10%)]]="", 0, Table9[[#This Row],[Sea Level Rise Risk Index (10%)]]="Very Low", 4, Table9[[#This Row],[Sea Level Rise Risk Index (10%)]]="Moderate &amp; Low", 2, TRUE, 0)</f>
        <v>4</v>
      </c>
      <c r="DN91" s="280">
        <f>Table9[[#This Row],[Sea Level Rise  Risk Index Score]]*'Detailed Rubric V3'!$L$104</f>
        <v>0.4</v>
      </c>
      <c r="DO91" s="280" t="s">
        <v>419</v>
      </c>
      <c r="DP91" s="280" cm="1">
        <f t="array" ref="DP91">_xlfn.IFS(Table9[[#This Row],[Cyclone Risk Index (10%)]]="", 0, Table9[[#This Row],[Cyclone Risk Index (10%)]]="Very Low", 4, Table9[[#This Row],[Cyclone Risk Index (10%)]]="Moderate &amp; Low", 2, TRUE, 0)</f>
        <v>2</v>
      </c>
      <c r="DQ91" s="280">
        <f>Table9[[#This Row],[Cyclone Risk Index Score]]*'Detailed Rubric V3'!$O$104</f>
        <v>0.2</v>
      </c>
      <c r="DR91" s="280" t="s">
        <v>428</v>
      </c>
      <c r="DS91" s="280" cm="1">
        <f t="array" ref="DS91">_xlfn.IFS(Table9[[#This Row],[Storm Surge Risk Index (10%)]]="", 0, Table9[[#This Row],[Storm Surge Risk Index (10%)]]="Very Low", 4, Table9[[#This Row],[Storm Surge Risk Index (10%)]]="Moderate &amp; Low", 2, TRUE, 0)</f>
        <v>4</v>
      </c>
      <c r="DT91" s="280">
        <f>Table9[[#This Row],[Storm Surge Risk Index Score]]*'Detailed Rubric V3'!$R$104</f>
        <v>0.4</v>
      </c>
      <c r="DU91"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91" s="309">
        <f>SUM(Table9[[#This Row],[2.1. Connectivity/ Logistics (10% weightage)]],Table9[[#This Row],[2.2. Utility (12% weightage)]],Table9[[#This Row],[2.3. Agglomeration effects (10% weightage)]],Table9[[#This Row],[2.4. Regional Policy (4% weightage)]],Table9[[#This Row],[2.5. Social (8% weightage)]],Table9[[#This Row],[2.6. Environment (6% weightage)]])</f>
        <v>0.06</v>
      </c>
      <c r="DW91" s="280">
        <f>_xlfn.RANK.EQ(Table9[[#This Row],[Level 2 Score]],$DV$3:$DV$103)</f>
        <v>88</v>
      </c>
      <c r="DX91" s="302">
        <f>Table9[[#This Row],[Level 1 Score]]+Table9[[#This Row],[Level 2 Score]]</f>
        <v>0.27</v>
      </c>
      <c r="DY91" s="294">
        <f>_xlfn.RANK.EQ(Table9[[#This Row],[Total Score]],$DX$3:$DX$103)</f>
        <v>87</v>
      </c>
      <c r="DZ91" s="237" t="str">
        <f>IF(Table9[[#This Row],[Count of Blanks]]&lt;=2, "Yes", "No")</f>
        <v>No</v>
      </c>
      <c r="EA91" s="237">
        <f>COUNTBLANK(Table9[[#This Row],[Name]:[Total Score Rank]])</f>
        <v>23</v>
      </c>
      <c r="EB91" s="237"/>
    </row>
    <row r="92" spans="2:132" x14ac:dyDescent="0.25">
      <c r="B92" s="220">
        <v>74</v>
      </c>
      <c r="C92" s="221" t="s">
        <v>193</v>
      </c>
      <c r="D92" s="220" t="s">
        <v>68</v>
      </c>
      <c r="E92" s="220" t="s">
        <v>100</v>
      </c>
      <c r="F92" s="220" t="s">
        <v>194</v>
      </c>
      <c r="G92" s="220" t="s">
        <v>92</v>
      </c>
      <c r="H92" s="525" t="s">
        <v>430</v>
      </c>
      <c r="I92" s="70" t="s">
        <v>455</v>
      </c>
      <c r="J92" s="227" t="s">
        <v>444</v>
      </c>
      <c r="K92" s="220">
        <f>IFERROR(VLOOKUP(Table9[[#This Row],[Land Availability (Grade)​
(50%)]],'Detailed Rubric V3'!$B$8:$C$11,2), 0)</f>
        <v>0</v>
      </c>
      <c r="L92" s="220">
        <f>IFERROR(Table9[[#This Row],[Land Availability (Grade)​ Score]]*'Detailed Rubric V3'!$C$6, "")</f>
        <v>0</v>
      </c>
      <c r="M92" s="222">
        <v>100</v>
      </c>
      <c r="N92" s="222" cm="1">
        <f t="array" ref="N92">_xlfn.IFS(Table9[[#This Row],[Land Size (Acres)
(15%)]]&lt;100,0,Table9[[#This Row],[Land Size (Acres)
(15%)]]&gt;500,4,TRUE,2)</f>
        <v>2</v>
      </c>
      <c r="O92" s="222">
        <f>Table9[[#This Row],[Land Size (Acres) Score]]*'Detailed Rubric V3'!$G$6</f>
        <v>0.3</v>
      </c>
      <c r="P92" s="526"/>
      <c r="Q92" s="526">
        <f>IFERROR(Table9[[#This Row],[Site Filling Cost (Mn BDT)]]/Table9[[#This Row],[Land Size (Acres)
(15%)]],"")</f>
        <v>0</v>
      </c>
      <c r="R92" s="526" cm="1">
        <f t="array" ref="R92">IF(Table9[[#This Row],[Name]]="Sitakundo Economic Zone", 4, _xlfn.IFS(Table9[[#This Row],[Site Filling Cost (Mn BDT)]]="",0,Table9[[#This Row],[Land Suitability
(Cost of Land Filling in Million BDT per acre)
(25%)]]&gt;5,0,Table9[[#This Row],[Land Suitability
(Cost of Land Filling in Million BDT per acre)
(25%)]]&lt;2,4,TRUE,2))</f>
        <v>0</v>
      </c>
      <c r="S92" s="526">
        <f>Table9[[#This Row],[Land Suitability for Construction Score]]*'Detailed Rubric V3'!$J$6</f>
        <v>0</v>
      </c>
      <c r="T92" s="526"/>
      <c r="U92" s="526">
        <f>IFERROR(Table9[[#This Row],[Embankment/Dyke Cost (Mn BDT)]]/Table9[[#This Row],[Land Size (Acres)
(15%)]], 0)</f>
        <v>0</v>
      </c>
      <c r="V92" s="526" cm="1">
        <f t="array" ref="V92">IF(Table9[[#This Row],[Name]]="Sitakundo Economic Zone", 2, _xlfn.IFS(Table9[[#This Row],[Embankment/Dyke Cost (Mn BDT)]]="",0,Table9[[#This Row],[Cost of DRRI Infrastructure in million BDT per acre
(10%)]]&gt;5,0,Table9[[#This Row],[Cost of DRRI Infrastructure in million BDT per acre
(10%)]]&lt;2,4,TRUE,2))</f>
        <v>0</v>
      </c>
      <c r="W92" s="526">
        <f>Table9[[#This Row],[Requirement for Distaster Risk Reduction &amp; Resilience Infrastructure Score]]*'Detailed Rubric V3'!$M$6</f>
        <v>0</v>
      </c>
      <c r="X92"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92" s="227" t="s">
        <v>440</v>
      </c>
      <c r="Z92" s="210">
        <f>IFERROR(VLOOKUP(Table9[[#This Row],[Zone Priority
(40%)]],'Detailed Rubric V3'!$B$18:$C$21, 2,FALSE), 0)</f>
        <v>4</v>
      </c>
      <c r="AA92" s="210">
        <f>IFERROR(Table9[[#This Row],[Zone Priority Score]]*'Detailed Rubric V3'!$C$16, 0)</f>
        <v>0</v>
      </c>
      <c r="AB92" s="237" t="s">
        <v>441</v>
      </c>
      <c r="AC92" s="237">
        <f>VLOOKUP(Table9[[#This Row],[Existing BEZA Report
(60%)]],'Detailed Rubric V3'!$E$18:$F$20,2,FALSE)</f>
        <v>0</v>
      </c>
      <c r="AD92" s="237">
        <f>Table9[[#This Row],[Existing BEZA Report Score]]*'Detailed Rubric V3'!F$16</f>
        <v>0</v>
      </c>
      <c r="AE92" s="237">
        <f>(Table9[[#This Row],[Zone Priority Weighted Score]]+Table9[[#This Row],[Existing BEZA Report Weighted Score]])*'Detailed Rubric V3'!$C$14</f>
        <v>0</v>
      </c>
      <c r="AF92" s="528">
        <v>3</v>
      </c>
      <c r="AG92" s="529" cm="1">
        <f t="array" ref="AG92">_xlfn.IFS(Table9[[#This Row],[Existing Sectors
(50%)]]&gt;10, 4,Table9[[#This Row],[Existing Sectors
(50%)]]&lt;5, 0, TRUE, 2)</f>
        <v>0</v>
      </c>
      <c r="AH92" s="529">
        <f>Table9[[#This Row],[Existing Sectors Score]]*'Detailed Rubric V3'!$C$25</f>
        <v>0</v>
      </c>
      <c r="AI92" s="529">
        <v>5</v>
      </c>
      <c r="AJ92" s="529">
        <v>2</v>
      </c>
      <c r="AK92" s="529" cm="1">
        <f t="array" ref="AK92">_xlfn.IFS(Table9[[#This Row],[Potential New Sectors
(50%)]]&gt;5, 4, Table9[[#This Row],[Potential New Sectors
(50%)]]&lt;2,0, TRUE, 2)</f>
        <v>2</v>
      </c>
      <c r="AL92" s="529">
        <f>Table9[[#This Row],[Potential New Sectors Score]]*'Detailed Rubric V3'!$F$25</f>
        <v>1</v>
      </c>
      <c r="AM92" s="232">
        <f>(Table9[[#This Row],[Existing Sectors Weighted Score]]+Table9[[#This Row],[Potential New Sectors Weighted Score]])*'Detailed Rubric V3'!$C$23</f>
        <v>0.15</v>
      </c>
      <c r="AN92" s="530">
        <f>SUM(Table9[[#This Row],[1.1. Land Details (20% weightage)]],Table9[[#This Row],[1.2. BEZA Existing plans (15% weightage)]],Table9[[#This Row],[1.3. Sector Demand (15% weightage):]])</f>
        <v>0.21</v>
      </c>
      <c r="AO92" s="531">
        <f>_xlfn.RANK.EQ(Table9[[#This Row],[Level 1 Score]],$AN$3:$AN$103)</f>
        <v>81</v>
      </c>
      <c r="AP92" s="280"/>
      <c r="AQ92" s="280" cm="1">
        <f t="array" ref="AQ92">_xlfn.IFS(Table9[[#This Row],[National Highway Connectivity (km)
(15%)]]="", 0, Table9[[#This Row],[National Highway Connectivity (km)
(15%)]]&gt;50, 0, Table9[[#This Row],[National Highway Connectivity (km)
(15%)]]&lt;=25, 4, TRUE, 2)</f>
        <v>0</v>
      </c>
      <c r="AR92" s="280">
        <f>Table9[[#This Row],[National Highway Connectivity Score]]*'Detailed Rubric V3'!$C$35</f>
        <v>0</v>
      </c>
      <c r="AS92" s="280"/>
      <c r="AT92" s="280" cm="1">
        <f t="array" ref="AT92">_xlfn.IFS(Table9[[#This Row],[Connecting Road to Highway (km)
(15%)]]="", 0, Table9[[#This Row],[Connecting Road to Highway (km)
(15%)]]="Yes", 4, TRUE, 0)</f>
        <v>0</v>
      </c>
      <c r="AU92" s="280">
        <f>Table9[[#This Row],[Connecting Road to Highway Score]]*'Detailed Rubric V3'!$F$35</f>
        <v>0</v>
      </c>
      <c r="AV92" s="280"/>
      <c r="AW92" s="280" cm="1">
        <f t="array" ref="AW92">_xlfn.IFS(Table9[[#This Row],[Seaport Connectivity (km)
(30%)]]="",0, Table9[[#This Row],[Seaport Connectivity (km)
(30%)]]&gt;400, 0,Table9[[#This Row],[Seaport Connectivity (km)
(30%)]]&lt;=200,4, TRUE, 2)</f>
        <v>0</v>
      </c>
      <c r="AX92" s="280">
        <f>Table9[[#This Row],[Seaport Connectivity Score]]*'Detailed Rubric V3'!$I$35</f>
        <v>0</v>
      </c>
      <c r="AY92" s="280"/>
      <c r="AZ92" s="280" cm="1">
        <f t="array" ref="AZ92">_xlfn.IFS(Table9[[#This Row],[Airport Connectivity (km)
(10%)]]="", 0, Table9[[#This Row],[Airport Connectivity (km)
(10%)]]&gt;200, 0, Table9[[#This Row],[Airport Connectivity (km)
(10%)]]&lt;=100,4,TRUE, 2)</f>
        <v>0</v>
      </c>
      <c r="BA92" s="280">
        <f>Table9[[#This Row],[Airport Connectivity Score]]*'Detailed Rubric V3'!$C$41</f>
        <v>0</v>
      </c>
      <c r="BB92" s="280"/>
      <c r="BC92" s="280" cm="1">
        <f t="array" ref="BC92">_xlfn.IFS(Table9[[#This Row],[Railway Station (km)
(10%)]]="", 0, Table9[[#This Row],[Railway Station (km)
(10%)]]&gt;150, 0,Table9[[#This Row],[Railway Station (km)
(10%)]]&lt;=50,4, TRUE, 2)</f>
        <v>0</v>
      </c>
      <c r="BD92" s="280">
        <f>Table9[[#This Row],[Railway Station Score]]*'Detailed Rubric V3'!$F$41</f>
        <v>0</v>
      </c>
      <c r="BE92" s="280"/>
      <c r="BF92" s="280" cm="1">
        <f t="array" ref="BF92">_xlfn.IFS(Table9[[#This Row],[Inland waterway/ Land port (km)
(20%)]]="", 0, Table9[[#This Row],[Inland waterway/ Land port (km)
(20%)]]&gt;200, 0,Table9[[#This Row],[Inland waterway/ Land port (km)
(20%)]]&lt;=50,4, TRUE, 2)</f>
        <v>0</v>
      </c>
      <c r="BG92" s="280">
        <f>Table9[[#This Row],[Inland waterway/ Land port Score]]*'Detailed Rubric V3'!$I$41</f>
        <v>0</v>
      </c>
      <c r="BH92"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92" s="280"/>
      <c r="BJ92" s="280" cm="1">
        <f t="array" ref="BJ92">_xlfn.IFS(Table9[[#This Row],[Power Station (40%)]]="",0, Table9[[#This Row],[Power Station (40%)]]&gt;100, 0,Table9[[#This Row],[Power Station (40%)]]&lt;=50,4, TRUE, 2)</f>
        <v>0</v>
      </c>
      <c r="BK92" s="280">
        <f>Table9[[#This Row],[Power Station Score]]*'Detailed Rubric V3'!$C$53</f>
        <v>0</v>
      </c>
      <c r="BL92" s="280"/>
      <c r="BM92" s="280" cm="1">
        <f t="array" ref="BM92">IF(ISNUMBER(Table9[[#This Row],[Gas Station (20%)]]), _xlfn.IFS(Table9[[#This Row],[Gas Station (20%)]]="", 0, Table9[[#This Row],[Gas Station (20%)]]&gt;100, 0,Table9[[#This Row],[Gas Station (20%)]]&lt;=50,4, TRUE, 2), 0)</f>
        <v>0</v>
      </c>
      <c r="BN92" s="280">
        <f>Table9[[#This Row],[Gas Station Score]]*'Detailed Rubric V3'!$F$53</f>
        <v>0</v>
      </c>
      <c r="BO92" s="280"/>
      <c r="BP92" s="280" cm="1">
        <f t="array" ref="BP92">IF(ISNUMBER(Table9[[#This Row],[Source of Surface Water (40%)]]), _xlfn.IFS(Table9[[#This Row],[Source of Surface Water (40%)]]="", 0, Table9[[#This Row],[Source of Surface Water (40%)]]&gt;50, 0,Table9[[#This Row],[Source of Surface Water (40%)]]&lt;=20,4, TRUE, 2), 0)</f>
        <v>0</v>
      </c>
      <c r="BQ92" s="280">
        <f>Table9[[#This Row],[Source of Surface Water Score]]*'Detailed Rubric V3'!$I$53</f>
        <v>0</v>
      </c>
      <c r="BR92" s="280">
        <f>SUM(Table9[[#This Row],[Power Station Weighted Score]],Table9[[#This Row],[Gas Station Weighted Score]],Table9[[#This Row],[Source of Surface Water Weighted Score]])*'Detailed Rubric V3'!$C$51</f>
        <v>0</v>
      </c>
      <c r="BS92" s="280"/>
      <c r="BT92" s="280" cm="1">
        <f t="array" ref="BT92">_xlfn.IFS(Table9[[#This Row],[Other BEZA EZ (20%)]]="", 0, Table9[[#This Row],[Other BEZA EZ (20%)]]="Yes", 4, TRUE, 0)</f>
        <v>0</v>
      </c>
      <c r="BU92" s="280">
        <f>Table9[[#This Row],[Other BEZA EZ Score]]*'Detailed Rubric V3'!$C$66</f>
        <v>0</v>
      </c>
      <c r="BV92" s="280"/>
      <c r="BW92" s="280" cm="1">
        <f t="array" ref="BW92">_xlfn.IFS(Table9[[#This Row],[BEPZA/ BHPTA/ BSCIC (20%)]]="", 0, Table9[[#This Row],[BEPZA/ BHPTA/ BSCIC (20%)]]="Yes", 4, TRUE, 0)</f>
        <v>0</v>
      </c>
      <c r="BX92" s="280">
        <f>Table9[[#This Row],[BEPZA/ BHPTA/ BSCIC Score]]*'Detailed Rubric V3'!$F$66</f>
        <v>0</v>
      </c>
      <c r="BY92" s="280"/>
      <c r="BZ92" s="280" cm="1">
        <f t="array" ref="BZ92">_xlfn.IFS(Table9[[#This Row],[Cluster Industries (from SMI) (20%)]]="", 0, Table9[[#This Row],[Cluster Industries (from SMI) (20%)]]&gt;100, 4, Table9[[#This Row],[Cluster Industries (from SMI) (20%)]]&lt;50, 0, TRUE, 2)</f>
        <v>0</v>
      </c>
      <c r="CA92" s="280">
        <f>Table9[[#This Row],[Cluster Industries (from SMI) Score]]*'Detailed Rubric V3'!$I$66</f>
        <v>0</v>
      </c>
      <c r="CB92" s="280"/>
      <c r="CC92" s="280" cm="1">
        <f t="array" ref="CC92">_xlfn.IFS(Table9[[#This Row],[Located on Industrial corridor (40%)]]="", 0, Table9[[#This Row],[Located on Industrial corridor (40%)]]="Yes", 4, TRUE, 0)</f>
        <v>0</v>
      </c>
      <c r="CD92" s="280">
        <f>Table9[[#This Row],[Located on Industrial corridor Score]]*'Detailed Rubric V3'!$L$66</f>
        <v>0</v>
      </c>
      <c r="CE92" s="280">
        <f>SUM(Table9[[#This Row],[Other BEZA EZ Weighted Score]],Table9[[#This Row],[BEPZA/ BHPTA/ BSCIC Weighted Score]],Table9[[#This Row],[Unorganized (from SMI) Weighted Score]],Table9[[#This Row],[Located on Industrial corridor Weighted Score]])*'Detailed Rubric V3'!$C$64</f>
        <v>0</v>
      </c>
      <c r="CF92" s="280"/>
      <c r="CG92" s="280" cm="1">
        <f t="array" ref="CG92">_xlfn.IFS(Table9[[#This Row],[Economic/ Social priority (laggered area) (100%)]]="", 0, Table9[[#This Row],[Economic/ Social priority (laggered area) (100%)]]="Yes", 4, TRUE, 0)</f>
        <v>0</v>
      </c>
      <c r="CH92" s="280">
        <f>Table9[[#This Row],[Economic/ Social priority (laggered area) Score]]*'Detailed Rubric V3'!$C$82</f>
        <v>0</v>
      </c>
      <c r="CI92" s="280"/>
      <c r="CJ92" s="280" cm="1">
        <f t="array" ref="CJ92">_xlfn.IFS(Table9[[#This Row],[Regional Tax incentive  (0%)]]="", 0, Table9[[#This Row],[Regional Tax incentive  (0%)]]="Yes", 4, TRUE, 0)</f>
        <v>0</v>
      </c>
      <c r="CK92" s="280">
        <f>Table9[[#This Row],[Regional Tax incentive Score]]*'Detailed Rubric V3'!$F$82</f>
        <v>0</v>
      </c>
      <c r="CL92" s="280">
        <f>SUM(Table9[[#This Row],[Economic/ Social priority (laagered area) Weighted Score]],Table9[[#This Row],[Regional Tax incentive  Weighted Score]])*'Detailed Rubric V3'!$C$80</f>
        <v>0</v>
      </c>
      <c r="CM92" s="280"/>
      <c r="CN92" s="280" cm="1">
        <f t="array" ref="CN92">_xlfn.IFS(Table9[[#This Row],[Employable population (40%) 2013]]="", 0, Table9[[#This Row],[Employable population (40%) 2013]]&gt;200000, 4, Table9[[#This Row],[Employable population (40%) 2013]]&lt;100000,0, TRUE, 2)</f>
        <v>0</v>
      </c>
      <c r="CO92" s="280">
        <f>Table9[[#This Row],[Employable population Score]]*'Detailed Rubric V3'!$C$92</f>
        <v>0</v>
      </c>
      <c r="CP92" s="280"/>
      <c r="CQ92" s="280" cm="1">
        <f t="array" ref="CQ92">_xlfn.IFS(Table9[[#This Row],[Housing (20%)]]="", 0, Table9[[#This Row],[Housing (20%)]]&gt;50, 0, Table9[[#This Row],[Housing (20%)]]&lt;25, 4, TRUE, 2)</f>
        <v>0</v>
      </c>
      <c r="CR92" s="280">
        <f>Table9[[#This Row],[Housing Score]]*'Detailed Rubric V3'!$F$92</f>
        <v>0</v>
      </c>
      <c r="CS92" s="280"/>
      <c r="CT92" s="280" cm="1">
        <f t="array" ref="CT92">_xlfn.IFS(Table9[[#This Row],[Hotels (10%)]]="", 0, Table9[[#This Row],[Hotels (10%)]]&gt;25, 4, Table9[[#This Row],[Hotels (10%)]]&lt;5, 0, TRUE, 2)</f>
        <v>0</v>
      </c>
      <c r="CU92" s="280">
        <f>Table9[[#This Row],[Hotels Score]]*'Detailed Rubric V3'!$I$92</f>
        <v>0</v>
      </c>
      <c r="CV92" s="280"/>
      <c r="CW92" s="280" cm="1">
        <f t="array" ref="CW92">_xlfn.IFS(Table9[[#This Row],[Health (Hospital) (15%)]]="", 0, Table9[[#This Row],[Health (Hospital) (15%)]]&gt;10, 4, Table9[[#This Row],[Health (Hospital) (15%)]]&lt;5, 0, TRUE, 2)</f>
        <v>0</v>
      </c>
      <c r="CX92" s="280">
        <f>Table9[[#This Row],[Health (Hospital) Score]]*'Detailed Rubric V3'!$L$92</f>
        <v>0</v>
      </c>
      <c r="CY92" s="280"/>
      <c r="CZ92" s="280" cm="1">
        <f t="array" ref="CZ92">_xlfn.IFS(Table9[[#This Row],[University/ Technical &amp; Vocational Institutions (15%)]]="", 0, Table9[[#This Row],[University/ Technical &amp; Vocational Institutions (15%)]]&gt;3, 4, Table9[[#This Row],[University/ Technical &amp; Vocational Institutions (15%)]]&lt;1, 0, TRUE, 2)</f>
        <v>0</v>
      </c>
      <c r="DA92" s="280">
        <f>Table9[[#This Row],[University/ Technical &amp; Vocational Institutions Score]]*'Detailed Rubric V3'!$O$92</f>
        <v>0</v>
      </c>
      <c r="DB92"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92" s="280"/>
      <c r="DD92" s="280" cm="1">
        <f t="array" ref="DD92">_xlfn.IFS(Table9[[#This Row],[Environment compliance (30%)]]="", 0, Table9[[#This Row],[Environment compliance (30%)]]="Yes", 4, TRUE, 0)</f>
        <v>0</v>
      </c>
      <c r="DE92" s="280">
        <f>Table9[[#This Row],[Environment compliance Score]]*'Detailed Rubric V3'!$C$104</f>
        <v>0</v>
      </c>
      <c r="DF92" s="280" t="s">
        <v>421</v>
      </c>
      <c r="DG92" s="280" cm="1">
        <f t="array" ref="DG92">_xlfn.IFS(Table9[[#This Row],[Flood Risk Index (30%)]]="", 0, Table9[[#This Row],[Flood Risk Index (30%)]]="Very Low", 4, Table9[[#This Row],[Flood Risk Index (30%)]]="Moderate &amp; Low", 2, TRUE, 0)</f>
        <v>0</v>
      </c>
      <c r="DH92" s="280">
        <f>Table9[[#This Row],[Flood Risk Index Score]]*'Detailed Rubric V3'!$F$104</f>
        <v>0</v>
      </c>
      <c r="DI92" s="280" t="s">
        <v>421</v>
      </c>
      <c r="DJ92" s="280" cm="1">
        <f t="array" ref="DJ92">_xlfn.IFS(Table9[[#This Row],[Earth Quake Risk Index (10%)]]="", 0, Table9[[#This Row],[Earth Quake Risk Index (10%)]]="Very Low", 4, Table9[[#This Row],[Earth Quake Risk Index (10%)]]="Moderate &amp; Low", 2, TRUE, 0)</f>
        <v>0</v>
      </c>
      <c r="DK92" s="280">
        <f>Table9[[#This Row],[Earth Quake Risk Index Score]]*'Detailed Rubric V3'!$I$104</f>
        <v>0</v>
      </c>
      <c r="DL92" s="280" t="s">
        <v>428</v>
      </c>
      <c r="DM92" s="280" cm="1">
        <f t="array" ref="DM92">_xlfn.IFS(Table9[[#This Row],[Sea Level Rise Risk Index (10%)]]="", 0, Table9[[#This Row],[Sea Level Rise Risk Index (10%)]]="Very Low", 4, Table9[[#This Row],[Sea Level Rise Risk Index (10%)]]="Moderate &amp; Low", 2, TRUE, 0)</f>
        <v>4</v>
      </c>
      <c r="DN92" s="280">
        <f>Table9[[#This Row],[Sea Level Rise  Risk Index Score]]*'Detailed Rubric V3'!$L$104</f>
        <v>0.4</v>
      </c>
      <c r="DO92" s="280" t="s">
        <v>420</v>
      </c>
      <c r="DP92" s="280" cm="1">
        <f t="array" ref="DP92">_xlfn.IFS(Table9[[#This Row],[Cyclone Risk Index (10%)]]="", 0, Table9[[#This Row],[Cyclone Risk Index (10%)]]="Very Low", 4, Table9[[#This Row],[Cyclone Risk Index (10%)]]="Moderate &amp; Low", 2, TRUE, 0)</f>
        <v>0</v>
      </c>
      <c r="DQ92" s="280">
        <f>Table9[[#This Row],[Cyclone Risk Index Score]]*'Detailed Rubric V3'!$O$104</f>
        <v>0</v>
      </c>
      <c r="DR92" s="280" t="s">
        <v>428</v>
      </c>
      <c r="DS92" s="280" cm="1">
        <f t="array" ref="DS92">_xlfn.IFS(Table9[[#This Row],[Storm Surge Risk Index (10%)]]="", 0, Table9[[#This Row],[Storm Surge Risk Index (10%)]]="Very Low", 4, Table9[[#This Row],[Storm Surge Risk Index (10%)]]="Moderate &amp; Low", 2, TRUE, 0)</f>
        <v>4</v>
      </c>
      <c r="DT92" s="280">
        <f>Table9[[#This Row],[Storm Surge Risk Index Score]]*'Detailed Rubric V3'!$R$104</f>
        <v>0.4</v>
      </c>
      <c r="DU92"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4.8000000000000001E-2</v>
      </c>
      <c r="DV92" s="309">
        <f>SUM(Table9[[#This Row],[2.1. Connectivity/ Logistics (10% weightage)]],Table9[[#This Row],[2.2. Utility (12% weightage)]],Table9[[#This Row],[2.3. Agglomeration effects (10% weightage)]],Table9[[#This Row],[2.4. Regional Policy (4% weightage)]],Table9[[#This Row],[2.5. Social (8% weightage)]],Table9[[#This Row],[2.6. Environment (6% weightage)]])</f>
        <v>4.8000000000000001E-2</v>
      </c>
      <c r="DW92" s="280">
        <f>_xlfn.RANK.EQ(Table9[[#This Row],[Level 2 Score]],$DV$3:$DV$103)</f>
        <v>97</v>
      </c>
      <c r="DX92" s="302">
        <f>Table9[[#This Row],[Level 1 Score]]+Table9[[#This Row],[Level 2 Score]]</f>
        <v>0.25800000000000001</v>
      </c>
      <c r="DY92" s="294">
        <f>_xlfn.RANK.EQ(Table9[[#This Row],[Total Score]],$DX$3:$DX$103)</f>
        <v>90</v>
      </c>
      <c r="DZ92" s="237" t="str">
        <f>IF(Table9[[#This Row],[Count of Blanks]]&lt;=2, "Yes", "No")</f>
        <v>No</v>
      </c>
      <c r="EA92" s="237">
        <f>COUNTBLANK(Table9[[#This Row],[Name]:[Total Score Rank]])</f>
        <v>23</v>
      </c>
      <c r="EB92" s="237"/>
    </row>
    <row r="93" spans="2:132" ht="27" x14ac:dyDescent="0.25">
      <c r="B93" s="220">
        <v>62</v>
      </c>
      <c r="C93" s="221" t="s">
        <v>227</v>
      </c>
      <c r="D93" s="220" t="s">
        <v>84</v>
      </c>
      <c r="E93" s="220" t="s">
        <v>97</v>
      </c>
      <c r="F93" s="220" t="s">
        <v>228</v>
      </c>
      <c r="G93" s="220" t="s">
        <v>70</v>
      </c>
      <c r="H93" s="525" t="s">
        <v>430</v>
      </c>
      <c r="I93" s="70" t="s">
        <v>455</v>
      </c>
      <c r="J93" s="227" t="s">
        <v>444</v>
      </c>
      <c r="K93" s="220">
        <f>IFERROR(VLOOKUP(Table9[[#This Row],[Land Availability (Grade)​
(50%)]],'Detailed Rubric V3'!$B$8:$C$11,2), 0)</f>
        <v>0</v>
      </c>
      <c r="L93" s="220">
        <f>IFERROR(Table9[[#This Row],[Land Availability (Grade)​ Score]]*'Detailed Rubric V3'!$C$6, "")</f>
        <v>0</v>
      </c>
      <c r="M93" s="222">
        <v>1564.35</v>
      </c>
      <c r="N93" s="222" cm="1">
        <f t="array" ref="N93">_xlfn.IFS(Table9[[#This Row],[Land Size (Acres)
(15%)]]&lt;100,0,Table9[[#This Row],[Land Size (Acres)
(15%)]]&gt;500,4,TRUE,2)</f>
        <v>4</v>
      </c>
      <c r="O93" s="222">
        <f>Table9[[#This Row],[Land Size (Acres) Score]]*'Detailed Rubric V3'!$G$6</f>
        <v>0.6</v>
      </c>
      <c r="P93" s="526"/>
      <c r="Q93" s="526">
        <f>IFERROR(Table9[[#This Row],[Site Filling Cost (Mn BDT)]]/Table9[[#This Row],[Land Size (Acres)
(15%)]],"")</f>
        <v>0</v>
      </c>
      <c r="R93" s="526" cm="1">
        <f t="array" ref="R93">IF(Table9[[#This Row],[Name]]="Sitakundo Economic Zone", 4, _xlfn.IFS(Table9[[#This Row],[Site Filling Cost (Mn BDT)]]="",0,Table9[[#This Row],[Land Suitability
(Cost of Land Filling in Million BDT per acre)
(25%)]]&gt;5,0,Table9[[#This Row],[Land Suitability
(Cost of Land Filling in Million BDT per acre)
(25%)]]&lt;2,4,TRUE,2))</f>
        <v>0</v>
      </c>
      <c r="S93" s="526">
        <f>Table9[[#This Row],[Land Suitability for Construction Score]]*'Detailed Rubric V3'!$J$6</f>
        <v>0</v>
      </c>
      <c r="T93" s="526"/>
      <c r="U93" s="526">
        <f>IFERROR(Table9[[#This Row],[Embankment/Dyke Cost (Mn BDT)]]/Table9[[#This Row],[Land Size (Acres)
(15%)]], 0)</f>
        <v>0</v>
      </c>
      <c r="V93" s="526" cm="1">
        <f t="array" ref="V93">IF(Table9[[#This Row],[Name]]="Sitakundo Economic Zone", 2, _xlfn.IFS(Table9[[#This Row],[Embankment/Dyke Cost (Mn BDT)]]="",0,Table9[[#This Row],[Cost of DRRI Infrastructure in million BDT per acre
(10%)]]&gt;5,0,Table9[[#This Row],[Cost of DRRI Infrastructure in million BDT per acre
(10%)]]&lt;2,4,TRUE,2))</f>
        <v>0</v>
      </c>
      <c r="W93" s="526">
        <f>Table9[[#This Row],[Requirement for Distaster Risk Reduction &amp; Resilience Infrastructure Score]]*'Detailed Rubric V3'!$M$6</f>
        <v>0</v>
      </c>
      <c r="X93"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93" s="227" t="s">
        <v>436</v>
      </c>
      <c r="Z93" s="210">
        <f>IFERROR(VLOOKUP(Table9[[#This Row],[Zone Priority
(40%)]],'Detailed Rubric V3'!$B$18:$C$21, 2,FALSE), 0)</f>
        <v>0</v>
      </c>
      <c r="AA93" s="210">
        <f>IFERROR(Table9[[#This Row],[Zone Priority Score]]*'Detailed Rubric V3'!$C$16, 0)</f>
        <v>0</v>
      </c>
      <c r="AB93" s="237" t="s">
        <v>441</v>
      </c>
      <c r="AC93" s="237">
        <f>VLOOKUP(Table9[[#This Row],[Existing BEZA Report
(60%)]],'Detailed Rubric V3'!$E$18:$F$20,2,FALSE)</f>
        <v>0</v>
      </c>
      <c r="AD93" s="237">
        <f>Table9[[#This Row],[Existing BEZA Report Score]]*'Detailed Rubric V3'!F$16</f>
        <v>0</v>
      </c>
      <c r="AE93" s="237">
        <f>(Table9[[#This Row],[Zone Priority Weighted Score]]+Table9[[#This Row],[Existing BEZA Report Weighted Score]])*'Detailed Rubric V3'!$C$14</f>
        <v>0</v>
      </c>
      <c r="AF93" s="528">
        <v>0</v>
      </c>
      <c r="AG93" s="529" cm="1">
        <f t="array" ref="AG93">_xlfn.IFS(Table9[[#This Row],[Existing Sectors
(50%)]]&gt;10, 4,Table9[[#This Row],[Existing Sectors
(50%)]]&lt;5, 0, TRUE, 2)</f>
        <v>0</v>
      </c>
      <c r="AH93" s="529">
        <f>Table9[[#This Row],[Existing Sectors Score]]*'Detailed Rubric V3'!$C$25</f>
        <v>0</v>
      </c>
      <c r="AI93" s="529">
        <v>1</v>
      </c>
      <c r="AJ93" s="529">
        <v>1</v>
      </c>
      <c r="AK93" s="529" cm="1">
        <f t="array" ref="AK93">_xlfn.IFS(Table9[[#This Row],[Potential New Sectors
(50%)]]&gt;5, 4, Table9[[#This Row],[Potential New Sectors
(50%)]]&lt;2,0, TRUE, 2)</f>
        <v>0</v>
      </c>
      <c r="AL93" s="529">
        <f>Table9[[#This Row],[Potential New Sectors Score]]*'Detailed Rubric V3'!$F$25</f>
        <v>0</v>
      </c>
      <c r="AM93" s="232">
        <f>(Table9[[#This Row],[Existing Sectors Weighted Score]]+Table9[[#This Row],[Potential New Sectors Weighted Score]])*'Detailed Rubric V3'!$C$23</f>
        <v>0</v>
      </c>
      <c r="AN93" s="530">
        <f>SUM(Table9[[#This Row],[1.1. Land Details (20% weightage)]],Table9[[#This Row],[1.2. BEZA Existing plans (15% weightage)]],Table9[[#This Row],[1.3. Sector Demand (15% weightage):]])</f>
        <v>0.12</v>
      </c>
      <c r="AO93" s="531">
        <f>_xlfn.RANK.EQ(Table9[[#This Row],[Level 1 Score]],$AN$3:$AN$103)</f>
        <v>90</v>
      </c>
      <c r="AP93" s="280"/>
      <c r="AQ93" s="280" cm="1">
        <f t="array" ref="AQ93">_xlfn.IFS(Table9[[#This Row],[National Highway Connectivity (km)
(15%)]]="", 0, Table9[[#This Row],[National Highway Connectivity (km)
(15%)]]&gt;50, 0, Table9[[#This Row],[National Highway Connectivity (km)
(15%)]]&lt;=25, 4, TRUE, 2)</f>
        <v>0</v>
      </c>
      <c r="AR93" s="280">
        <f>Table9[[#This Row],[National Highway Connectivity Score]]*'Detailed Rubric V3'!$C$35</f>
        <v>0</v>
      </c>
      <c r="AS93" s="280"/>
      <c r="AT93" s="280" cm="1">
        <f t="array" ref="AT93">_xlfn.IFS(Table9[[#This Row],[Connecting Road to Highway (km)
(15%)]]="", 0, Table9[[#This Row],[Connecting Road to Highway (km)
(15%)]]="Yes", 4, TRUE, 0)</f>
        <v>0</v>
      </c>
      <c r="AU93" s="280">
        <f>Table9[[#This Row],[Connecting Road to Highway Score]]*'Detailed Rubric V3'!$F$35</f>
        <v>0</v>
      </c>
      <c r="AV93" s="280"/>
      <c r="AW93" s="280" cm="1">
        <f t="array" ref="AW93">_xlfn.IFS(Table9[[#This Row],[Seaport Connectivity (km)
(30%)]]="",0, Table9[[#This Row],[Seaport Connectivity (km)
(30%)]]&gt;400, 0,Table9[[#This Row],[Seaport Connectivity (km)
(30%)]]&lt;=200,4, TRUE, 2)</f>
        <v>0</v>
      </c>
      <c r="AX93" s="280">
        <f>Table9[[#This Row],[Seaport Connectivity Score]]*'Detailed Rubric V3'!$I$35</f>
        <v>0</v>
      </c>
      <c r="AY93" s="280"/>
      <c r="AZ93" s="280" cm="1">
        <f t="array" ref="AZ93">_xlfn.IFS(Table9[[#This Row],[Airport Connectivity (km)
(10%)]]="", 0, Table9[[#This Row],[Airport Connectivity (km)
(10%)]]&gt;200, 0, Table9[[#This Row],[Airport Connectivity (km)
(10%)]]&lt;=100,4,TRUE, 2)</f>
        <v>0</v>
      </c>
      <c r="BA93" s="280">
        <f>Table9[[#This Row],[Airport Connectivity Score]]*'Detailed Rubric V3'!$C$41</f>
        <v>0</v>
      </c>
      <c r="BB93" s="280"/>
      <c r="BC93" s="280" cm="1">
        <f t="array" ref="BC93">_xlfn.IFS(Table9[[#This Row],[Railway Station (km)
(10%)]]="", 0, Table9[[#This Row],[Railway Station (km)
(10%)]]&gt;150, 0,Table9[[#This Row],[Railway Station (km)
(10%)]]&lt;=50,4, TRUE, 2)</f>
        <v>0</v>
      </c>
      <c r="BD93" s="280">
        <f>Table9[[#This Row],[Railway Station Score]]*'Detailed Rubric V3'!$F$41</f>
        <v>0</v>
      </c>
      <c r="BE93" s="280"/>
      <c r="BF93" s="280" cm="1">
        <f t="array" ref="BF93">_xlfn.IFS(Table9[[#This Row],[Inland waterway/ Land port (km)
(20%)]]="", 0, Table9[[#This Row],[Inland waterway/ Land port (km)
(20%)]]&gt;200, 0,Table9[[#This Row],[Inland waterway/ Land port (km)
(20%)]]&lt;=50,4, TRUE, 2)</f>
        <v>0</v>
      </c>
      <c r="BG93" s="280">
        <f>Table9[[#This Row],[Inland waterway/ Land port Score]]*'Detailed Rubric V3'!$I$41</f>
        <v>0</v>
      </c>
      <c r="BH93"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93" s="280"/>
      <c r="BJ93" s="280" cm="1">
        <f t="array" ref="BJ93">_xlfn.IFS(Table9[[#This Row],[Power Station (40%)]]="",0, Table9[[#This Row],[Power Station (40%)]]&gt;100, 0,Table9[[#This Row],[Power Station (40%)]]&lt;=50,4, TRUE, 2)</f>
        <v>0</v>
      </c>
      <c r="BK93" s="280">
        <f>Table9[[#This Row],[Power Station Score]]*'Detailed Rubric V3'!$C$53</f>
        <v>0</v>
      </c>
      <c r="BL93" s="280"/>
      <c r="BM93" s="280" cm="1">
        <f t="array" ref="BM93">IF(ISNUMBER(Table9[[#This Row],[Gas Station (20%)]]), _xlfn.IFS(Table9[[#This Row],[Gas Station (20%)]]="", 0, Table9[[#This Row],[Gas Station (20%)]]&gt;100, 0,Table9[[#This Row],[Gas Station (20%)]]&lt;=50,4, TRUE, 2), 0)</f>
        <v>0</v>
      </c>
      <c r="BN93" s="280">
        <f>Table9[[#This Row],[Gas Station Score]]*'Detailed Rubric V3'!$F$53</f>
        <v>0</v>
      </c>
      <c r="BO93" s="280"/>
      <c r="BP93" s="280" cm="1">
        <f t="array" ref="BP93">IF(ISNUMBER(Table9[[#This Row],[Source of Surface Water (40%)]]), _xlfn.IFS(Table9[[#This Row],[Source of Surface Water (40%)]]="", 0, Table9[[#This Row],[Source of Surface Water (40%)]]&gt;50, 0,Table9[[#This Row],[Source of Surface Water (40%)]]&lt;=20,4, TRUE, 2), 0)</f>
        <v>0</v>
      </c>
      <c r="BQ93" s="280">
        <f>Table9[[#This Row],[Source of Surface Water Score]]*'Detailed Rubric V3'!$I$53</f>
        <v>0</v>
      </c>
      <c r="BR93" s="280">
        <f>SUM(Table9[[#This Row],[Power Station Weighted Score]],Table9[[#This Row],[Gas Station Weighted Score]],Table9[[#This Row],[Source of Surface Water Weighted Score]])*'Detailed Rubric V3'!$C$51</f>
        <v>0</v>
      </c>
      <c r="BS93" s="280"/>
      <c r="BT93" s="280" cm="1">
        <f t="array" ref="BT93">_xlfn.IFS(Table9[[#This Row],[Other BEZA EZ (20%)]]="", 0, Table9[[#This Row],[Other BEZA EZ (20%)]]="Yes", 4, TRUE, 0)</f>
        <v>0</v>
      </c>
      <c r="BU93" s="280">
        <f>Table9[[#This Row],[Other BEZA EZ Score]]*'Detailed Rubric V3'!$C$66</f>
        <v>0</v>
      </c>
      <c r="BV93" s="280"/>
      <c r="BW93" s="280" cm="1">
        <f t="array" ref="BW93">_xlfn.IFS(Table9[[#This Row],[BEPZA/ BHPTA/ BSCIC (20%)]]="", 0, Table9[[#This Row],[BEPZA/ BHPTA/ BSCIC (20%)]]="Yes", 4, TRUE, 0)</f>
        <v>0</v>
      </c>
      <c r="BX93" s="280">
        <f>Table9[[#This Row],[BEPZA/ BHPTA/ BSCIC Score]]*'Detailed Rubric V3'!$F$66</f>
        <v>0</v>
      </c>
      <c r="BY93" s="280"/>
      <c r="BZ93" s="280" cm="1">
        <f t="array" ref="BZ93">_xlfn.IFS(Table9[[#This Row],[Cluster Industries (from SMI) (20%)]]="", 0, Table9[[#This Row],[Cluster Industries (from SMI) (20%)]]&gt;100, 4, Table9[[#This Row],[Cluster Industries (from SMI) (20%)]]&lt;50, 0, TRUE, 2)</f>
        <v>0</v>
      </c>
      <c r="CA93" s="280">
        <f>Table9[[#This Row],[Cluster Industries (from SMI) Score]]*'Detailed Rubric V3'!$I$66</f>
        <v>0</v>
      </c>
      <c r="CB93" s="280"/>
      <c r="CC93" s="280" cm="1">
        <f t="array" ref="CC93">_xlfn.IFS(Table9[[#This Row],[Located on Industrial corridor (40%)]]="", 0, Table9[[#This Row],[Located on Industrial corridor (40%)]]="Yes", 4, TRUE, 0)</f>
        <v>0</v>
      </c>
      <c r="CD93" s="280">
        <f>Table9[[#This Row],[Located on Industrial corridor Score]]*'Detailed Rubric V3'!$L$66</f>
        <v>0</v>
      </c>
      <c r="CE93" s="280">
        <f>SUM(Table9[[#This Row],[Other BEZA EZ Weighted Score]],Table9[[#This Row],[BEPZA/ BHPTA/ BSCIC Weighted Score]],Table9[[#This Row],[Unorganized (from SMI) Weighted Score]],Table9[[#This Row],[Located on Industrial corridor Weighted Score]])*'Detailed Rubric V3'!$C$64</f>
        <v>0</v>
      </c>
      <c r="CF93" s="280"/>
      <c r="CG93" s="280" cm="1">
        <f t="array" ref="CG93">_xlfn.IFS(Table9[[#This Row],[Economic/ Social priority (laggered area) (100%)]]="", 0, Table9[[#This Row],[Economic/ Social priority (laggered area) (100%)]]="Yes", 4, TRUE, 0)</f>
        <v>0</v>
      </c>
      <c r="CH93" s="280">
        <f>Table9[[#This Row],[Economic/ Social priority (laggered area) Score]]*'Detailed Rubric V3'!$C$82</f>
        <v>0</v>
      </c>
      <c r="CI93" s="280"/>
      <c r="CJ93" s="280" cm="1">
        <f t="array" ref="CJ93">_xlfn.IFS(Table9[[#This Row],[Regional Tax incentive  (0%)]]="", 0, Table9[[#This Row],[Regional Tax incentive  (0%)]]="Yes", 4, TRUE, 0)</f>
        <v>0</v>
      </c>
      <c r="CK93" s="280">
        <f>Table9[[#This Row],[Regional Tax incentive Score]]*'Detailed Rubric V3'!$F$82</f>
        <v>0</v>
      </c>
      <c r="CL93" s="280">
        <f>SUM(Table9[[#This Row],[Economic/ Social priority (laagered area) Weighted Score]],Table9[[#This Row],[Regional Tax incentive  Weighted Score]])*'Detailed Rubric V3'!$C$80</f>
        <v>0</v>
      </c>
      <c r="CM93" s="280"/>
      <c r="CN93" s="280" cm="1">
        <f t="array" ref="CN93">_xlfn.IFS(Table9[[#This Row],[Employable population (40%) 2013]]="", 0, Table9[[#This Row],[Employable population (40%) 2013]]&gt;200000, 4, Table9[[#This Row],[Employable population (40%) 2013]]&lt;100000,0, TRUE, 2)</f>
        <v>0</v>
      </c>
      <c r="CO93" s="280">
        <f>Table9[[#This Row],[Employable population Score]]*'Detailed Rubric V3'!$C$92</f>
        <v>0</v>
      </c>
      <c r="CP93" s="280"/>
      <c r="CQ93" s="280" cm="1">
        <f t="array" ref="CQ93">_xlfn.IFS(Table9[[#This Row],[Housing (20%)]]="", 0, Table9[[#This Row],[Housing (20%)]]&gt;50, 0, Table9[[#This Row],[Housing (20%)]]&lt;25, 4, TRUE, 2)</f>
        <v>0</v>
      </c>
      <c r="CR93" s="280">
        <f>Table9[[#This Row],[Housing Score]]*'Detailed Rubric V3'!$F$92</f>
        <v>0</v>
      </c>
      <c r="CS93" s="280"/>
      <c r="CT93" s="280" cm="1">
        <f t="array" ref="CT93">_xlfn.IFS(Table9[[#This Row],[Hotels (10%)]]="", 0, Table9[[#This Row],[Hotels (10%)]]&gt;25, 4, Table9[[#This Row],[Hotels (10%)]]&lt;5, 0, TRUE, 2)</f>
        <v>0</v>
      </c>
      <c r="CU93" s="280">
        <f>Table9[[#This Row],[Hotels Score]]*'Detailed Rubric V3'!$I$92</f>
        <v>0</v>
      </c>
      <c r="CV93" s="280"/>
      <c r="CW93" s="280" cm="1">
        <f t="array" ref="CW93">_xlfn.IFS(Table9[[#This Row],[Health (Hospital) (15%)]]="", 0, Table9[[#This Row],[Health (Hospital) (15%)]]&gt;10, 4, Table9[[#This Row],[Health (Hospital) (15%)]]&lt;5, 0, TRUE, 2)</f>
        <v>0</v>
      </c>
      <c r="CX93" s="280">
        <f>Table9[[#This Row],[Health (Hospital) Score]]*'Detailed Rubric V3'!$L$92</f>
        <v>0</v>
      </c>
      <c r="CY93" s="280"/>
      <c r="CZ93" s="280" cm="1">
        <f t="array" ref="CZ93">_xlfn.IFS(Table9[[#This Row],[University/ Technical &amp; Vocational Institutions (15%)]]="", 0, Table9[[#This Row],[University/ Technical &amp; Vocational Institutions (15%)]]&gt;3, 4, Table9[[#This Row],[University/ Technical &amp; Vocational Institutions (15%)]]&lt;1, 0, TRUE, 2)</f>
        <v>0</v>
      </c>
      <c r="DA93" s="280">
        <f>Table9[[#This Row],[University/ Technical &amp; Vocational Institutions Score]]*'Detailed Rubric V3'!$O$92</f>
        <v>0</v>
      </c>
      <c r="DB93"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93" s="280"/>
      <c r="DD93" s="280" cm="1">
        <f t="array" ref="DD93">_xlfn.IFS(Table9[[#This Row],[Environment compliance (30%)]]="", 0, Table9[[#This Row],[Environment compliance (30%)]]="Yes", 4, TRUE, 0)</f>
        <v>0</v>
      </c>
      <c r="DE93" s="280">
        <f>Table9[[#This Row],[Environment compliance Score]]*'Detailed Rubric V3'!$C$104</f>
        <v>0</v>
      </c>
      <c r="DF93" s="280" t="s">
        <v>428</v>
      </c>
      <c r="DG93" s="280" cm="1">
        <f t="array" ref="DG93">_xlfn.IFS(Table9[[#This Row],[Flood Risk Index (30%)]]="", 0, Table9[[#This Row],[Flood Risk Index (30%)]]="Very Low", 4, Table9[[#This Row],[Flood Risk Index (30%)]]="Moderate &amp; Low", 2, TRUE, 0)</f>
        <v>4</v>
      </c>
      <c r="DH93" s="280">
        <f>Table9[[#This Row],[Flood Risk Index Score]]*'Detailed Rubric V3'!$F$104</f>
        <v>1.2</v>
      </c>
      <c r="DI93" s="280" t="s">
        <v>428</v>
      </c>
      <c r="DJ93" s="280" cm="1">
        <f t="array" ref="DJ93">_xlfn.IFS(Table9[[#This Row],[Earth Quake Risk Index (10%)]]="", 0, Table9[[#This Row],[Earth Quake Risk Index (10%)]]="Very Low", 4, Table9[[#This Row],[Earth Quake Risk Index (10%)]]="Moderate &amp; Low", 2, TRUE, 0)</f>
        <v>4</v>
      </c>
      <c r="DK93" s="280">
        <f>Table9[[#This Row],[Earth Quake Risk Index Score]]*'Detailed Rubric V3'!$I$104</f>
        <v>0.4</v>
      </c>
      <c r="DL93" s="280" t="s">
        <v>419</v>
      </c>
      <c r="DM93" s="280" cm="1">
        <f t="array" ref="DM93">_xlfn.IFS(Table9[[#This Row],[Sea Level Rise Risk Index (10%)]]="", 0, Table9[[#This Row],[Sea Level Rise Risk Index (10%)]]="Very Low", 4, Table9[[#This Row],[Sea Level Rise Risk Index (10%)]]="Moderate &amp; Low", 2, TRUE, 0)</f>
        <v>2</v>
      </c>
      <c r="DN93" s="280">
        <f>Table9[[#This Row],[Sea Level Rise  Risk Index Score]]*'Detailed Rubric V3'!$L$104</f>
        <v>0.2</v>
      </c>
      <c r="DO93" s="280" t="s">
        <v>419</v>
      </c>
      <c r="DP93" s="280" cm="1">
        <f t="array" ref="DP93">_xlfn.IFS(Table9[[#This Row],[Cyclone Risk Index (10%)]]="", 0, Table9[[#This Row],[Cyclone Risk Index (10%)]]="Very Low", 4, Table9[[#This Row],[Cyclone Risk Index (10%)]]="Moderate &amp; Low", 2, TRUE, 0)</f>
        <v>2</v>
      </c>
      <c r="DQ93" s="280">
        <f>Table9[[#This Row],[Cyclone Risk Index Score]]*'Detailed Rubric V3'!$O$104</f>
        <v>0.2</v>
      </c>
      <c r="DR93" s="280" t="s">
        <v>419</v>
      </c>
      <c r="DS93" s="280" cm="1">
        <f t="array" ref="DS93">_xlfn.IFS(Table9[[#This Row],[Storm Surge Risk Index (10%)]]="", 0, Table9[[#This Row],[Storm Surge Risk Index (10%)]]="Very Low", 4, Table9[[#This Row],[Storm Surge Risk Index (10%)]]="Moderate &amp; Low", 2, TRUE, 0)</f>
        <v>2</v>
      </c>
      <c r="DT93" s="280">
        <f>Table9[[#This Row],[Storm Surge Risk Index Score]]*'Detailed Rubric V3'!$R$104</f>
        <v>0.2</v>
      </c>
      <c r="DU93"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0.13200000000000001</v>
      </c>
      <c r="DV93" s="309">
        <f>SUM(Table9[[#This Row],[2.1. Connectivity/ Logistics (10% weightage)]],Table9[[#This Row],[2.2. Utility (12% weightage)]],Table9[[#This Row],[2.3. Agglomeration effects (10% weightage)]],Table9[[#This Row],[2.4. Regional Policy (4% weightage)]],Table9[[#This Row],[2.5. Social (8% weightage)]],Table9[[#This Row],[2.6. Environment (6% weightage)]])</f>
        <v>0.13200000000000001</v>
      </c>
      <c r="DW93" s="280">
        <f>_xlfn.RANK.EQ(Table9[[#This Row],[Level 2 Score]],$DV$3:$DV$103)</f>
        <v>55</v>
      </c>
      <c r="DX93" s="302">
        <f>Table9[[#This Row],[Level 1 Score]]+Table9[[#This Row],[Level 2 Score]]</f>
        <v>0.252</v>
      </c>
      <c r="DY93" s="294">
        <f>_xlfn.RANK.EQ(Table9[[#This Row],[Total Score]],$DX$3:$DX$103)</f>
        <v>91</v>
      </c>
      <c r="DZ93" s="237" t="str">
        <f>IF(Table9[[#This Row],[Count of Blanks]]&lt;=2, "Yes", "No")</f>
        <v>No</v>
      </c>
      <c r="EA93" s="237">
        <f>COUNTBLANK(Table9[[#This Row],[Name]:[Total Score Rank]])</f>
        <v>23</v>
      </c>
      <c r="EB93" s="237"/>
    </row>
    <row r="94" spans="2:132" ht="27" x14ac:dyDescent="0.25">
      <c r="B94" s="220">
        <v>46</v>
      </c>
      <c r="C94" s="221" t="s">
        <v>232</v>
      </c>
      <c r="D94" s="220" t="s">
        <v>76</v>
      </c>
      <c r="E94" s="220" t="s">
        <v>170</v>
      </c>
      <c r="F94" s="220" t="s">
        <v>233</v>
      </c>
      <c r="G94" s="220" t="s">
        <v>70</v>
      </c>
      <c r="H94" s="525" t="s">
        <v>430</v>
      </c>
      <c r="I94" s="70" t="s">
        <v>455</v>
      </c>
      <c r="J94" s="227" t="s">
        <v>444</v>
      </c>
      <c r="K94" s="220">
        <f>IFERROR(VLOOKUP(Table9[[#This Row],[Land Availability (Grade)​
(50%)]],'Detailed Rubric V3'!$B$8:$C$11,2), 0)</f>
        <v>0</v>
      </c>
      <c r="L94" s="220">
        <f>IFERROR(Table9[[#This Row],[Land Availability (Grade)​ Score]]*'Detailed Rubric V3'!$C$6, "")</f>
        <v>0</v>
      </c>
      <c r="M94" s="222">
        <v>690.2</v>
      </c>
      <c r="N94" s="222" cm="1">
        <f t="array" ref="N94">_xlfn.IFS(Table9[[#This Row],[Land Size (Acres)
(15%)]]&lt;100,0,Table9[[#This Row],[Land Size (Acres)
(15%)]]&gt;500,4,TRUE,2)</f>
        <v>4</v>
      </c>
      <c r="O94" s="222">
        <f>Table9[[#This Row],[Land Size (Acres) Score]]*'Detailed Rubric V3'!$G$6</f>
        <v>0.6</v>
      </c>
      <c r="P94" s="526"/>
      <c r="Q94" s="526">
        <f>IFERROR(Table9[[#This Row],[Site Filling Cost (Mn BDT)]]/Table9[[#This Row],[Land Size (Acres)
(15%)]],"")</f>
        <v>0</v>
      </c>
      <c r="R94" s="526" cm="1">
        <f t="array" ref="R94">IF(Table9[[#This Row],[Name]]="Sitakundo Economic Zone", 4, _xlfn.IFS(Table9[[#This Row],[Site Filling Cost (Mn BDT)]]="",0,Table9[[#This Row],[Land Suitability
(Cost of Land Filling in Million BDT per acre)
(25%)]]&gt;5,0,Table9[[#This Row],[Land Suitability
(Cost of Land Filling in Million BDT per acre)
(25%)]]&lt;2,4,TRUE,2))</f>
        <v>0</v>
      </c>
      <c r="S94" s="526">
        <f>Table9[[#This Row],[Land Suitability for Construction Score]]*'Detailed Rubric V3'!$J$6</f>
        <v>0</v>
      </c>
      <c r="T94" s="526"/>
      <c r="U94" s="526">
        <f>IFERROR(Table9[[#This Row],[Embankment/Dyke Cost (Mn BDT)]]/Table9[[#This Row],[Land Size (Acres)
(15%)]], 0)</f>
        <v>0</v>
      </c>
      <c r="V94" s="526" cm="1">
        <f t="array" ref="V94">IF(Table9[[#This Row],[Name]]="Sitakundo Economic Zone", 2, _xlfn.IFS(Table9[[#This Row],[Embankment/Dyke Cost (Mn BDT)]]="",0,Table9[[#This Row],[Cost of DRRI Infrastructure in million BDT per acre
(10%)]]&gt;5,0,Table9[[#This Row],[Cost of DRRI Infrastructure in million BDT per acre
(10%)]]&lt;2,4,TRUE,2))</f>
        <v>0</v>
      </c>
      <c r="W94" s="526">
        <f>Table9[[#This Row],[Requirement for Distaster Risk Reduction &amp; Resilience Infrastructure Score]]*'Detailed Rubric V3'!$M$6</f>
        <v>0</v>
      </c>
      <c r="X94"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0.12</v>
      </c>
      <c r="Y94" s="452" t="s">
        <v>436</v>
      </c>
      <c r="Z94" s="210">
        <f>IFERROR(VLOOKUP(Table9[[#This Row],[Zone Priority
(40%)]],'Detailed Rubric V3'!$B$18:$C$21, 2,FALSE), 0)</f>
        <v>0</v>
      </c>
      <c r="AA94" s="210">
        <f>IFERROR(Table9[[#This Row],[Zone Priority Score]]*'Detailed Rubric V3'!$C$16, 0)</f>
        <v>0</v>
      </c>
      <c r="AB94" s="237" t="s">
        <v>441</v>
      </c>
      <c r="AC94" s="237">
        <f>VLOOKUP(Table9[[#This Row],[Existing BEZA Report
(60%)]],'Detailed Rubric V3'!$E$18:$F$20,2,FALSE)</f>
        <v>0</v>
      </c>
      <c r="AD94" s="237">
        <f>Table9[[#This Row],[Existing BEZA Report Score]]*'Detailed Rubric V3'!F$16</f>
        <v>0</v>
      </c>
      <c r="AE94" s="237">
        <f>(Table9[[#This Row],[Zone Priority Weighted Score]]+Table9[[#This Row],[Existing BEZA Report Weighted Score]])*'Detailed Rubric V3'!$C$14</f>
        <v>0</v>
      </c>
      <c r="AF94" s="528">
        <v>3</v>
      </c>
      <c r="AG94" s="529" cm="1">
        <f t="array" ref="AG94">_xlfn.IFS(Table9[[#This Row],[Existing Sectors
(50%)]]&gt;10, 4,Table9[[#This Row],[Existing Sectors
(50%)]]&lt;5, 0, TRUE, 2)</f>
        <v>0</v>
      </c>
      <c r="AH94" s="529">
        <f>Table9[[#This Row],[Existing Sectors Score]]*'Detailed Rubric V3'!$C$25</f>
        <v>0</v>
      </c>
      <c r="AI94" s="529">
        <v>3</v>
      </c>
      <c r="AJ94" s="529">
        <v>0</v>
      </c>
      <c r="AK94" s="529" cm="1">
        <f t="array" ref="AK94">_xlfn.IFS(Table9[[#This Row],[Potential New Sectors
(50%)]]&gt;5, 4, Table9[[#This Row],[Potential New Sectors
(50%)]]&lt;2,0, TRUE, 2)</f>
        <v>0</v>
      </c>
      <c r="AL94" s="529">
        <f>Table9[[#This Row],[Potential New Sectors Score]]*'Detailed Rubric V3'!$F$25</f>
        <v>0</v>
      </c>
      <c r="AM94" s="232">
        <f>(Table9[[#This Row],[Existing Sectors Weighted Score]]+Table9[[#This Row],[Potential New Sectors Weighted Score]])*'Detailed Rubric V3'!$C$23</f>
        <v>0</v>
      </c>
      <c r="AN94" s="530">
        <f>SUM(Table9[[#This Row],[1.1. Land Details (20% weightage)]],Table9[[#This Row],[1.2. BEZA Existing plans (15% weightage)]],Table9[[#This Row],[1.3. Sector Demand (15% weightage):]])</f>
        <v>0.12</v>
      </c>
      <c r="AO94" s="531">
        <f>_xlfn.RANK.EQ(Table9[[#This Row],[Level 1 Score]],$AN$3:$AN$103)</f>
        <v>90</v>
      </c>
      <c r="AP94" s="280"/>
      <c r="AQ94" s="280" cm="1">
        <f t="array" ref="AQ94">_xlfn.IFS(Table9[[#This Row],[National Highway Connectivity (km)
(15%)]]="", 0, Table9[[#This Row],[National Highway Connectivity (km)
(15%)]]&gt;50, 0, Table9[[#This Row],[National Highway Connectivity (km)
(15%)]]&lt;=25, 4, TRUE, 2)</f>
        <v>0</v>
      </c>
      <c r="AR94" s="280">
        <f>Table9[[#This Row],[National Highway Connectivity Score]]*'Detailed Rubric V3'!$C$35</f>
        <v>0</v>
      </c>
      <c r="AS94" s="280"/>
      <c r="AT94" s="280" cm="1">
        <f t="array" ref="AT94">_xlfn.IFS(Table9[[#This Row],[Connecting Road to Highway (km)
(15%)]]="", 0, Table9[[#This Row],[Connecting Road to Highway (km)
(15%)]]="Yes", 4, TRUE, 0)</f>
        <v>0</v>
      </c>
      <c r="AU94" s="280">
        <f>Table9[[#This Row],[Connecting Road to Highway Score]]*'Detailed Rubric V3'!$F$35</f>
        <v>0</v>
      </c>
      <c r="AV94" s="280"/>
      <c r="AW94" s="280" cm="1">
        <f t="array" ref="AW94">_xlfn.IFS(Table9[[#This Row],[Seaport Connectivity (km)
(30%)]]="",0, Table9[[#This Row],[Seaport Connectivity (km)
(30%)]]&gt;400, 0,Table9[[#This Row],[Seaport Connectivity (km)
(30%)]]&lt;=200,4, TRUE, 2)</f>
        <v>0</v>
      </c>
      <c r="AX94" s="280">
        <f>Table9[[#This Row],[Seaport Connectivity Score]]*'Detailed Rubric V3'!$I$35</f>
        <v>0</v>
      </c>
      <c r="AY94" s="280"/>
      <c r="AZ94" s="280" cm="1">
        <f t="array" ref="AZ94">_xlfn.IFS(Table9[[#This Row],[Airport Connectivity (km)
(10%)]]="", 0, Table9[[#This Row],[Airport Connectivity (km)
(10%)]]&gt;200, 0, Table9[[#This Row],[Airport Connectivity (km)
(10%)]]&lt;=100,4,TRUE, 2)</f>
        <v>0</v>
      </c>
      <c r="BA94" s="280">
        <f>Table9[[#This Row],[Airport Connectivity Score]]*'Detailed Rubric V3'!$C$41</f>
        <v>0</v>
      </c>
      <c r="BB94" s="280"/>
      <c r="BC94" s="280" cm="1">
        <f t="array" ref="BC94">_xlfn.IFS(Table9[[#This Row],[Railway Station (km)
(10%)]]="", 0, Table9[[#This Row],[Railway Station (km)
(10%)]]&gt;150, 0,Table9[[#This Row],[Railway Station (km)
(10%)]]&lt;=50,4, TRUE, 2)</f>
        <v>0</v>
      </c>
      <c r="BD94" s="280">
        <f>Table9[[#This Row],[Railway Station Score]]*'Detailed Rubric V3'!$F$41</f>
        <v>0</v>
      </c>
      <c r="BE94" s="280"/>
      <c r="BF94" s="280" cm="1">
        <f t="array" ref="BF94">_xlfn.IFS(Table9[[#This Row],[Inland waterway/ Land port (km)
(20%)]]="", 0, Table9[[#This Row],[Inland waterway/ Land port (km)
(20%)]]&gt;200, 0,Table9[[#This Row],[Inland waterway/ Land port (km)
(20%)]]&lt;=50,4, TRUE, 2)</f>
        <v>0</v>
      </c>
      <c r="BG94" s="280">
        <f>Table9[[#This Row],[Inland waterway/ Land port Score]]*'Detailed Rubric V3'!$I$41</f>
        <v>0</v>
      </c>
      <c r="BH94"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94" s="280"/>
      <c r="BJ94" s="280" cm="1">
        <f t="array" ref="BJ94">_xlfn.IFS(Table9[[#This Row],[Power Station (40%)]]="",0, Table9[[#This Row],[Power Station (40%)]]&gt;100, 0,Table9[[#This Row],[Power Station (40%)]]&lt;=50,4, TRUE, 2)</f>
        <v>0</v>
      </c>
      <c r="BK94" s="280">
        <f>Table9[[#This Row],[Power Station Score]]*'Detailed Rubric V3'!$C$53</f>
        <v>0</v>
      </c>
      <c r="BL94" s="280"/>
      <c r="BM94" s="280" cm="1">
        <f t="array" ref="BM94">IF(ISNUMBER(Table9[[#This Row],[Gas Station (20%)]]), _xlfn.IFS(Table9[[#This Row],[Gas Station (20%)]]="", 0, Table9[[#This Row],[Gas Station (20%)]]&gt;100, 0,Table9[[#This Row],[Gas Station (20%)]]&lt;=50,4, TRUE, 2), 0)</f>
        <v>0</v>
      </c>
      <c r="BN94" s="280">
        <f>Table9[[#This Row],[Gas Station Score]]*'Detailed Rubric V3'!$F$53</f>
        <v>0</v>
      </c>
      <c r="BO94" s="280"/>
      <c r="BP94" s="280" cm="1">
        <f t="array" ref="BP94">IF(ISNUMBER(Table9[[#This Row],[Source of Surface Water (40%)]]), _xlfn.IFS(Table9[[#This Row],[Source of Surface Water (40%)]]="", 0, Table9[[#This Row],[Source of Surface Water (40%)]]&gt;50, 0,Table9[[#This Row],[Source of Surface Water (40%)]]&lt;=20,4, TRUE, 2), 0)</f>
        <v>0</v>
      </c>
      <c r="BQ94" s="280">
        <f>Table9[[#This Row],[Source of Surface Water Score]]*'Detailed Rubric V3'!$I$53</f>
        <v>0</v>
      </c>
      <c r="BR94" s="280">
        <f>SUM(Table9[[#This Row],[Power Station Weighted Score]],Table9[[#This Row],[Gas Station Weighted Score]],Table9[[#This Row],[Source of Surface Water Weighted Score]])*'Detailed Rubric V3'!$C$51</f>
        <v>0</v>
      </c>
      <c r="BS94" s="280"/>
      <c r="BT94" s="280" cm="1">
        <f t="array" ref="BT94">_xlfn.IFS(Table9[[#This Row],[Other BEZA EZ (20%)]]="", 0, Table9[[#This Row],[Other BEZA EZ (20%)]]="Yes", 4, TRUE, 0)</f>
        <v>0</v>
      </c>
      <c r="BU94" s="280">
        <f>Table9[[#This Row],[Other BEZA EZ Score]]*'Detailed Rubric V3'!$C$66</f>
        <v>0</v>
      </c>
      <c r="BV94" s="280"/>
      <c r="BW94" s="280" cm="1">
        <f t="array" ref="BW94">_xlfn.IFS(Table9[[#This Row],[BEPZA/ BHPTA/ BSCIC (20%)]]="", 0, Table9[[#This Row],[BEPZA/ BHPTA/ BSCIC (20%)]]="Yes", 4, TRUE, 0)</f>
        <v>0</v>
      </c>
      <c r="BX94" s="280">
        <f>Table9[[#This Row],[BEPZA/ BHPTA/ BSCIC Score]]*'Detailed Rubric V3'!$F$66</f>
        <v>0</v>
      </c>
      <c r="BY94" s="280"/>
      <c r="BZ94" s="280" cm="1">
        <f t="array" ref="BZ94">_xlfn.IFS(Table9[[#This Row],[Cluster Industries (from SMI) (20%)]]="", 0, Table9[[#This Row],[Cluster Industries (from SMI) (20%)]]&gt;100, 4, Table9[[#This Row],[Cluster Industries (from SMI) (20%)]]&lt;50, 0, TRUE, 2)</f>
        <v>0</v>
      </c>
      <c r="CA94" s="280">
        <f>Table9[[#This Row],[Cluster Industries (from SMI) Score]]*'Detailed Rubric V3'!$I$66</f>
        <v>0</v>
      </c>
      <c r="CB94" s="280"/>
      <c r="CC94" s="280" cm="1">
        <f t="array" ref="CC94">_xlfn.IFS(Table9[[#This Row],[Located on Industrial corridor (40%)]]="", 0, Table9[[#This Row],[Located on Industrial corridor (40%)]]="Yes", 4, TRUE, 0)</f>
        <v>0</v>
      </c>
      <c r="CD94" s="280">
        <f>Table9[[#This Row],[Located on Industrial corridor Score]]*'Detailed Rubric V3'!$L$66</f>
        <v>0</v>
      </c>
      <c r="CE94" s="280">
        <f>SUM(Table9[[#This Row],[Other BEZA EZ Weighted Score]],Table9[[#This Row],[BEPZA/ BHPTA/ BSCIC Weighted Score]],Table9[[#This Row],[Unorganized (from SMI) Weighted Score]],Table9[[#This Row],[Located on Industrial corridor Weighted Score]])*'Detailed Rubric V3'!$C$64</f>
        <v>0</v>
      </c>
      <c r="CF94" s="280"/>
      <c r="CG94" s="280" cm="1">
        <f t="array" ref="CG94">_xlfn.IFS(Table9[[#This Row],[Economic/ Social priority (laggered area) (100%)]]="", 0, Table9[[#This Row],[Economic/ Social priority (laggered area) (100%)]]="Yes", 4, TRUE, 0)</f>
        <v>0</v>
      </c>
      <c r="CH94" s="280">
        <f>Table9[[#This Row],[Economic/ Social priority (laggered area) Score]]*'Detailed Rubric V3'!$C$82</f>
        <v>0</v>
      </c>
      <c r="CI94" s="280"/>
      <c r="CJ94" s="280" cm="1">
        <f t="array" ref="CJ94">_xlfn.IFS(Table9[[#This Row],[Regional Tax incentive  (0%)]]="", 0, Table9[[#This Row],[Regional Tax incentive  (0%)]]="Yes", 4, TRUE, 0)</f>
        <v>0</v>
      </c>
      <c r="CK94" s="280">
        <f>Table9[[#This Row],[Regional Tax incentive Score]]*'Detailed Rubric V3'!$F$82</f>
        <v>0</v>
      </c>
      <c r="CL94" s="280">
        <f>SUM(Table9[[#This Row],[Economic/ Social priority (laagered area) Weighted Score]],Table9[[#This Row],[Regional Tax incentive  Weighted Score]])*'Detailed Rubric V3'!$C$80</f>
        <v>0</v>
      </c>
      <c r="CM94" s="280"/>
      <c r="CN94" s="280" cm="1">
        <f t="array" ref="CN94">_xlfn.IFS(Table9[[#This Row],[Employable population (40%) 2013]]="", 0, Table9[[#This Row],[Employable population (40%) 2013]]&gt;200000, 4, Table9[[#This Row],[Employable population (40%) 2013]]&lt;100000,0, TRUE, 2)</f>
        <v>0</v>
      </c>
      <c r="CO94" s="280">
        <f>Table9[[#This Row],[Employable population Score]]*'Detailed Rubric V3'!$C$92</f>
        <v>0</v>
      </c>
      <c r="CP94" s="280"/>
      <c r="CQ94" s="280" cm="1">
        <f t="array" ref="CQ94">_xlfn.IFS(Table9[[#This Row],[Housing (20%)]]="", 0, Table9[[#This Row],[Housing (20%)]]&gt;50, 0, Table9[[#This Row],[Housing (20%)]]&lt;25, 4, TRUE, 2)</f>
        <v>0</v>
      </c>
      <c r="CR94" s="280">
        <f>Table9[[#This Row],[Housing Score]]*'Detailed Rubric V3'!$F$92</f>
        <v>0</v>
      </c>
      <c r="CS94" s="280"/>
      <c r="CT94" s="280" cm="1">
        <f t="array" ref="CT94">_xlfn.IFS(Table9[[#This Row],[Hotels (10%)]]="", 0, Table9[[#This Row],[Hotels (10%)]]&gt;25, 4, Table9[[#This Row],[Hotels (10%)]]&lt;5, 0, TRUE, 2)</f>
        <v>0</v>
      </c>
      <c r="CU94" s="280">
        <f>Table9[[#This Row],[Hotels Score]]*'Detailed Rubric V3'!$I$92</f>
        <v>0</v>
      </c>
      <c r="CV94" s="280"/>
      <c r="CW94" s="280" cm="1">
        <f t="array" ref="CW94">_xlfn.IFS(Table9[[#This Row],[Health (Hospital) (15%)]]="", 0, Table9[[#This Row],[Health (Hospital) (15%)]]&gt;10, 4, Table9[[#This Row],[Health (Hospital) (15%)]]&lt;5, 0, TRUE, 2)</f>
        <v>0</v>
      </c>
      <c r="CX94" s="280">
        <f>Table9[[#This Row],[Health (Hospital) Score]]*'Detailed Rubric V3'!$L$92</f>
        <v>0</v>
      </c>
      <c r="CY94" s="280"/>
      <c r="CZ94" s="280" cm="1">
        <f t="array" ref="CZ94">_xlfn.IFS(Table9[[#This Row],[University/ Technical &amp; Vocational Institutions (15%)]]="", 0, Table9[[#This Row],[University/ Technical &amp; Vocational Institutions (15%)]]&gt;3, 4, Table9[[#This Row],[University/ Technical &amp; Vocational Institutions (15%)]]&lt;1, 0, TRUE, 2)</f>
        <v>0</v>
      </c>
      <c r="DA94" s="280">
        <f>Table9[[#This Row],[University/ Technical &amp; Vocational Institutions Score]]*'Detailed Rubric V3'!$O$92</f>
        <v>0</v>
      </c>
      <c r="DB94"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94" s="280"/>
      <c r="DD94" s="280" cm="1">
        <f t="array" ref="DD94">_xlfn.IFS(Table9[[#This Row],[Environment compliance (30%)]]="", 0, Table9[[#This Row],[Environment compliance (30%)]]="Yes", 4, TRUE, 0)</f>
        <v>0</v>
      </c>
      <c r="DE94" s="280">
        <f>Table9[[#This Row],[Environment compliance Score]]*'Detailed Rubric V3'!$C$104</f>
        <v>0</v>
      </c>
      <c r="DF94" s="280" t="s">
        <v>419</v>
      </c>
      <c r="DG94" s="280" cm="1">
        <f t="array" ref="DG94">_xlfn.IFS(Table9[[#This Row],[Flood Risk Index (30%)]]="", 0, Table9[[#This Row],[Flood Risk Index (30%)]]="Very Low", 4, Table9[[#This Row],[Flood Risk Index (30%)]]="Moderate &amp; Low", 2, TRUE, 0)</f>
        <v>2</v>
      </c>
      <c r="DH94" s="280">
        <f>Table9[[#This Row],[Flood Risk Index Score]]*'Detailed Rubric V3'!$F$104</f>
        <v>0.6</v>
      </c>
      <c r="DI94" s="280" t="s">
        <v>421</v>
      </c>
      <c r="DJ94" s="280" cm="1">
        <f t="array" ref="DJ94">_xlfn.IFS(Table9[[#This Row],[Earth Quake Risk Index (10%)]]="", 0, Table9[[#This Row],[Earth Quake Risk Index (10%)]]="Very Low", 4, Table9[[#This Row],[Earth Quake Risk Index (10%)]]="Moderate &amp; Low", 2, TRUE, 0)</f>
        <v>0</v>
      </c>
      <c r="DK94" s="280">
        <f>Table9[[#This Row],[Earth Quake Risk Index Score]]*'Detailed Rubric V3'!$I$104</f>
        <v>0</v>
      </c>
      <c r="DL94" s="280" t="s">
        <v>428</v>
      </c>
      <c r="DM94" s="280" cm="1">
        <f t="array" ref="DM94">_xlfn.IFS(Table9[[#This Row],[Sea Level Rise Risk Index (10%)]]="", 0, Table9[[#This Row],[Sea Level Rise Risk Index (10%)]]="Very Low", 4, Table9[[#This Row],[Sea Level Rise Risk Index (10%)]]="Moderate &amp; Low", 2, TRUE, 0)</f>
        <v>4</v>
      </c>
      <c r="DN94" s="280">
        <f>Table9[[#This Row],[Sea Level Rise  Risk Index Score]]*'Detailed Rubric V3'!$L$104</f>
        <v>0.4</v>
      </c>
      <c r="DO94" s="280" t="s">
        <v>419</v>
      </c>
      <c r="DP94" s="280" cm="1">
        <f t="array" ref="DP94">_xlfn.IFS(Table9[[#This Row],[Cyclone Risk Index (10%)]]="", 0, Table9[[#This Row],[Cyclone Risk Index (10%)]]="Very Low", 4, Table9[[#This Row],[Cyclone Risk Index (10%)]]="Moderate &amp; Low", 2, TRUE, 0)</f>
        <v>2</v>
      </c>
      <c r="DQ94" s="280">
        <f>Table9[[#This Row],[Cyclone Risk Index Score]]*'Detailed Rubric V3'!$O$104</f>
        <v>0.2</v>
      </c>
      <c r="DR94" s="280" t="s">
        <v>428</v>
      </c>
      <c r="DS94" s="280" cm="1">
        <f t="array" ref="DS94">_xlfn.IFS(Table9[[#This Row],[Storm Surge Risk Index (10%)]]="", 0, Table9[[#This Row],[Storm Surge Risk Index (10%)]]="Very Low", 4, Table9[[#This Row],[Storm Surge Risk Index (10%)]]="Moderate &amp; Low", 2, TRUE, 0)</f>
        <v>4</v>
      </c>
      <c r="DT94" s="280">
        <f>Table9[[#This Row],[Storm Surge Risk Index Score]]*'Detailed Rubric V3'!$R$104</f>
        <v>0.4</v>
      </c>
      <c r="DU94"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9.6000000000000002E-2</v>
      </c>
      <c r="DV94" s="309">
        <f>SUM(Table9[[#This Row],[2.1. Connectivity/ Logistics (10% weightage)]],Table9[[#This Row],[2.2. Utility (12% weightage)]],Table9[[#This Row],[2.3. Agglomeration effects (10% weightage)]],Table9[[#This Row],[2.4. Regional Policy (4% weightage)]],Table9[[#This Row],[2.5. Social (8% weightage)]],Table9[[#This Row],[2.6. Environment (6% weightage)]])</f>
        <v>9.6000000000000002E-2</v>
      </c>
      <c r="DW94" s="280">
        <f>_xlfn.RANK.EQ(Table9[[#This Row],[Level 2 Score]],$DV$3:$DV$103)</f>
        <v>73</v>
      </c>
      <c r="DX94" s="302">
        <f>Table9[[#This Row],[Level 1 Score]]+Table9[[#This Row],[Level 2 Score]]</f>
        <v>0.216</v>
      </c>
      <c r="DY94" s="294">
        <f>_xlfn.RANK.EQ(Table9[[#This Row],[Total Score]],$DX$3:$DX$103)</f>
        <v>92</v>
      </c>
      <c r="DZ94" s="237" t="str">
        <f>IF(Table9[[#This Row],[Count of Blanks]]&lt;=2, "Yes", "No")</f>
        <v>No</v>
      </c>
      <c r="EA94" s="237">
        <f>COUNTBLANK(Table9[[#This Row],[Name]:[Total Score Rank]])</f>
        <v>23</v>
      </c>
      <c r="EB94" s="237"/>
    </row>
    <row r="95" spans="2:132" x14ac:dyDescent="0.25">
      <c r="B95" s="220">
        <v>80</v>
      </c>
      <c r="C95" s="221" t="s">
        <v>201</v>
      </c>
      <c r="D95" s="220" t="s">
        <v>94</v>
      </c>
      <c r="E95" s="220" t="s">
        <v>202</v>
      </c>
      <c r="F95" s="220" t="s">
        <v>203</v>
      </c>
      <c r="G95" s="220" t="s">
        <v>92</v>
      </c>
      <c r="H95" s="525" t="s">
        <v>430</v>
      </c>
      <c r="I95" s="70" t="s">
        <v>455</v>
      </c>
      <c r="J95" s="227" t="s">
        <v>444</v>
      </c>
      <c r="K95" s="220">
        <f>IFERROR(VLOOKUP(Table9[[#This Row],[Land Availability (Grade)​
(50%)]],'Detailed Rubric V3'!$B$8:$C$11,2), 0)</f>
        <v>0</v>
      </c>
      <c r="L95" s="220">
        <f>IFERROR(Table9[[#This Row],[Land Availability (Grade)​ Score]]*'Detailed Rubric V3'!$C$6, "")</f>
        <v>0</v>
      </c>
      <c r="M95" s="222">
        <v>138.63999999999999</v>
      </c>
      <c r="N95" s="222" cm="1">
        <f t="array" ref="N95">_xlfn.IFS(Table9[[#This Row],[Land Size (Acres)
(15%)]]&lt;100,0,Table9[[#This Row],[Land Size (Acres)
(15%)]]&gt;500,4,TRUE,2)</f>
        <v>2</v>
      </c>
      <c r="O95" s="222">
        <f>Table9[[#This Row],[Land Size (Acres) Score]]*'Detailed Rubric V3'!$G$6</f>
        <v>0.3</v>
      </c>
      <c r="P95" s="526"/>
      <c r="Q95" s="526">
        <f>IFERROR(Table9[[#This Row],[Site Filling Cost (Mn BDT)]]/Table9[[#This Row],[Land Size (Acres)
(15%)]],"")</f>
        <v>0</v>
      </c>
      <c r="R95" s="526" cm="1">
        <f t="array" ref="R95">IF(Table9[[#This Row],[Name]]="Sitakundo Economic Zone", 4, _xlfn.IFS(Table9[[#This Row],[Site Filling Cost (Mn BDT)]]="",0,Table9[[#This Row],[Land Suitability
(Cost of Land Filling in Million BDT per acre)
(25%)]]&gt;5,0,Table9[[#This Row],[Land Suitability
(Cost of Land Filling in Million BDT per acre)
(25%)]]&lt;2,4,TRUE,2))</f>
        <v>0</v>
      </c>
      <c r="S95" s="526">
        <f>Table9[[#This Row],[Land Suitability for Construction Score]]*'Detailed Rubric V3'!$J$6</f>
        <v>0</v>
      </c>
      <c r="T95" s="526"/>
      <c r="U95" s="526">
        <f>IFERROR(Table9[[#This Row],[Embankment/Dyke Cost (Mn BDT)]]/Table9[[#This Row],[Land Size (Acres)
(15%)]], 0)</f>
        <v>0</v>
      </c>
      <c r="V95" s="526" cm="1">
        <f t="array" ref="V95">IF(Table9[[#This Row],[Name]]="Sitakundo Economic Zone", 2, _xlfn.IFS(Table9[[#This Row],[Embankment/Dyke Cost (Mn BDT)]]="",0,Table9[[#This Row],[Cost of DRRI Infrastructure in million BDT per acre
(10%)]]&gt;5,0,Table9[[#This Row],[Cost of DRRI Infrastructure in million BDT per acre
(10%)]]&lt;2,4,TRUE,2))</f>
        <v>0</v>
      </c>
      <c r="W95" s="526">
        <f>Table9[[#This Row],[Requirement for Distaster Risk Reduction &amp; Resilience Infrastructure Score]]*'Detailed Rubric V3'!$M$6</f>
        <v>0</v>
      </c>
      <c r="X95"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95" s="227" t="s">
        <v>440</v>
      </c>
      <c r="Z95" s="210">
        <f>IFERROR(VLOOKUP(Table9[[#This Row],[Zone Priority
(40%)]],'Detailed Rubric V3'!$B$18:$C$21, 2,FALSE), 0)</f>
        <v>4</v>
      </c>
      <c r="AA95" s="210">
        <f>IFERROR(Table9[[#This Row],[Zone Priority Score]]*'Detailed Rubric V3'!$C$16, 0)</f>
        <v>0</v>
      </c>
      <c r="AB95" s="237" t="s">
        <v>441</v>
      </c>
      <c r="AC95" s="237">
        <f>VLOOKUP(Table9[[#This Row],[Existing BEZA Report
(60%)]],'Detailed Rubric V3'!$E$18:$F$20,2,FALSE)</f>
        <v>0</v>
      </c>
      <c r="AD95" s="237">
        <f>Table9[[#This Row],[Existing BEZA Report Score]]*'Detailed Rubric V3'!F$16</f>
        <v>0</v>
      </c>
      <c r="AE95" s="237">
        <f>(Table9[[#This Row],[Zone Priority Weighted Score]]+Table9[[#This Row],[Existing BEZA Report Weighted Score]])*'Detailed Rubric V3'!$C$14</f>
        <v>0</v>
      </c>
      <c r="AF95" s="528">
        <v>4</v>
      </c>
      <c r="AG95" s="529" cm="1">
        <f t="array" ref="AG95">_xlfn.IFS(Table9[[#This Row],[Existing Sectors
(50%)]]&gt;10, 4,Table9[[#This Row],[Existing Sectors
(50%)]]&lt;5, 0, TRUE, 2)</f>
        <v>0</v>
      </c>
      <c r="AH95" s="529">
        <f>Table9[[#This Row],[Existing Sectors Score]]*'Detailed Rubric V3'!$C$25</f>
        <v>0</v>
      </c>
      <c r="AI95" s="529">
        <v>5</v>
      </c>
      <c r="AJ95" s="529">
        <v>1</v>
      </c>
      <c r="AK95" s="529" cm="1">
        <f t="array" ref="AK95">_xlfn.IFS(Table9[[#This Row],[Potential New Sectors
(50%)]]&gt;5, 4, Table9[[#This Row],[Potential New Sectors
(50%)]]&lt;2,0, TRUE, 2)</f>
        <v>0</v>
      </c>
      <c r="AL95" s="529">
        <f>Table9[[#This Row],[Potential New Sectors Score]]*'Detailed Rubric V3'!$F$25</f>
        <v>0</v>
      </c>
      <c r="AM95" s="232">
        <f>(Table9[[#This Row],[Existing Sectors Weighted Score]]+Table9[[#This Row],[Potential New Sectors Weighted Score]])*'Detailed Rubric V3'!$C$23</f>
        <v>0</v>
      </c>
      <c r="AN95" s="530">
        <f>SUM(Table9[[#This Row],[1.1. Land Details (20% weightage)]],Table9[[#This Row],[1.2. BEZA Existing plans (15% weightage)]],Table9[[#This Row],[1.3. Sector Demand (15% weightage):]])</f>
        <v>0.06</v>
      </c>
      <c r="AO95" s="531">
        <f>_xlfn.RANK.EQ(Table9[[#This Row],[Level 1 Score]],$AN$3:$AN$103)</f>
        <v>94</v>
      </c>
      <c r="AP95" s="280"/>
      <c r="AQ95" s="280" cm="1">
        <f t="array" ref="AQ95">_xlfn.IFS(Table9[[#This Row],[National Highway Connectivity (km)
(15%)]]="", 0, Table9[[#This Row],[National Highway Connectivity (km)
(15%)]]&gt;50, 0, Table9[[#This Row],[National Highway Connectivity (km)
(15%)]]&lt;=25, 4, TRUE, 2)</f>
        <v>0</v>
      </c>
      <c r="AR95" s="280">
        <f>Table9[[#This Row],[National Highway Connectivity Score]]*'Detailed Rubric V3'!$C$35</f>
        <v>0</v>
      </c>
      <c r="AS95" s="280"/>
      <c r="AT95" s="280" cm="1">
        <f t="array" ref="AT95">_xlfn.IFS(Table9[[#This Row],[Connecting Road to Highway (km)
(15%)]]="", 0, Table9[[#This Row],[Connecting Road to Highway (km)
(15%)]]="Yes", 4, TRUE, 0)</f>
        <v>0</v>
      </c>
      <c r="AU95" s="280">
        <f>Table9[[#This Row],[Connecting Road to Highway Score]]*'Detailed Rubric V3'!$F$35</f>
        <v>0</v>
      </c>
      <c r="AV95" s="280"/>
      <c r="AW95" s="280" cm="1">
        <f t="array" ref="AW95">_xlfn.IFS(Table9[[#This Row],[Seaport Connectivity (km)
(30%)]]="",0, Table9[[#This Row],[Seaport Connectivity (km)
(30%)]]&gt;400, 0,Table9[[#This Row],[Seaport Connectivity (km)
(30%)]]&lt;=200,4, TRUE, 2)</f>
        <v>0</v>
      </c>
      <c r="AX95" s="280">
        <f>Table9[[#This Row],[Seaport Connectivity Score]]*'Detailed Rubric V3'!$I$35</f>
        <v>0</v>
      </c>
      <c r="AY95" s="280"/>
      <c r="AZ95" s="280" cm="1">
        <f t="array" ref="AZ95">_xlfn.IFS(Table9[[#This Row],[Airport Connectivity (km)
(10%)]]="", 0, Table9[[#This Row],[Airport Connectivity (km)
(10%)]]&gt;200, 0, Table9[[#This Row],[Airport Connectivity (km)
(10%)]]&lt;=100,4,TRUE, 2)</f>
        <v>0</v>
      </c>
      <c r="BA95" s="280">
        <f>Table9[[#This Row],[Airport Connectivity Score]]*'Detailed Rubric V3'!$C$41</f>
        <v>0</v>
      </c>
      <c r="BB95" s="280"/>
      <c r="BC95" s="280" cm="1">
        <f t="array" ref="BC95">_xlfn.IFS(Table9[[#This Row],[Railway Station (km)
(10%)]]="", 0, Table9[[#This Row],[Railway Station (km)
(10%)]]&gt;150, 0,Table9[[#This Row],[Railway Station (km)
(10%)]]&lt;=50,4, TRUE, 2)</f>
        <v>0</v>
      </c>
      <c r="BD95" s="280">
        <f>Table9[[#This Row],[Railway Station Score]]*'Detailed Rubric V3'!$F$41</f>
        <v>0</v>
      </c>
      <c r="BE95" s="280"/>
      <c r="BF95" s="280" cm="1">
        <f t="array" ref="BF95">_xlfn.IFS(Table9[[#This Row],[Inland waterway/ Land port (km)
(20%)]]="", 0, Table9[[#This Row],[Inland waterway/ Land port (km)
(20%)]]&gt;200, 0,Table9[[#This Row],[Inland waterway/ Land port (km)
(20%)]]&lt;=50,4, TRUE, 2)</f>
        <v>0</v>
      </c>
      <c r="BG95" s="280">
        <f>Table9[[#This Row],[Inland waterway/ Land port Score]]*'Detailed Rubric V3'!$I$41</f>
        <v>0</v>
      </c>
      <c r="BH95"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95" s="280"/>
      <c r="BJ95" s="280" cm="1">
        <f t="array" ref="BJ95">_xlfn.IFS(Table9[[#This Row],[Power Station (40%)]]="",0, Table9[[#This Row],[Power Station (40%)]]&gt;100, 0,Table9[[#This Row],[Power Station (40%)]]&lt;=50,4, TRUE, 2)</f>
        <v>0</v>
      </c>
      <c r="BK95" s="280">
        <f>Table9[[#This Row],[Power Station Score]]*'Detailed Rubric V3'!$C$53</f>
        <v>0</v>
      </c>
      <c r="BL95" s="280"/>
      <c r="BM95" s="280" cm="1">
        <f t="array" ref="BM95">IF(ISNUMBER(Table9[[#This Row],[Gas Station (20%)]]), _xlfn.IFS(Table9[[#This Row],[Gas Station (20%)]]="", 0, Table9[[#This Row],[Gas Station (20%)]]&gt;100, 0,Table9[[#This Row],[Gas Station (20%)]]&lt;=50,4, TRUE, 2), 0)</f>
        <v>0</v>
      </c>
      <c r="BN95" s="280">
        <f>Table9[[#This Row],[Gas Station Score]]*'Detailed Rubric V3'!$F$53</f>
        <v>0</v>
      </c>
      <c r="BO95" s="280"/>
      <c r="BP95" s="280" cm="1">
        <f t="array" ref="BP95">IF(ISNUMBER(Table9[[#This Row],[Source of Surface Water (40%)]]), _xlfn.IFS(Table9[[#This Row],[Source of Surface Water (40%)]]="", 0, Table9[[#This Row],[Source of Surface Water (40%)]]&gt;50, 0,Table9[[#This Row],[Source of Surface Water (40%)]]&lt;=20,4, TRUE, 2), 0)</f>
        <v>0</v>
      </c>
      <c r="BQ95" s="280">
        <f>Table9[[#This Row],[Source of Surface Water Score]]*'Detailed Rubric V3'!$I$53</f>
        <v>0</v>
      </c>
      <c r="BR95" s="280">
        <f>SUM(Table9[[#This Row],[Power Station Weighted Score]],Table9[[#This Row],[Gas Station Weighted Score]],Table9[[#This Row],[Source of Surface Water Weighted Score]])*'Detailed Rubric V3'!$C$51</f>
        <v>0</v>
      </c>
      <c r="BS95" s="280"/>
      <c r="BT95" s="280" cm="1">
        <f t="array" ref="BT95">_xlfn.IFS(Table9[[#This Row],[Other BEZA EZ (20%)]]="", 0, Table9[[#This Row],[Other BEZA EZ (20%)]]="Yes", 4, TRUE, 0)</f>
        <v>0</v>
      </c>
      <c r="BU95" s="280">
        <f>Table9[[#This Row],[Other BEZA EZ Score]]*'Detailed Rubric V3'!$C$66</f>
        <v>0</v>
      </c>
      <c r="BV95" s="280"/>
      <c r="BW95" s="280" cm="1">
        <f t="array" ref="BW95">_xlfn.IFS(Table9[[#This Row],[BEPZA/ BHPTA/ BSCIC (20%)]]="", 0, Table9[[#This Row],[BEPZA/ BHPTA/ BSCIC (20%)]]="Yes", 4, TRUE, 0)</f>
        <v>0</v>
      </c>
      <c r="BX95" s="280">
        <f>Table9[[#This Row],[BEPZA/ BHPTA/ BSCIC Score]]*'Detailed Rubric V3'!$F$66</f>
        <v>0</v>
      </c>
      <c r="BY95" s="280"/>
      <c r="BZ95" s="280" cm="1">
        <f t="array" ref="BZ95">_xlfn.IFS(Table9[[#This Row],[Cluster Industries (from SMI) (20%)]]="", 0, Table9[[#This Row],[Cluster Industries (from SMI) (20%)]]&gt;100, 4, Table9[[#This Row],[Cluster Industries (from SMI) (20%)]]&lt;50, 0, TRUE, 2)</f>
        <v>0</v>
      </c>
      <c r="CA95" s="280">
        <f>Table9[[#This Row],[Cluster Industries (from SMI) Score]]*'Detailed Rubric V3'!$I$66</f>
        <v>0</v>
      </c>
      <c r="CB95" s="280"/>
      <c r="CC95" s="280" cm="1">
        <f t="array" ref="CC95">_xlfn.IFS(Table9[[#This Row],[Located on Industrial corridor (40%)]]="", 0, Table9[[#This Row],[Located on Industrial corridor (40%)]]="Yes", 4, TRUE, 0)</f>
        <v>0</v>
      </c>
      <c r="CD95" s="280">
        <f>Table9[[#This Row],[Located on Industrial corridor Score]]*'Detailed Rubric V3'!$L$66</f>
        <v>0</v>
      </c>
      <c r="CE95" s="280">
        <f>SUM(Table9[[#This Row],[Other BEZA EZ Weighted Score]],Table9[[#This Row],[BEPZA/ BHPTA/ BSCIC Weighted Score]],Table9[[#This Row],[Unorganized (from SMI) Weighted Score]],Table9[[#This Row],[Located on Industrial corridor Weighted Score]])*'Detailed Rubric V3'!$C$64</f>
        <v>0</v>
      </c>
      <c r="CF95" s="280"/>
      <c r="CG95" s="280" cm="1">
        <f t="array" ref="CG95">_xlfn.IFS(Table9[[#This Row],[Economic/ Social priority (laggered area) (100%)]]="", 0, Table9[[#This Row],[Economic/ Social priority (laggered area) (100%)]]="Yes", 4, TRUE, 0)</f>
        <v>0</v>
      </c>
      <c r="CH95" s="280">
        <f>Table9[[#This Row],[Economic/ Social priority (laggered area) Score]]*'Detailed Rubric V3'!$C$82</f>
        <v>0</v>
      </c>
      <c r="CI95" s="280"/>
      <c r="CJ95" s="280" cm="1">
        <f t="array" ref="CJ95">_xlfn.IFS(Table9[[#This Row],[Regional Tax incentive  (0%)]]="", 0, Table9[[#This Row],[Regional Tax incentive  (0%)]]="Yes", 4, TRUE, 0)</f>
        <v>0</v>
      </c>
      <c r="CK95" s="280">
        <f>Table9[[#This Row],[Regional Tax incentive Score]]*'Detailed Rubric V3'!$F$82</f>
        <v>0</v>
      </c>
      <c r="CL95" s="280">
        <f>SUM(Table9[[#This Row],[Economic/ Social priority (laagered area) Weighted Score]],Table9[[#This Row],[Regional Tax incentive  Weighted Score]])*'Detailed Rubric V3'!$C$80</f>
        <v>0</v>
      </c>
      <c r="CM95" s="280"/>
      <c r="CN95" s="280" cm="1">
        <f t="array" ref="CN95">_xlfn.IFS(Table9[[#This Row],[Employable population (40%) 2013]]="", 0, Table9[[#This Row],[Employable population (40%) 2013]]&gt;200000, 4, Table9[[#This Row],[Employable population (40%) 2013]]&lt;100000,0, TRUE, 2)</f>
        <v>0</v>
      </c>
      <c r="CO95" s="280">
        <f>Table9[[#This Row],[Employable population Score]]*'Detailed Rubric V3'!$C$92</f>
        <v>0</v>
      </c>
      <c r="CP95" s="280"/>
      <c r="CQ95" s="280" cm="1">
        <f t="array" ref="CQ95">_xlfn.IFS(Table9[[#This Row],[Housing (20%)]]="", 0, Table9[[#This Row],[Housing (20%)]]&gt;50, 0, Table9[[#This Row],[Housing (20%)]]&lt;25, 4, TRUE, 2)</f>
        <v>0</v>
      </c>
      <c r="CR95" s="280">
        <f>Table9[[#This Row],[Housing Score]]*'Detailed Rubric V3'!$F$92</f>
        <v>0</v>
      </c>
      <c r="CS95" s="280"/>
      <c r="CT95" s="280" cm="1">
        <f t="array" ref="CT95">_xlfn.IFS(Table9[[#This Row],[Hotels (10%)]]="", 0, Table9[[#This Row],[Hotels (10%)]]&gt;25, 4, Table9[[#This Row],[Hotels (10%)]]&lt;5, 0, TRUE, 2)</f>
        <v>0</v>
      </c>
      <c r="CU95" s="280">
        <f>Table9[[#This Row],[Hotels Score]]*'Detailed Rubric V3'!$I$92</f>
        <v>0</v>
      </c>
      <c r="CV95" s="280"/>
      <c r="CW95" s="280" cm="1">
        <f t="array" ref="CW95">_xlfn.IFS(Table9[[#This Row],[Health (Hospital) (15%)]]="", 0, Table9[[#This Row],[Health (Hospital) (15%)]]&gt;10, 4, Table9[[#This Row],[Health (Hospital) (15%)]]&lt;5, 0, TRUE, 2)</f>
        <v>0</v>
      </c>
      <c r="CX95" s="280">
        <f>Table9[[#This Row],[Health (Hospital) Score]]*'Detailed Rubric V3'!$L$92</f>
        <v>0</v>
      </c>
      <c r="CY95" s="280"/>
      <c r="CZ95" s="280" cm="1">
        <f t="array" ref="CZ95">_xlfn.IFS(Table9[[#This Row],[University/ Technical &amp; Vocational Institutions (15%)]]="", 0, Table9[[#This Row],[University/ Technical &amp; Vocational Institutions (15%)]]&gt;3, 4, Table9[[#This Row],[University/ Technical &amp; Vocational Institutions (15%)]]&lt;1, 0, TRUE, 2)</f>
        <v>0</v>
      </c>
      <c r="DA95" s="280">
        <f>Table9[[#This Row],[University/ Technical &amp; Vocational Institutions Score]]*'Detailed Rubric V3'!$O$92</f>
        <v>0</v>
      </c>
      <c r="DB95"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95" s="280"/>
      <c r="DD95" s="280" cm="1">
        <f t="array" ref="DD95">_xlfn.IFS(Table9[[#This Row],[Environment compliance (30%)]]="", 0, Table9[[#This Row],[Environment compliance (30%)]]="Yes", 4, TRUE, 0)</f>
        <v>0</v>
      </c>
      <c r="DE95" s="280">
        <f>Table9[[#This Row],[Environment compliance Score]]*'Detailed Rubric V3'!$C$104</f>
        <v>0</v>
      </c>
      <c r="DF95" s="280" t="s">
        <v>428</v>
      </c>
      <c r="DG95" s="280" cm="1">
        <f t="array" ref="DG95">_xlfn.IFS(Table9[[#This Row],[Flood Risk Index (30%)]]="", 0, Table9[[#This Row],[Flood Risk Index (30%)]]="Very Low", 4, Table9[[#This Row],[Flood Risk Index (30%)]]="Moderate &amp; Low", 2, TRUE, 0)</f>
        <v>4</v>
      </c>
      <c r="DH95" s="280">
        <f>Table9[[#This Row],[Flood Risk Index Score]]*'Detailed Rubric V3'!$F$104</f>
        <v>1.2</v>
      </c>
      <c r="DI95" s="280" t="s">
        <v>419</v>
      </c>
      <c r="DJ95" s="280" cm="1">
        <f t="array" ref="DJ95">_xlfn.IFS(Table9[[#This Row],[Earth Quake Risk Index (10%)]]="", 0, Table9[[#This Row],[Earth Quake Risk Index (10%)]]="Very Low", 4, Table9[[#This Row],[Earth Quake Risk Index (10%)]]="Moderate &amp; Low", 2, TRUE, 0)</f>
        <v>2</v>
      </c>
      <c r="DK95" s="280">
        <f>Table9[[#This Row],[Earth Quake Risk Index Score]]*'Detailed Rubric V3'!$I$104</f>
        <v>0.2</v>
      </c>
      <c r="DL95" s="280" t="s">
        <v>428</v>
      </c>
      <c r="DM95" s="280" cm="1">
        <f t="array" ref="DM95">_xlfn.IFS(Table9[[#This Row],[Sea Level Rise Risk Index (10%)]]="", 0, Table9[[#This Row],[Sea Level Rise Risk Index (10%)]]="Very Low", 4, Table9[[#This Row],[Sea Level Rise Risk Index (10%)]]="Moderate &amp; Low", 2, TRUE, 0)</f>
        <v>4</v>
      </c>
      <c r="DN95" s="280">
        <f>Table9[[#This Row],[Sea Level Rise  Risk Index Score]]*'Detailed Rubric V3'!$L$104</f>
        <v>0.4</v>
      </c>
      <c r="DO95" s="280" t="s">
        <v>428</v>
      </c>
      <c r="DP95" s="280" cm="1">
        <f t="array" ref="DP95">_xlfn.IFS(Table9[[#This Row],[Cyclone Risk Index (10%)]]="", 0, Table9[[#This Row],[Cyclone Risk Index (10%)]]="Very Low", 4, Table9[[#This Row],[Cyclone Risk Index (10%)]]="Moderate &amp; Low", 2, TRUE, 0)</f>
        <v>4</v>
      </c>
      <c r="DQ95" s="280">
        <f>Table9[[#This Row],[Cyclone Risk Index Score]]*'Detailed Rubric V3'!$O$104</f>
        <v>0.4</v>
      </c>
      <c r="DR95" s="280" t="s">
        <v>428</v>
      </c>
      <c r="DS95" s="280" cm="1">
        <f t="array" ref="DS95">_xlfn.IFS(Table9[[#This Row],[Storm Surge Risk Index (10%)]]="", 0, Table9[[#This Row],[Storm Surge Risk Index (10%)]]="Very Low", 4, Table9[[#This Row],[Storm Surge Risk Index (10%)]]="Moderate &amp; Low", 2, TRUE, 0)</f>
        <v>4</v>
      </c>
      <c r="DT95" s="280">
        <f>Table9[[#This Row],[Storm Surge Risk Index Score]]*'Detailed Rubric V3'!$R$104</f>
        <v>0.4</v>
      </c>
      <c r="DU95"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0.15599999999999997</v>
      </c>
      <c r="DV95" s="309">
        <f>SUM(Table9[[#This Row],[2.1. Connectivity/ Logistics (10% weightage)]],Table9[[#This Row],[2.2. Utility (12% weightage)]],Table9[[#This Row],[2.3. Agglomeration effects (10% weightage)]],Table9[[#This Row],[2.4. Regional Policy (4% weightage)]],Table9[[#This Row],[2.5. Social (8% weightage)]],Table9[[#This Row],[2.6. Environment (6% weightage)]])</f>
        <v>0.15599999999999997</v>
      </c>
      <c r="DW95" s="280">
        <f>_xlfn.RANK.EQ(Table9[[#This Row],[Level 2 Score]],$DV$3:$DV$103)</f>
        <v>52</v>
      </c>
      <c r="DX95" s="302">
        <f>Table9[[#This Row],[Level 1 Score]]+Table9[[#This Row],[Level 2 Score]]</f>
        <v>0.21599999999999997</v>
      </c>
      <c r="DY95" s="294">
        <f>_xlfn.RANK.EQ(Table9[[#This Row],[Total Score]],$DX$3:$DX$103)</f>
        <v>93</v>
      </c>
      <c r="DZ95" s="237" t="str">
        <f>IF(Table9[[#This Row],[Count of Blanks]]&lt;=2, "Yes", "No")</f>
        <v>No</v>
      </c>
      <c r="EA95" s="237">
        <f>COUNTBLANK(Table9[[#This Row],[Name]:[Total Score Rank]])</f>
        <v>23</v>
      </c>
      <c r="EB95" s="237"/>
    </row>
    <row r="96" spans="2:132" x14ac:dyDescent="0.25">
      <c r="B96" s="220">
        <v>17</v>
      </c>
      <c r="C96" s="221" t="s">
        <v>234</v>
      </c>
      <c r="D96" s="220" t="s">
        <v>76</v>
      </c>
      <c r="E96" s="220" t="s">
        <v>117</v>
      </c>
      <c r="F96" s="220" t="s">
        <v>118</v>
      </c>
      <c r="G96" s="220" t="s">
        <v>70</v>
      </c>
      <c r="H96" s="525" t="s">
        <v>430</v>
      </c>
      <c r="I96" s="70" t="s">
        <v>475</v>
      </c>
      <c r="J96" s="227" t="s">
        <v>444</v>
      </c>
      <c r="K96" s="220">
        <f>IFERROR(VLOOKUP(Table9[[#This Row],[Land Availability (Grade)​
(50%)]],'Detailed Rubric V3'!$B$8:$C$11,2), 0)</f>
        <v>0</v>
      </c>
      <c r="L96" s="220">
        <f>IFERROR(Table9[[#This Row],[Land Availability (Grade)​ Score]]*'Detailed Rubric V3'!$C$6, "")</f>
        <v>0</v>
      </c>
      <c r="M96" s="222">
        <v>97.98</v>
      </c>
      <c r="N96" s="222" cm="1">
        <f t="array" ref="N96">_xlfn.IFS(Table9[[#This Row],[Land Size (Acres)
(15%)]]&lt;100,0,Table9[[#This Row],[Land Size (Acres)
(15%)]]&gt;500,4,TRUE,2)</f>
        <v>0</v>
      </c>
      <c r="O96" s="222">
        <f>Table9[[#This Row],[Land Size (Acres) Score]]*'Detailed Rubric V3'!$G$6</f>
        <v>0</v>
      </c>
      <c r="P96" s="526"/>
      <c r="Q96" s="526">
        <f>IFERROR(Table9[[#This Row],[Site Filling Cost (Mn BDT)]]/Table9[[#This Row],[Land Size (Acres)
(15%)]],"")</f>
        <v>0</v>
      </c>
      <c r="R96" s="526" cm="1">
        <f t="array" ref="R96">IF(Table9[[#This Row],[Name]]="Sitakundo Economic Zone", 4, _xlfn.IFS(Table9[[#This Row],[Site Filling Cost (Mn BDT)]]="",0,Table9[[#This Row],[Land Suitability
(Cost of Land Filling in Million BDT per acre)
(25%)]]&gt;5,0,Table9[[#This Row],[Land Suitability
(Cost of Land Filling in Million BDT per acre)
(25%)]]&lt;2,4,TRUE,2))</f>
        <v>0</v>
      </c>
      <c r="S96" s="526">
        <f>Table9[[#This Row],[Land Suitability for Construction Score]]*'Detailed Rubric V3'!$J$6</f>
        <v>0</v>
      </c>
      <c r="T96" s="526"/>
      <c r="U96" s="526">
        <f>IFERROR(Table9[[#This Row],[Embankment/Dyke Cost (Mn BDT)]]/Table9[[#This Row],[Land Size (Acres)
(15%)]], 0)</f>
        <v>0</v>
      </c>
      <c r="V96" s="526" cm="1">
        <f t="array" ref="V96">IF(Table9[[#This Row],[Name]]="Sitakundo Economic Zone", 2, _xlfn.IFS(Table9[[#This Row],[Embankment/Dyke Cost (Mn BDT)]]="",0,Table9[[#This Row],[Cost of DRRI Infrastructure in million BDT per acre
(10%)]]&gt;5,0,Table9[[#This Row],[Cost of DRRI Infrastructure in million BDT per acre
(10%)]]&lt;2,4,TRUE,2))</f>
        <v>0</v>
      </c>
      <c r="W96" s="526">
        <f>Table9[[#This Row],[Requirement for Distaster Risk Reduction &amp; Resilience Infrastructure Score]]*'Detailed Rubric V3'!$M$6</f>
        <v>0</v>
      </c>
      <c r="X96"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v>
      </c>
      <c r="Y96" s="452" t="s">
        <v>436</v>
      </c>
      <c r="Z96" s="210">
        <f>IFERROR(VLOOKUP(Table9[[#This Row],[Zone Priority
(40%)]],'Detailed Rubric V3'!$B$18:$C$21, 2,FALSE), 0)</f>
        <v>0</v>
      </c>
      <c r="AA96" s="210">
        <f>IFERROR(Table9[[#This Row],[Zone Priority Score]]*'Detailed Rubric V3'!$C$16, 0)</f>
        <v>0</v>
      </c>
      <c r="AB96" s="237" t="s">
        <v>441</v>
      </c>
      <c r="AC96" s="237">
        <f>VLOOKUP(Table9[[#This Row],[Existing BEZA Report
(60%)]],'Detailed Rubric V3'!$E$18:$F$20,2,FALSE)</f>
        <v>0</v>
      </c>
      <c r="AD96" s="237">
        <f>Table9[[#This Row],[Existing BEZA Report Score]]*'Detailed Rubric V3'!F$16</f>
        <v>0</v>
      </c>
      <c r="AE96" s="237">
        <f>(Table9[[#This Row],[Zone Priority Weighted Score]]+Table9[[#This Row],[Existing BEZA Report Weighted Score]])*'Detailed Rubric V3'!$C$14</f>
        <v>0</v>
      </c>
      <c r="AF96" s="528">
        <v>5</v>
      </c>
      <c r="AG96" s="529" cm="1">
        <f t="array" ref="AG96">_xlfn.IFS(Table9[[#This Row],[Existing Sectors
(50%)]]&gt;10, 4,Table9[[#This Row],[Existing Sectors
(50%)]]&lt;5, 0, TRUE, 2)</f>
        <v>2</v>
      </c>
      <c r="AH96" s="529">
        <f>Table9[[#This Row],[Existing Sectors Score]]*'Detailed Rubric V3'!$C$25</f>
        <v>1</v>
      </c>
      <c r="AI96" s="529">
        <v>6</v>
      </c>
      <c r="AJ96" s="529">
        <v>1</v>
      </c>
      <c r="AK96" s="529" cm="1">
        <f t="array" ref="AK96">_xlfn.IFS(Table9[[#This Row],[Potential New Sectors
(50%)]]&gt;5, 4, Table9[[#This Row],[Potential New Sectors
(50%)]]&lt;2,0, TRUE, 2)</f>
        <v>0</v>
      </c>
      <c r="AL96" s="529">
        <f>Table9[[#This Row],[Potential New Sectors Score]]*'Detailed Rubric V3'!$F$25</f>
        <v>0</v>
      </c>
      <c r="AM96" s="232">
        <f>(Table9[[#This Row],[Existing Sectors Weighted Score]]+Table9[[#This Row],[Potential New Sectors Weighted Score]])*'Detailed Rubric V3'!$C$23</f>
        <v>0.15</v>
      </c>
      <c r="AN96" s="530">
        <f>SUM(Table9[[#This Row],[1.1. Land Details (20% weightage)]],Table9[[#This Row],[1.2. BEZA Existing plans (15% weightage)]],Table9[[#This Row],[1.3. Sector Demand (15% weightage):]])</f>
        <v>0.15</v>
      </c>
      <c r="AO96" s="531">
        <f>_xlfn.RANK.EQ(Table9[[#This Row],[Level 1 Score]],$AN$3:$AN$103)</f>
        <v>89</v>
      </c>
      <c r="AP96" s="280"/>
      <c r="AQ96" s="280" cm="1">
        <f t="array" ref="AQ96">_xlfn.IFS(Table9[[#This Row],[National Highway Connectivity (km)
(15%)]]="", 0, Table9[[#This Row],[National Highway Connectivity (km)
(15%)]]&gt;50, 0, Table9[[#This Row],[National Highway Connectivity (km)
(15%)]]&lt;=25, 4, TRUE, 2)</f>
        <v>0</v>
      </c>
      <c r="AR96" s="280">
        <f>Table9[[#This Row],[National Highway Connectivity Score]]*'Detailed Rubric V3'!$C$35</f>
        <v>0</v>
      </c>
      <c r="AS96" s="280"/>
      <c r="AT96" s="280" cm="1">
        <f t="array" ref="AT96">_xlfn.IFS(Table9[[#This Row],[Connecting Road to Highway (km)
(15%)]]="", 0, Table9[[#This Row],[Connecting Road to Highway (km)
(15%)]]="Yes", 4, TRUE, 0)</f>
        <v>0</v>
      </c>
      <c r="AU96" s="280">
        <f>Table9[[#This Row],[Connecting Road to Highway Score]]*'Detailed Rubric V3'!$F$35</f>
        <v>0</v>
      </c>
      <c r="AV96" s="280"/>
      <c r="AW96" s="280" cm="1">
        <f t="array" ref="AW96">_xlfn.IFS(Table9[[#This Row],[Seaport Connectivity (km)
(30%)]]="",0, Table9[[#This Row],[Seaport Connectivity (km)
(30%)]]&gt;400, 0,Table9[[#This Row],[Seaport Connectivity (km)
(30%)]]&lt;=200,4, TRUE, 2)</f>
        <v>0</v>
      </c>
      <c r="AX96" s="280">
        <f>Table9[[#This Row],[Seaport Connectivity Score]]*'Detailed Rubric V3'!$I$35</f>
        <v>0</v>
      </c>
      <c r="AY96" s="280"/>
      <c r="AZ96" s="280" cm="1">
        <f t="array" ref="AZ96">_xlfn.IFS(Table9[[#This Row],[Airport Connectivity (km)
(10%)]]="", 0, Table9[[#This Row],[Airport Connectivity (km)
(10%)]]&gt;200, 0, Table9[[#This Row],[Airport Connectivity (km)
(10%)]]&lt;=100,4,TRUE, 2)</f>
        <v>0</v>
      </c>
      <c r="BA96" s="280">
        <f>Table9[[#This Row],[Airport Connectivity Score]]*'Detailed Rubric V3'!$C$41</f>
        <v>0</v>
      </c>
      <c r="BB96" s="280"/>
      <c r="BC96" s="280" cm="1">
        <f t="array" ref="BC96">_xlfn.IFS(Table9[[#This Row],[Railway Station (km)
(10%)]]="", 0, Table9[[#This Row],[Railway Station (km)
(10%)]]&gt;150, 0,Table9[[#This Row],[Railway Station (km)
(10%)]]&lt;=50,4, TRUE, 2)</f>
        <v>0</v>
      </c>
      <c r="BD96" s="280">
        <f>Table9[[#This Row],[Railway Station Score]]*'Detailed Rubric V3'!$F$41</f>
        <v>0</v>
      </c>
      <c r="BE96" s="280"/>
      <c r="BF96" s="280" cm="1">
        <f t="array" ref="BF96">_xlfn.IFS(Table9[[#This Row],[Inland waterway/ Land port (km)
(20%)]]="", 0, Table9[[#This Row],[Inland waterway/ Land port (km)
(20%)]]&gt;200, 0,Table9[[#This Row],[Inland waterway/ Land port (km)
(20%)]]&lt;=50,4, TRUE, 2)</f>
        <v>0</v>
      </c>
      <c r="BG96" s="280">
        <f>Table9[[#This Row],[Inland waterway/ Land port Score]]*'Detailed Rubric V3'!$I$41</f>
        <v>0</v>
      </c>
      <c r="BH96"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96" s="280"/>
      <c r="BJ96" s="280" cm="1">
        <f t="array" ref="BJ96">_xlfn.IFS(Table9[[#This Row],[Power Station (40%)]]="",0, Table9[[#This Row],[Power Station (40%)]]&gt;100, 0,Table9[[#This Row],[Power Station (40%)]]&lt;=50,4, TRUE, 2)</f>
        <v>0</v>
      </c>
      <c r="BK96" s="280">
        <f>Table9[[#This Row],[Power Station Score]]*'Detailed Rubric V3'!$C$53</f>
        <v>0</v>
      </c>
      <c r="BL96" s="280"/>
      <c r="BM96" s="280" cm="1">
        <f t="array" ref="BM96">IF(ISNUMBER(Table9[[#This Row],[Gas Station (20%)]]), _xlfn.IFS(Table9[[#This Row],[Gas Station (20%)]]="", 0, Table9[[#This Row],[Gas Station (20%)]]&gt;100, 0,Table9[[#This Row],[Gas Station (20%)]]&lt;=50,4, TRUE, 2), 0)</f>
        <v>0</v>
      </c>
      <c r="BN96" s="280">
        <f>Table9[[#This Row],[Gas Station Score]]*'Detailed Rubric V3'!$F$53</f>
        <v>0</v>
      </c>
      <c r="BO96" s="280"/>
      <c r="BP96" s="280" cm="1">
        <f t="array" ref="BP96">IF(ISNUMBER(Table9[[#This Row],[Source of Surface Water (40%)]]), _xlfn.IFS(Table9[[#This Row],[Source of Surface Water (40%)]]="", 0, Table9[[#This Row],[Source of Surface Water (40%)]]&gt;50, 0,Table9[[#This Row],[Source of Surface Water (40%)]]&lt;=20,4, TRUE, 2), 0)</f>
        <v>0</v>
      </c>
      <c r="BQ96" s="280">
        <f>Table9[[#This Row],[Source of Surface Water Score]]*'Detailed Rubric V3'!$I$53</f>
        <v>0</v>
      </c>
      <c r="BR96" s="280">
        <f>SUM(Table9[[#This Row],[Power Station Weighted Score]],Table9[[#This Row],[Gas Station Weighted Score]],Table9[[#This Row],[Source of Surface Water Weighted Score]])*'Detailed Rubric V3'!$C$51</f>
        <v>0</v>
      </c>
      <c r="BS96" s="280"/>
      <c r="BT96" s="280" cm="1">
        <f t="array" ref="BT96">_xlfn.IFS(Table9[[#This Row],[Other BEZA EZ (20%)]]="", 0, Table9[[#This Row],[Other BEZA EZ (20%)]]="Yes", 4, TRUE, 0)</f>
        <v>0</v>
      </c>
      <c r="BU96" s="280">
        <f>Table9[[#This Row],[Other BEZA EZ Score]]*'Detailed Rubric V3'!$C$66</f>
        <v>0</v>
      </c>
      <c r="BV96" s="280"/>
      <c r="BW96" s="280" cm="1">
        <f t="array" ref="BW96">_xlfn.IFS(Table9[[#This Row],[BEPZA/ BHPTA/ BSCIC (20%)]]="", 0, Table9[[#This Row],[BEPZA/ BHPTA/ BSCIC (20%)]]="Yes", 4, TRUE, 0)</f>
        <v>0</v>
      </c>
      <c r="BX96" s="280">
        <f>Table9[[#This Row],[BEPZA/ BHPTA/ BSCIC Score]]*'Detailed Rubric V3'!$F$66</f>
        <v>0</v>
      </c>
      <c r="BY96" s="280"/>
      <c r="BZ96" s="280" cm="1">
        <f t="array" ref="BZ96">_xlfn.IFS(Table9[[#This Row],[Cluster Industries (from SMI) (20%)]]="", 0, Table9[[#This Row],[Cluster Industries (from SMI) (20%)]]&gt;100, 4, Table9[[#This Row],[Cluster Industries (from SMI) (20%)]]&lt;50, 0, TRUE, 2)</f>
        <v>0</v>
      </c>
      <c r="CA96" s="280">
        <f>Table9[[#This Row],[Cluster Industries (from SMI) Score]]*'Detailed Rubric V3'!$I$66</f>
        <v>0</v>
      </c>
      <c r="CB96" s="280"/>
      <c r="CC96" s="280" cm="1">
        <f t="array" ref="CC96">_xlfn.IFS(Table9[[#This Row],[Located on Industrial corridor (40%)]]="", 0, Table9[[#This Row],[Located on Industrial corridor (40%)]]="Yes", 4, TRUE, 0)</f>
        <v>0</v>
      </c>
      <c r="CD96" s="280">
        <f>Table9[[#This Row],[Located on Industrial corridor Score]]*'Detailed Rubric V3'!$L$66</f>
        <v>0</v>
      </c>
      <c r="CE96" s="280">
        <f>SUM(Table9[[#This Row],[Other BEZA EZ Weighted Score]],Table9[[#This Row],[BEPZA/ BHPTA/ BSCIC Weighted Score]],Table9[[#This Row],[Unorganized (from SMI) Weighted Score]],Table9[[#This Row],[Located on Industrial corridor Weighted Score]])*'Detailed Rubric V3'!$C$64</f>
        <v>0</v>
      </c>
      <c r="CF96" s="280"/>
      <c r="CG96" s="280" cm="1">
        <f t="array" ref="CG96">_xlfn.IFS(Table9[[#This Row],[Economic/ Social priority (laggered area) (100%)]]="", 0, Table9[[#This Row],[Economic/ Social priority (laggered area) (100%)]]="Yes", 4, TRUE, 0)</f>
        <v>0</v>
      </c>
      <c r="CH96" s="280">
        <f>Table9[[#This Row],[Economic/ Social priority (laggered area) Score]]*'Detailed Rubric V3'!$C$82</f>
        <v>0</v>
      </c>
      <c r="CI96" s="280"/>
      <c r="CJ96" s="280" cm="1">
        <f t="array" ref="CJ96">_xlfn.IFS(Table9[[#This Row],[Regional Tax incentive  (0%)]]="", 0, Table9[[#This Row],[Regional Tax incentive  (0%)]]="Yes", 4, TRUE, 0)</f>
        <v>0</v>
      </c>
      <c r="CK96" s="280">
        <f>Table9[[#This Row],[Regional Tax incentive Score]]*'Detailed Rubric V3'!$F$82</f>
        <v>0</v>
      </c>
      <c r="CL96" s="280">
        <f>SUM(Table9[[#This Row],[Economic/ Social priority (laagered area) Weighted Score]],Table9[[#This Row],[Regional Tax incentive  Weighted Score]])*'Detailed Rubric V3'!$C$80</f>
        <v>0</v>
      </c>
      <c r="CM96" s="280"/>
      <c r="CN96" s="280" cm="1">
        <f t="array" ref="CN96">_xlfn.IFS(Table9[[#This Row],[Employable population (40%) 2013]]="", 0, Table9[[#This Row],[Employable population (40%) 2013]]&gt;200000, 4, Table9[[#This Row],[Employable population (40%) 2013]]&lt;100000,0, TRUE, 2)</f>
        <v>0</v>
      </c>
      <c r="CO96" s="280">
        <f>Table9[[#This Row],[Employable population Score]]*'Detailed Rubric V3'!$C$92</f>
        <v>0</v>
      </c>
      <c r="CP96" s="280"/>
      <c r="CQ96" s="280" cm="1">
        <f t="array" ref="CQ96">_xlfn.IFS(Table9[[#This Row],[Housing (20%)]]="", 0, Table9[[#This Row],[Housing (20%)]]&gt;50, 0, Table9[[#This Row],[Housing (20%)]]&lt;25, 4, TRUE, 2)</f>
        <v>0</v>
      </c>
      <c r="CR96" s="280">
        <f>Table9[[#This Row],[Housing Score]]*'Detailed Rubric V3'!$F$92</f>
        <v>0</v>
      </c>
      <c r="CS96" s="280"/>
      <c r="CT96" s="280" cm="1">
        <f t="array" ref="CT96">_xlfn.IFS(Table9[[#This Row],[Hotels (10%)]]="", 0, Table9[[#This Row],[Hotels (10%)]]&gt;25, 4, Table9[[#This Row],[Hotels (10%)]]&lt;5, 0, TRUE, 2)</f>
        <v>0</v>
      </c>
      <c r="CU96" s="280">
        <f>Table9[[#This Row],[Hotels Score]]*'Detailed Rubric V3'!$I$92</f>
        <v>0</v>
      </c>
      <c r="CV96" s="280"/>
      <c r="CW96" s="280" cm="1">
        <f t="array" ref="CW96">_xlfn.IFS(Table9[[#This Row],[Health (Hospital) (15%)]]="", 0, Table9[[#This Row],[Health (Hospital) (15%)]]&gt;10, 4, Table9[[#This Row],[Health (Hospital) (15%)]]&lt;5, 0, TRUE, 2)</f>
        <v>0</v>
      </c>
      <c r="CX96" s="280">
        <f>Table9[[#This Row],[Health (Hospital) Score]]*'Detailed Rubric V3'!$L$92</f>
        <v>0</v>
      </c>
      <c r="CY96" s="280"/>
      <c r="CZ96" s="280" cm="1">
        <f t="array" ref="CZ96">_xlfn.IFS(Table9[[#This Row],[University/ Technical &amp; Vocational Institutions (15%)]]="", 0, Table9[[#This Row],[University/ Technical &amp; Vocational Institutions (15%)]]&gt;3, 4, Table9[[#This Row],[University/ Technical &amp; Vocational Institutions (15%)]]&lt;1, 0, TRUE, 2)</f>
        <v>0</v>
      </c>
      <c r="DA96" s="280">
        <f>Table9[[#This Row],[University/ Technical &amp; Vocational Institutions Score]]*'Detailed Rubric V3'!$O$92</f>
        <v>0</v>
      </c>
      <c r="DB96"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96" s="280"/>
      <c r="DD96" s="280" cm="1">
        <f t="array" ref="DD96">_xlfn.IFS(Table9[[#This Row],[Environment compliance (30%)]]="", 0, Table9[[#This Row],[Environment compliance (30%)]]="Yes", 4, TRUE, 0)</f>
        <v>0</v>
      </c>
      <c r="DE96" s="280">
        <f>Table9[[#This Row],[Environment compliance Score]]*'Detailed Rubric V3'!$C$104</f>
        <v>0</v>
      </c>
      <c r="DF96" s="280" t="s">
        <v>421</v>
      </c>
      <c r="DG96" s="280" cm="1">
        <f t="array" ref="DG96">_xlfn.IFS(Table9[[#This Row],[Flood Risk Index (30%)]]="", 0, Table9[[#This Row],[Flood Risk Index (30%)]]="Very Low", 4, Table9[[#This Row],[Flood Risk Index (30%)]]="Moderate &amp; Low", 2, TRUE, 0)</f>
        <v>0</v>
      </c>
      <c r="DH96" s="280">
        <f>Table9[[#This Row],[Flood Risk Index Score]]*'Detailed Rubric V3'!$F$104</f>
        <v>0</v>
      </c>
      <c r="DI96" s="280" t="s">
        <v>421</v>
      </c>
      <c r="DJ96" s="280" cm="1">
        <f t="array" ref="DJ96">_xlfn.IFS(Table9[[#This Row],[Earth Quake Risk Index (10%)]]="", 0, Table9[[#This Row],[Earth Quake Risk Index (10%)]]="Very Low", 4, Table9[[#This Row],[Earth Quake Risk Index (10%)]]="Moderate &amp; Low", 2, TRUE, 0)</f>
        <v>0</v>
      </c>
      <c r="DK96" s="280">
        <f>Table9[[#This Row],[Earth Quake Risk Index Score]]*'Detailed Rubric V3'!$I$104</f>
        <v>0</v>
      </c>
      <c r="DL96" s="280" t="s">
        <v>428</v>
      </c>
      <c r="DM96" s="280" cm="1">
        <f t="array" ref="DM96">_xlfn.IFS(Table9[[#This Row],[Sea Level Rise Risk Index (10%)]]="", 0, Table9[[#This Row],[Sea Level Rise Risk Index (10%)]]="Very Low", 4, Table9[[#This Row],[Sea Level Rise Risk Index (10%)]]="Moderate &amp; Low", 2, TRUE, 0)</f>
        <v>4</v>
      </c>
      <c r="DN96" s="280">
        <f>Table9[[#This Row],[Sea Level Rise  Risk Index Score]]*'Detailed Rubric V3'!$L$104</f>
        <v>0.4</v>
      </c>
      <c r="DO96" s="280" t="s">
        <v>419</v>
      </c>
      <c r="DP96" s="280" cm="1">
        <f t="array" ref="DP96">_xlfn.IFS(Table9[[#This Row],[Cyclone Risk Index (10%)]]="", 0, Table9[[#This Row],[Cyclone Risk Index (10%)]]="Very Low", 4, Table9[[#This Row],[Cyclone Risk Index (10%)]]="Moderate &amp; Low", 2, TRUE, 0)</f>
        <v>2</v>
      </c>
      <c r="DQ96" s="280">
        <f>Table9[[#This Row],[Cyclone Risk Index Score]]*'Detailed Rubric V3'!$O$104</f>
        <v>0.2</v>
      </c>
      <c r="DR96" s="280" t="s">
        <v>428</v>
      </c>
      <c r="DS96" s="280" cm="1">
        <f t="array" ref="DS96">_xlfn.IFS(Table9[[#This Row],[Storm Surge Risk Index (10%)]]="", 0, Table9[[#This Row],[Storm Surge Risk Index (10%)]]="Very Low", 4, Table9[[#This Row],[Storm Surge Risk Index (10%)]]="Moderate &amp; Low", 2, TRUE, 0)</f>
        <v>4</v>
      </c>
      <c r="DT96" s="280">
        <f>Table9[[#This Row],[Storm Surge Risk Index Score]]*'Detailed Rubric V3'!$R$104</f>
        <v>0.4</v>
      </c>
      <c r="DU96"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0.06</v>
      </c>
      <c r="DV96" s="309">
        <f>SUM(Table9[[#This Row],[2.1. Connectivity/ Logistics (10% weightage)]],Table9[[#This Row],[2.2. Utility (12% weightage)]],Table9[[#This Row],[2.3. Agglomeration effects (10% weightage)]],Table9[[#This Row],[2.4. Regional Policy (4% weightage)]],Table9[[#This Row],[2.5. Social (8% weightage)]],Table9[[#This Row],[2.6. Environment (6% weightage)]])</f>
        <v>0.06</v>
      </c>
      <c r="DW96" s="280">
        <f>_xlfn.RANK.EQ(Table9[[#This Row],[Level 2 Score]],$DV$3:$DV$103)</f>
        <v>88</v>
      </c>
      <c r="DX96" s="302">
        <f>Table9[[#This Row],[Level 1 Score]]+Table9[[#This Row],[Level 2 Score]]</f>
        <v>0.21</v>
      </c>
      <c r="DY96" s="294">
        <f>_xlfn.RANK.EQ(Table9[[#This Row],[Total Score]],$DX$3:$DX$103)</f>
        <v>94</v>
      </c>
      <c r="DZ96" s="237" t="str">
        <f>IF(Table9[[#This Row],[Count of Blanks]]&lt;=2, "Yes", "No")</f>
        <v>No</v>
      </c>
      <c r="EA96" s="237">
        <f>COUNTBLANK(Table9[[#This Row],[Name]:[Total Score Rank]])</f>
        <v>23</v>
      </c>
      <c r="EB96" s="237"/>
    </row>
    <row r="97" spans="2:132" x14ac:dyDescent="0.25">
      <c r="B97" s="220">
        <v>51</v>
      </c>
      <c r="C97" s="221" t="s">
        <v>238</v>
      </c>
      <c r="D97" s="220" t="s">
        <v>84</v>
      </c>
      <c r="E97" s="220" t="s">
        <v>97</v>
      </c>
      <c r="F97" s="220" t="s">
        <v>214</v>
      </c>
      <c r="G97" s="220" t="s">
        <v>70</v>
      </c>
      <c r="H97" s="525" t="s">
        <v>430</v>
      </c>
      <c r="I97" s="70" t="s">
        <v>455</v>
      </c>
      <c r="J97" s="227" t="s">
        <v>444</v>
      </c>
      <c r="K97" s="220">
        <f>IFERROR(VLOOKUP(Table9[[#This Row],[Land Availability (Grade)​
(50%)]],'Detailed Rubric V3'!$B$8:$C$11,2), 0)</f>
        <v>0</v>
      </c>
      <c r="L97" s="220">
        <f>IFERROR(Table9[[#This Row],[Land Availability (Grade)​ Score]]*'Detailed Rubric V3'!$C$6, "")</f>
        <v>0</v>
      </c>
      <c r="M97" s="222">
        <v>300</v>
      </c>
      <c r="N97" s="222" cm="1">
        <f t="array" ref="N97">_xlfn.IFS(Table9[[#This Row],[Land Size (Acres)
(15%)]]&lt;100,0,Table9[[#This Row],[Land Size (Acres)
(15%)]]&gt;500,4,TRUE,2)</f>
        <v>2</v>
      </c>
      <c r="O97" s="222">
        <f>Table9[[#This Row],[Land Size (Acres) Score]]*'Detailed Rubric V3'!$G$6</f>
        <v>0.3</v>
      </c>
      <c r="P97" s="526"/>
      <c r="Q97" s="526">
        <f>IFERROR(Table9[[#This Row],[Site Filling Cost (Mn BDT)]]/Table9[[#This Row],[Land Size (Acres)
(15%)]],"")</f>
        <v>0</v>
      </c>
      <c r="R97" s="526" cm="1">
        <f t="array" ref="R97">IF(Table9[[#This Row],[Name]]="Sitakundo Economic Zone", 4, _xlfn.IFS(Table9[[#This Row],[Site Filling Cost (Mn BDT)]]="",0,Table9[[#This Row],[Land Suitability
(Cost of Land Filling in Million BDT per acre)
(25%)]]&gt;5,0,Table9[[#This Row],[Land Suitability
(Cost of Land Filling in Million BDT per acre)
(25%)]]&lt;2,4,TRUE,2))</f>
        <v>0</v>
      </c>
      <c r="S97" s="526">
        <f>Table9[[#This Row],[Land Suitability for Construction Score]]*'Detailed Rubric V3'!$J$6</f>
        <v>0</v>
      </c>
      <c r="T97" s="526"/>
      <c r="U97" s="526">
        <f>IFERROR(Table9[[#This Row],[Embankment/Dyke Cost (Mn BDT)]]/Table9[[#This Row],[Land Size (Acres)
(15%)]], 0)</f>
        <v>0</v>
      </c>
      <c r="V97" s="526" cm="1">
        <f t="array" ref="V97">IF(Table9[[#This Row],[Name]]="Sitakundo Economic Zone", 2, _xlfn.IFS(Table9[[#This Row],[Embankment/Dyke Cost (Mn BDT)]]="",0,Table9[[#This Row],[Cost of DRRI Infrastructure in million BDT per acre
(10%)]]&gt;5,0,Table9[[#This Row],[Cost of DRRI Infrastructure in million BDT per acre
(10%)]]&lt;2,4,TRUE,2))</f>
        <v>0</v>
      </c>
      <c r="W97" s="526">
        <f>Table9[[#This Row],[Requirement for Distaster Risk Reduction &amp; Resilience Infrastructure Score]]*'Detailed Rubric V3'!$M$6</f>
        <v>0</v>
      </c>
      <c r="X97"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97" s="227" t="s">
        <v>436</v>
      </c>
      <c r="Z97" s="210">
        <f>IFERROR(VLOOKUP(Table9[[#This Row],[Zone Priority
(40%)]],'Detailed Rubric V3'!$B$18:$C$21, 2,FALSE), 0)</f>
        <v>0</v>
      </c>
      <c r="AA97" s="210">
        <f>IFERROR(Table9[[#This Row],[Zone Priority Score]]*'Detailed Rubric V3'!$C$16, 0)</f>
        <v>0</v>
      </c>
      <c r="AB97" s="237" t="s">
        <v>441</v>
      </c>
      <c r="AC97" s="237">
        <f>VLOOKUP(Table9[[#This Row],[Existing BEZA Report
(60%)]],'Detailed Rubric V3'!$E$18:$F$20,2,FALSE)</f>
        <v>0</v>
      </c>
      <c r="AD97" s="237">
        <f>Table9[[#This Row],[Existing BEZA Report Score]]*'Detailed Rubric V3'!F$16</f>
        <v>0</v>
      </c>
      <c r="AE97" s="237">
        <f>(Table9[[#This Row],[Zone Priority Weighted Score]]+Table9[[#This Row],[Existing BEZA Report Weighted Score]])*'Detailed Rubric V3'!$C$14</f>
        <v>0</v>
      </c>
      <c r="AF97" s="528">
        <v>0</v>
      </c>
      <c r="AG97" s="529" cm="1">
        <f t="array" ref="AG97">_xlfn.IFS(Table9[[#This Row],[Existing Sectors
(50%)]]&gt;10, 4,Table9[[#This Row],[Existing Sectors
(50%)]]&lt;5, 0, TRUE, 2)</f>
        <v>0</v>
      </c>
      <c r="AH97" s="529">
        <f>Table9[[#This Row],[Existing Sectors Score]]*'Detailed Rubric V3'!$C$25</f>
        <v>0</v>
      </c>
      <c r="AI97" s="529">
        <v>1</v>
      </c>
      <c r="AJ97" s="529">
        <v>1</v>
      </c>
      <c r="AK97" s="529" cm="1">
        <f t="array" ref="AK97">_xlfn.IFS(Table9[[#This Row],[Potential New Sectors
(50%)]]&gt;5, 4, Table9[[#This Row],[Potential New Sectors
(50%)]]&lt;2,0, TRUE, 2)</f>
        <v>0</v>
      </c>
      <c r="AL97" s="529">
        <f>Table9[[#This Row],[Potential New Sectors Score]]*'Detailed Rubric V3'!$F$25</f>
        <v>0</v>
      </c>
      <c r="AM97" s="232">
        <f>(Table9[[#This Row],[Existing Sectors Weighted Score]]+Table9[[#This Row],[Potential New Sectors Weighted Score]])*'Detailed Rubric V3'!$C$23</f>
        <v>0</v>
      </c>
      <c r="AN97" s="530">
        <f>SUM(Table9[[#This Row],[1.1. Land Details (20% weightage)]],Table9[[#This Row],[1.2. BEZA Existing plans (15% weightage)]],Table9[[#This Row],[1.3. Sector Demand (15% weightage):]])</f>
        <v>0.06</v>
      </c>
      <c r="AO97" s="531">
        <f>_xlfn.RANK.EQ(Table9[[#This Row],[Level 1 Score]],$AN$3:$AN$103)</f>
        <v>94</v>
      </c>
      <c r="AP97" s="280"/>
      <c r="AQ97" s="280" cm="1">
        <f t="array" ref="AQ97">_xlfn.IFS(Table9[[#This Row],[National Highway Connectivity (km)
(15%)]]="", 0, Table9[[#This Row],[National Highway Connectivity (km)
(15%)]]&gt;50, 0, Table9[[#This Row],[National Highway Connectivity (km)
(15%)]]&lt;=25, 4, TRUE, 2)</f>
        <v>0</v>
      </c>
      <c r="AR97" s="280">
        <f>Table9[[#This Row],[National Highway Connectivity Score]]*'Detailed Rubric V3'!$C$35</f>
        <v>0</v>
      </c>
      <c r="AS97" s="280"/>
      <c r="AT97" s="280" cm="1">
        <f t="array" ref="AT97">_xlfn.IFS(Table9[[#This Row],[Connecting Road to Highway (km)
(15%)]]="", 0, Table9[[#This Row],[Connecting Road to Highway (km)
(15%)]]="Yes", 4, TRUE, 0)</f>
        <v>0</v>
      </c>
      <c r="AU97" s="280">
        <f>Table9[[#This Row],[Connecting Road to Highway Score]]*'Detailed Rubric V3'!$F$35</f>
        <v>0</v>
      </c>
      <c r="AV97" s="280"/>
      <c r="AW97" s="280" cm="1">
        <f t="array" ref="AW97">_xlfn.IFS(Table9[[#This Row],[Seaport Connectivity (km)
(30%)]]="",0, Table9[[#This Row],[Seaport Connectivity (km)
(30%)]]&gt;400, 0,Table9[[#This Row],[Seaport Connectivity (km)
(30%)]]&lt;=200,4, TRUE, 2)</f>
        <v>0</v>
      </c>
      <c r="AX97" s="280">
        <f>Table9[[#This Row],[Seaport Connectivity Score]]*'Detailed Rubric V3'!$I$35</f>
        <v>0</v>
      </c>
      <c r="AY97" s="280"/>
      <c r="AZ97" s="280" cm="1">
        <f t="array" ref="AZ97">_xlfn.IFS(Table9[[#This Row],[Airport Connectivity (km)
(10%)]]="", 0, Table9[[#This Row],[Airport Connectivity (km)
(10%)]]&gt;200, 0, Table9[[#This Row],[Airport Connectivity (km)
(10%)]]&lt;=100,4,TRUE, 2)</f>
        <v>0</v>
      </c>
      <c r="BA97" s="280">
        <f>Table9[[#This Row],[Airport Connectivity Score]]*'Detailed Rubric V3'!$C$41</f>
        <v>0</v>
      </c>
      <c r="BB97" s="280"/>
      <c r="BC97" s="280" cm="1">
        <f t="array" ref="BC97">_xlfn.IFS(Table9[[#This Row],[Railway Station (km)
(10%)]]="", 0, Table9[[#This Row],[Railway Station (km)
(10%)]]&gt;150, 0,Table9[[#This Row],[Railway Station (km)
(10%)]]&lt;=50,4, TRUE, 2)</f>
        <v>0</v>
      </c>
      <c r="BD97" s="280">
        <f>Table9[[#This Row],[Railway Station Score]]*'Detailed Rubric V3'!$F$41</f>
        <v>0</v>
      </c>
      <c r="BE97" s="280"/>
      <c r="BF97" s="280" cm="1">
        <f t="array" ref="BF97">_xlfn.IFS(Table9[[#This Row],[Inland waterway/ Land port (km)
(20%)]]="", 0, Table9[[#This Row],[Inland waterway/ Land port (km)
(20%)]]&gt;200, 0,Table9[[#This Row],[Inland waterway/ Land port (km)
(20%)]]&lt;=50,4, TRUE, 2)</f>
        <v>0</v>
      </c>
      <c r="BG97" s="280">
        <f>Table9[[#This Row],[Inland waterway/ Land port Score]]*'Detailed Rubric V3'!$I$41</f>
        <v>0</v>
      </c>
      <c r="BH97"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97" s="280"/>
      <c r="BJ97" s="280" cm="1">
        <f t="array" ref="BJ97">_xlfn.IFS(Table9[[#This Row],[Power Station (40%)]]="",0, Table9[[#This Row],[Power Station (40%)]]&gt;100, 0,Table9[[#This Row],[Power Station (40%)]]&lt;=50,4, TRUE, 2)</f>
        <v>0</v>
      </c>
      <c r="BK97" s="280">
        <f>Table9[[#This Row],[Power Station Score]]*'Detailed Rubric V3'!$C$53</f>
        <v>0</v>
      </c>
      <c r="BL97" s="280"/>
      <c r="BM97" s="280" cm="1">
        <f t="array" ref="BM97">IF(ISNUMBER(Table9[[#This Row],[Gas Station (20%)]]), _xlfn.IFS(Table9[[#This Row],[Gas Station (20%)]]="", 0, Table9[[#This Row],[Gas Station (20%)]]&gt;100, 0,Table9[[#This Row],[Gas Station (20%)]]&lt;=50,4, TRUE, 2), 0)</f>
        <v>0</v>
      </c>
      <c r="BN97" s="280">
        <f>Table9[[#This Row],[Gas Station Score]]*'Detailed Rubric V3'!$F$53</f>
        <v>0</v>
      </c>
      <c r="BO97" s="280"/>
      <c r="BP97" s="280" cm="1">
        <f t="array" ref="BP97">IF(ISNUMBER(Table9[[#This Row],[Source of Surface Water (40%)]]), _xlfn.IFS(Table9[[#This Row],[Source of Surface Water (40%)]]="", 0, Table9[[#This Row],[Source of Surface Water (40%)]]&gt;50, 0,Table9[[#This Row],[Source of Surface Water (40%)]]&lt;=20,4, TRUE, 2), 0)</f>
        <v>0</v>
      </c>
      <c r="BQ97" s="280">
        <f>Table9[[#This Row],[Source of Surface Water Score]]*'Detailed Rubric V3'!$I$53</f>
        <v>0</v>
      </c>
      <c r="BR97" s="280">
        <f>SUM(Table9[[#This Row],[Power Station Weighted Score]],Table9[[#This Row],[Gas Station Weighted Score]],Table9[[#This Row],[Source of Surface Water Weighted Score]])*'Detailed Rubric V3'!$C$51</f>
        <v>0</v>
      </c>
      <c r="BS97" s="280"/>
      <c r="BT97" s="280" cm="1">
        <f t="array" ref="BT97">_xlfn.IFS(Table9[[#This Row],[Other BEZA EZ (20%)]]="", 0, Table9[[#This Row],[Other BEZA EZ (20%)]]="Yes", 4, TRUE, 0)</f>
        <v>0</v>
      </c>
      <c r="BU97" s="280">
        <f>Table9[[#This Row],[Other BEZA EZ Score]]*'Detailed Rubric V3'!$C$66</f>
        <v>0</v>
      </c>
      <c r="BV97" s="280"/>
      <c r="BW97" s="280" cm="1">
        <f t="array" ref="BW97">_xlfn.IFS(Table9[[#This Row],[BEPZA/ BHPTA/ BSCIC (20%)]]="", 0, Table9[[#This Row],[BEPZA/ BHPTA/ BSCIC (20%)]]="Yes", 4, TRUE, 0)</f>
        <v>0</v>
      </c>
      <c r="BX97" s="280">
        <f>Table9[[#This Row],[BEPZA/ BHPTA/ BSCIC Score]]*'Detailed Rubric V3'!$F$66</f>
        <v>0</v>
      </c>
      <c r="BY97" s="280"/>
      <c r="BZ97" s="280" cm="1">
        <f t="array" ref="BZ97">_xlfn.IFS(Table9[[#This Row],[Cluster Industries (from SMI) (20%)]]="", 0, Table9[[#This Row],[Cluster Industries (from SMI) (20%)]]&gt;100, 4, Table9[[#This Row],[Cluster Industries (from SMI) (20%)]]&lt;50, 0, TRUE, 2)</f>
        <v>0</v>
      </c>
      <c r="CA97" s="280">
        <f>Table9[[#This Row],[Cluster Industries (from SMI) Score]]*'Detailed Rubric V3'!$I$66</f>
        <v>0</v>
      </c>
      <c r="CB97" s="280"/>
      <c r="CC97" s="280" cm="1">
        <f t="array" ref="CC97">_xlfn.IFS(Table9[[#This Row],[Located on Industrial corridor (40%)]]="", 0, Table9[[#This Row],[Located on Industrial corridor (40%)]]="Yes", 4, TRUE, 0)</f>
        <v>0</v>
      </c>
      <c r="CD97" s="280">
        <f>Table9[[#This Row],[Located on Industrial corridor Score]]*'Detailed Rubric V3'!$L$66</f>
        <v>0</v>
      </c>
      <c r="CE97" s="280">
        <f>SUM(Table9[[#This Row],[Other BEZA EZ Weighted Score]],Table9[[#This Row],[BEPZA/ BHPTA/ BSCIC Weighted Score]],Table9[[#This Row],[Unorganized (from SMI) Weighted Score]],Table9[[#This Row],[Located on Industrial corridor Weighted Score]])*'Detailed Rubric V3'!$C$64</f>
        <v>0</v>
      </c>
      <c r="CF97" s="280"/>
      <c r="CG97" s="280" cm="1">
        <f t="array" ref="CG97">_xlfn.IFS(Table9[[#This Row],[Economic/ Social priority (laggered area) (100%)]]="", 0, Table9[[#This Row],[Economic/ Social priority (laggered area) (100%)]]="Yes", 4, TRUE, 0)</f>
        <v>0</v>
      </c>
      <c r="CH97" s="280">
        <f>Table9[[#This Row],[Economic/ Social priority (laggered area) Score]]*'Detailed Rubric V3'!$C$82</f>
        <v>0</v>
      </c>
      <c r="CI97" s="280"/>
      <c r="CJ97" s="280" cm="1">
        <f t="array" ref="CJ97">_xlfn.IFS(Table9[[#This Row],[Regional Tax incentive  (0%)]]="", 0, Table9[[#This Row],[Regional Tax incentive  (0%)]]="Yes", 4, TRUE, 0)</f>
        <v>0</v>
      </c>
      <c r="CK97" s="280">
        <f>Table9[[#This Row],[Regional Tax incentive Score]]*'Detailed Rubric V3'!$F$82</f>
        <v>0</v>
      </c>
      <c r="CL97" s="280">
        <f>SUM(Table9[[#This Row],[Economic/ Social priority (laagered area) Weighted Score]],Table9[[#This Row],[Regional Tax incentive  Weighted Score]])*'Detailed Rubric V3'!$C$80</f>
        <v>0</v>
      </c>
      <c r="CM97" s="280"/>
      <c r="CN97" s="280" cm="1">
        <f t="array" ref="CN97">_xlfn.IFS(Table9[[#This Row],[Employable population (40%) 2013]]="", 0, Table9[[#This Row],[Employable population (40%) 2013]]&gt;200000, 4, Table9[[#This Row],[Employable population (40%) 2013]]&lt;100000,0, TRUE, 2)</f>
        <v>0</v>
      </c>
      <c r="CO97" s="280">
        <f>Table9[[#This Row],[Employable population Score]]*'Detailed Rubric V3'!$C$92</f>
        <v>0</v>
      </c>
      <c r="CP97" s="280"/>
      <c r="CQ97" s="280" cm="1">
        <f t="array" ref="CQ97">_xlfn.IFS(Table9[[#This Row],[Housing (20%)]]="", 0, Table9[[#This Row],[Housing (20%)]]&gt;50, 0, Table9[[#This Row],[Housing (20%)]]&lt;25, 4, TRUE, 2)</f>
        <v>0</v>
      </c>
      <c r="CR97" s="280">
        <f>Table9[[#This Row],[Housing Score]]*'Detailed Rubric V3'!$F$92</f>
        <v>0</v>
      </c>
      <c r="CS97" s="280"/>
      <c r="CT97" s="280" cm="1">
        <f t="array" ref="CT97">_xlfn.IFS(Table9[[#This Row],[Hotels (10%)]]="", 0, Table9[[#This Row],[Hotels (10%)]]&gt;25, 4, Table9[[#This Row],[Hotels (10%)]]&lt;5, 0, TRUE, 2)</f>
        <v>0</v>
      </c>
      <c r="CU97" s="280">
        <f>Table9[[#This Row],[Hotels Score]]*'Detailed Rubric V3'!$I$92</f>
        <v>0</v>
      </c>
      <c r="CV97" s="280"/>
      <c r="CW97" s="280" cm="1">
        <f t="array" ref="CW97">_xlfn.IFS(Table9[[#This Row],[Health (Hospital) (15%)]]="", 0, Table9[[#This Row],[Health (Hospital) (15%)]]&gt;10, 4, Table9[[#This Row],[Health (Hospital) (15%)]]&lt;5, 0, TRUE, 2)</f>
        <v>0</v>
      </c>
      <c r="CX97" s="280">
        <f>Table9[[#This Row],[Health (Hospital) Score]]*'Detailed Rubric V3'!$L$92</f>
        <v>0</v>
      </c>
      <c r="CY97" s="280"/>
      <c r="CZ97" s="280" cm="1">
        <f t="array" ref="CZ97">_xlfn.IFS(Table9[[#This Row],[University/ Technical &amp; Vocational Institutions (15%)]]="", 0, Table9[[#This Row],[University/ Technical &amp; Vocational Institutions (15%)]]&gt;3, 4, Table9[[#This Row],[University/ Technical &amp; Vocational Institutions (15%)]]&lt;1, 0, TRUE, 2)</f>
        <v>0</v>
      </c>
      <c r="DA97" s="280">
        <f>Table9[[#This Row],[University/ Technical &amp; Vocational Institutions Score]]*'Detailed Rubric V3'!$O$92</f>
        <v>0</v>
      </c>
      <c r="DB97"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97" s="280"/>
      <c r="DD97" s="280" cm="1">
        <f t="array" ref="DD97">_xlfn.IFS(Table9[[#This Row],[Environment compliance (30%)]]="", 0, Table9[[#This Row],[Environment compliance (30%)]]="Yes", 4, TRUE, 0)</f>
        <v>0</v>
      </c>
      <c r="DE97" s="280">
        <f>Table9[[#This Row],[Environment compliance Score]]*'Detailed Rubric V3'!$C$104</f>
        <v>0</v>
      </c>
      <c r="DF97" s="280" t="s">
        <v>428</v>
      </c>
      <c r="DG97" s="280" cm="1">
        <f t="array" ref="DG97">_xlfn.IFS(Table9[[#This Row],[Flood Risk Index (30%)]]="", 0, Table9[[#This Row],[Flood Risk Index (30%)]]="Very Low", 4, Table9[[#This Row],[Flood Risk Index (30%)]]="Moderate &amp; Low", 2, TRUE, 0)</f>
        <v>4</v>
      </c>
      <c r="DH97" s="280">
        <f>Table9[[#This Row],[Flood Risk Index Score]]*'Detailed Rubric V3'!$F$104</f>
        <v>1.2</v>
      </c>
      <c r="DI97" s="280" t="s">
        <v>428</v>
      </c>
      <c r="DJ97" s="280" cm="1">
        <f t="array" ref="DJ97">_xlfn.IFS(Table9[[#This Row],[Earth Quake Risk Index (10%)]]="", 0, Table9[[#This Row],[Earth Quake Risk Index (10%)]]="Very Low", 4, Table9[[#This Row],[Earth Quake Risk Index (10%)]]="Moderate &amp; Low", 2, TRUE, 0)</f>
        <v>4</v>
      </c>
      <c r="DK97" s="280">
        <f>Table9[[#This Row],[Earth Quake Risk Index Score]]*'Detailed Rubric V3'!$I$104</f>
        <v>0.4</v>
      </c>
      <c r="DL97" s="280" t="s">
        <v>419</v>
      </c>
      <c r="DM97" s="280" cm="1">
        <f t="array" ref="DM97">_xlfn.IFS(Table9[[#This Row],[Sea Level Rise Risk Index (10%)]]="", 0, Table9[[#This Row],[Sea Level Rise Risk Index (10%)]]="Very Low", 4, Table9[[#This Row],[Sea Level Rise Risk Index (10%)]]="Moderate &amp; Low", 2, TRUE, 0)</f>
        <v>2</v>
      </c>
      <c r="DN97" s="280">
        <f>Table9[[#This Row],[Sea Level Rise  Risk Index Score]]*'Detailed Rubric V3'!$L$104</f>
        <v>0.2</v>
      </c>
      <c r="DO97" s="280" t="s">
        <v>419</v>
      </c>
      <c r="DP97" s="280" cm="1">
        <f t="array" ref="DP97">_xlfn.IFS(Table9[[#This Row],[Cyclone Risk Index (10%)]]="", 0, Table9[[#This Row],[Cyclone Risk Index (10%)]]="Very Low", 4, Table9[[#This Row],[Cyclone Risk Index (10%)]]="Moderate &amp; Low", 2, TRUE, 0)</f>
        <v>2</v>
      </c>
      <c r="DQ97" s="280">
        <f>Table9[[#This Row],[Cyclone Risk Index Score]]*'Detailed Rubric V3'!$O$104</f>
        <v>0.2</v>
      </c>
      <c r="DR97" s="280" t="s">
        <v>419</v>
      </c>
      <c r="DS97" s="280" cm="1">
        <f t="array" ref="DS97">_xlfn.IFS(Table9[[#This Row],[Storm Surge Risk Index (10%)]]="", 0, Table9[[#This Row],[Storm Surge Risk Index (10%)]]="Very Low", 4, Table9[[#This Row],[Storm Surge Risk Index (10%)]]="Moderate &amp; Low", 2, TRUE, 0)</f>
        <v>2</v>
      </c>
      <c r="DT97" s="280">
        <f>Table9[[#This Row],[Storm Surge Risk Index Score]]*'Detailed Rubric V3'!$R$104</f>
        <v>0.2</v>
      </c>
      <c r="DU97"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0.13200000000000001</v>
      </c>
      <c r="DV97" s="309">
        <f>SUM(Table9[[#This Row],[2.1. Connectivity/ Logistics (10% weightage)]],Table9[[#This Row],[2.2. Utility (12% weightage)]],Table9[[#This Row],[2.3. Agglomeration effects (10% weightage)]],Table9[[#This Row],[2.4. Regional Policy (4% weightage)]],Table9[[#This Row],[2.5. Social (8% weightage)]],Table9[[#This Row],[2.6. Environment (6% weightage)]])</f>
        <v>0.13200000000000001</v>
      </c>
      <c r="DW97" s="280">
        <f>_xlfn.RANK.EQ(Table9[[#This Row],[Level 2 Score]],$DV$3:$DV$103)</f>
        <v>55</v>
      </c>
      <c r="DX97" s="302">
        <f>Table9[[#This Row],[Level 1 Score]]+Table9[[#This Row],[Level 2 Score]]</f>
        <v>0.192</v>
      </c>
      <c r="DY97" s="294">
        <f>_xlfn.RANK.EQ(Table9[[#This Row],[Total Score]],$DX$3:$DX$103)</f>
        <v>95</v>
      </c>
      <c r="DZ97" s="237" t="str">
        <f>IF(Table9[[#This Row],[Count of Blanks]]&lt;=2, "Yes", "No")</f>
        <v>No</v>
      </c>
      <c r="EA97" s="237">
        <f>COUNTBLANK(Table9[[#This Row],[Name]:[Total Score Rank]])</f>
        <v>23</v>
      </c>
      <c r="EB97" s="237"/>
    </row>
    <row r="98" spans="2:132" ht="27" x14ac:dyDescent="0.25">
      <c r="B98" s="220">
        <v>54</v>
      </c>
      <c r="C98" s="221" t="s">
        <v>239</v>
      </c>
      <c r="D98" s="220" t="s">
        <v>113</v>
      </c>
      <c r="E98" s="220" t="s">
        <v>240</v>
      </c>
      <c r="F98" s="220" t="s">
        <v>241</v>
      </c>
      <c r="G98" s="220" t="s">
        <v>70</v>
      </c>
      <c r="H98" s="525" t="s">
        <v>430</v>
      </c>
      <c r="I98" s="70" t="s">
        <v>476</v>
      </c>
      <c r="J98" s="227" t="s">
        <v>444</v>
      </c>
      <c r="K98" s="220">
        <f>IFERROR(VLOOKUP(Table9[[#This Row],[Land Availability (Grade)​
(50%)]],'Detailed Rubric V3'!$B$8:$C$11,2), 0)</f>
        <v>0</v>
      </c>
      <c r="L98" s="220">
        <f>IFERROR(Table9[[#This Row],[Land Availability (Grade)​ Score]]*'Detailed Rubric V3'!$C$6, "")</f>
        <v>0</v>
      </c>
      <c r="M98" s="222">
        <v>254.15</v>
      </c>
      <c r="N98" s="222" cm="1">
        <f t="array" ref="N98">_xlfn.IFS(Table9[[#This Row],[Land Size (Acres)
(15%)]]&lt;100,0,Table9[[#This Row],[Land Size (Acres)
(15%)]]&gt;500,4,TRUE,2)</f>
        <v>2</v>
      </c>
      <c r="O98" s="222">
        <f>Table9[[#This Row],[Land Size (Acres) Score]]*'Detailed Rubric V3'!$G$6</f>
        <v>0.3</v>
      </c>
      <c r="P98" s="526"/>
      <c r="Q98" s="526">
        <f>IFERROR(Table9[[#This Row],[Site Filling Cost (Mn BDT)]]/Table9[[#This Row],[Land Size (Acres)
(15%)]],"")</f>
        <v>0</v>
      </c>
      <c r="R98" s="526" cm="1">
        <f t="array" ref="R98">IF(Table9[[#This Row],[Name]]="Sitakundo Economic Zone", 4, _xlfn.IFS(Table9[[#This Row],[Site Filling Cost (Mn BDT)]]="",0,Table9[[#This Row],[Land Suitability
(Cost of Land Filling in Million BDT per acre)
(25%)]]&gt;5,0,Table9[[#This Row],[Land Suitability
(Cost of Land Filling in Million BDT per acre)
(25%)]]&lt;2,4,TRUE,2))</f>
        <v>0</v>
      </c>
      <c r="S98" s="526">
        <f>Table9[[#This Row],[Land Suitability for Construction Score]]*'Detailed Rubric V3'!$J$6</f>
        <v>0</v>
      </c>
      <c r="T98" s="526"/>
      <c r="U98" s="526">
        <f>IFERROR(Table9[[#This Row],[Embankment/Dyke Cost (Mn BDT)]]/Table9[[#This Row],[Land Size (Acres)
(15%)]], 0)</f>
        <v>0</v>
      </c>
      <c r="V98" s="526" cm="1">
        <f t="array" ref="V98">IF(Table9[[#This Row],[Name]]="Sitakundo Economic Zone", 2, _xlfn.IFS(Table9[[#This Row],[Embankment/Dyke Cost (Mn BDT)]]="",0,Table9[[#This Row],[Cost of DRRI Infrastructure in million BDT per acre
(10%)]]&gt;5,0,Table9[[#This Row],[Cost of DRRI Infrastructure in million BDT per acre
(10%)]]&lt;2,4,TRUE,2))</f>
        <v>0</v>
      </c>
      <c r="W98" s="526">
        <f>Table9[[#This Row],[Requirement for Distaster Risk Reduction &amp; Resilience Infrastructure Score]]*'Detailed Rubric V3'!$M$6</f>
        <v>0</v>
      </c>
      <c r="X98"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98" s="227" t="s">
        <v>436</v>
      </c>
      <c r="Z98" s="210">
        <f>IFERROR(VLOOKUP(Table9[[#This Row],[Zone Priority
(40%)]],'Detailed Rubric V3'!$B$18:$C$21, 2,FALSE), 0)</f>
        <v>0</v>
      </c>
      <c r="AA98" s="210">
        <f>IFERROR(Table9[[#This Row],[Zone Priority Score]]*'Detailed Rubric V3'!$C$16, 0)</f>
        <v>0</v>
      </c>
      <c r="AB98" s="237" t="s">
        <v>441</v>
      </c>
      <c r="AC98" s="237">
        <f>VLOOKUP(Table9[[#This Row],[Existing BEZA Report
(60%)]],'Detailed Rubric V3'!$E$18:$F$20,2,FALSE)</f>
        <v>0</v>
      </c>
      <c r="AD98" s="237">
        <f>Table9[[#This Row],[Existing BEZA Report Score]]*'Detailed Rubric V3'!F$16</f>
        <v>0</v>
      </c>
      <c r="AE98" s="237">
        <f>(Table9[[#This Row],[Zone Priority Weighted Score]]+Table9[[#This Row],[Existing BEZA Report Weighted Score]])*'Detailed Rubric V3'!$C$14</f>
        <v>0</v>
      </c>
      <c r="AF98" s="528">
        <v>0</v>
      </c>
      <c r="AG98" s="529" cm="1">
        <f t="array" ref="AG98">_xlfn.IFS(Table9[[#This Row],[Existing Sectors
(50%)]]&gt;10, 4,Table9[[#This Row],[Existing Sectors
(50%)]]&lt;5, 0, TRUE, 2)</f>
        <v>0</v>
      </c>
      <c r="AH98" s="529">
        <f>Table9[[#This Row],[Existing Sectors Score]]*'Detailed Rubric V3'!$C$25</f>
        <v>0</v>
      </c>
      <c r="AI98" s="529">
        <v>0</v>
      </c>
      <c r="AJ98" s="529">
        <v>0</v>
      </c>
      <c r="AK98" s="529" cm="1">
        <f t="array" ref="AK98">_xlfn.IFS(Table9[[#This Row],[Potential New Sectors
(50%)]]&gt;5, 4, Table9[[#This Row],[Potential New Sectors
(50%)]]&lt;2,0, TRUE, 2)</f>
        <v>0</v>
      </c>
      <c r="AL98" s="529">
        <f>Table9[[#This Row],[Potential New Sectors Score]]*'Detailed Rubric V3'!$F$25</f>
        <v>0</v>
      </c>
      <c r="AM98" s="232">
        <f>(Table9[[#This Row],[Existing Sectors Weighted Score]]+Table9[[#This Row],[Potential New Sectors Weighted Score]])*'Detailed Rubric V3'!$C$23</f>
        <v>0</v>
      </c>
      <c r="AN98" s="530">
        <f>SUM(Table9[[#This Row],[1.1. Land Details (20% weightage)]],Table9[[#This Row],[1.2. BEZA Existing plans (15% weightage)]],Table9[[#This Row],[1.3. Sector Demand (15% weightage):]])</f>
        <v>0.06</v>
      </c>
      <c r="AO98" s="531">
        <f>_xlfn.RANK.EQ(Table9[[#This Row],[Level 1 Score]],$AN$3:$AN$103)</f>
        <v>94</v>
      </c>
      <c r="AP98" s="280"/>
      <c r="AQ98" s="280" cm="1">
        <f t="array" ref="AQ98">_xlfn.IFS(Table9[[#This Row],[National Highway Connectivity (km)
(15%)]]="", 0, Table9[[#This Row],[National Highway Connectivity (km)
(15%)]]&gt;50, 0, Table9[[#This Row],[National Highway Connectivity (km)
(15%)]]&lt;=25, 4, TRUE, 2)</f>
        <v>0</v>
      </c>
      <c r="AR98" s="280">
        <f>Table9[[#This Row],[National Highway Connectivity Score]]*'Detailed Rubric V3'!$C$35</f>
        <v>0</v>
      </c>
      <c r="AS98" s="280"/>
      <c r="AT98" s="280" cm="1">
        <f t="array" ref="AT98">_xlfn.IFS(Table9[[#This Row],[Connecting Road to Highway (km)
(15%)]]="", 0, Table9[[#This Row],[Connecting Road to Highway (km)
(15%)]]="Yes", 4, TRUE, 0)</f>
        <v>0</v>
      </c>
      <c r="AU98" s="280">
        <f>Table9[[#This Row],[Connecting Road to Highway Score]]*'Detailed Rubric V3'!$F$35</f>
        <v>0</v>
      </c>
      <c r="AV98" s="280"/>
      <c r="AW98" s="280" cm="1">
        <f t="array" ref="AW98">_xlfn.IFS(Table9[[#This Row],[Seaport Connectivity (km)
(30%)]]="",0, Table9[[#This Row],[Seaport Connectivity (km)
(30%)]]&gt;400, 0,Table9[[#This Row],[Seaport Connectivity (km)
(30%)]]&lt;=200,4, TRUE, 2)</f>
        <v>0</v>
      </c>
      <c r="AX98" s="280">
        <f>Table9[[#This Row],[Seaport Connectivity Score]]*'Detailed Rubric V3'!$I$35</f>
        <v>0</v>
      </c>
      <c r="AY98" s="280"/>
      <c r="AZ98" s="280" cm="1">
        <f t="array" ref="AZ98">_xlfn.IFS(Table9[[#This Row],[Airport Connectivity (km)
(10%)]]="", 0, Table9[[#This Row],[Airport Connectivity (km)
(10%)]]&gt;200, 0, Table9[[#This Row],[Airport Connectivity (km)
(10%)]]&lt;=100,4,TRUE, 2)</f>
        <v>0</v>
      </c>
      <c r="BA98" s="280">
        <f>Table9[[#This Row],[Airport Connectivity Score]]*'Detailed Rubric V3'!$C$41</f>
        <v>0</v>
      </c>
      <c r="BB98" s="280"/>
      <c r="BC98" s="280" cm="1">
        <f t="array" ref="BC98">_xlfn.IFS(Table9[[#This Row],[Railway Station (km)
(10%)]]="", 0, Table9[[#This Row],[Railway Station (km)
(10%)]]&gt;150, 0,Table9[[#This Row],[Railway Station (km)
(10%)]]&lt;=50,4, TRUE, 2)</f>
        <v>0</v>
      </c>
      <c r="BD98" s="280">
        <f>Table9[[#This Row],[Railway Station Score]]*'Detailed Rubric V3'!$F$41</f>
        <v>0</v>
      </c>
      <c r="BE98" s="280"/>
      <c r="BF98" s="280" cm="1">
        <f t="array" ref="BF98">_xlfn.IFS(Table9[[#This Row],[Inland waterway/ Land port (km)
(20%)]]="", 0, Table9[[#This Row],[Inland waterway/ Land port (km)
(20%)]]&gt;200, 0,Table9[[#This Row],[Inland waterway/ Land port (km)
(20%)]]&lt;=50,4, TRUE, 2)</f>
        <v>0</v>
      </c>
      <c r="BG98" s="280">
        <f>Table9[[#This Row],[Inland waterway/ Land port Score]]*'Detailed Rubric V3'!$I$41</f>
        <v>0</v>
      </c>
      <c r="BH98"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98" s="280"/>
      <c r="BJ98" s="280" cm="1">
        <f t="array" ref="BJ98">_xlfn.IFS(Table9[[#This Row],[Power Station (40%)]]="",0, Table9[[#This Row],[Power Station (40%)]]&gt;100, 0,Table9[[#This Row],[Power Station (40%)]]&lt;=50,4, TRUE, 2)</f>
        <v>0</v>
      </c>
      <c r="BK98" s="280">
        <f>Table9[[#This Row],[Power Station Score]]*'Detailed Rubric V3'!$C$53</f>
        <v>0</v>
      </c>
      <c r="BL98" s="280"/>
      <c r="BM98" s="280" cm="1">
        <f t="array" ref="BM98">IF(ISNUMBER(Table9[[#This Row],[Gas Station (20%)]]), _xlfn.IFS(Table9[[#This Row],[Gas Station (20%)]]="", 0, Table9[[#This Row],[Gas Station (20%)]]&gt;100, 0,Table9[[#This Row],[Gas Station (20%)]]&lt;=50,4, TRUE, 2), 0)</f>
        <v>0</v>
      </c>
      <c r="BN98" s="280">
        <f>Table9[[#This Row],[Gas Station Score]]*'Detailed Rubric V3'!$F$53</f>
        <v>0</v>
      </c>
      <c r="BO98" s="280"/>
      <c r="BP98" s="280" cm="1">
        <f t="array" ref="BP98">IF(ISNUMBER(Table9[[#This Row],[Source of Surface Water (40%)]]), _xlfn.IFS(Table9[[#This Row],[Source of Surface Water (40%)]]="", 0, Table9[[#This Row],[Source of Surface Water (40%)]]&gt;50, 0,Table9[[#This Row],[Source of Surface Water (40%)]]&lt;=20,4, TRUE, 2), 0)</f>
        <v>0</v>
      </c>
      <c r="BQ98" s="280">
        <f>Table9[[#This Row],[Source of Surface Water Score]]*'Detailed Rubric V3'!$I$53</f>
        <v>0</v>
      </c>
      <c r="BR98" s="280">
        <f>SUM(Table9[[#This Row],[Power Station Weighted Score]],Table9[[#This Row],[Gas Station Weighted Score]],Table9[[#This Row],[Source of Surface Water Weighted Score]])*'Detailed Rubric V3'!$C$51</f>
        <v>0</v>
      </c>
      <c r="BS98" s="280"/>
      <c r="BT98" s="280" cm="1">
        <f t="array" ref="BT98">_xlfn.IFS(Table9[[#This Row],[Other BEZA EZ (20%)]]="", 0, Table9[[#This Row],[Other BEZA EZ (20%)]]="Yes", 4, TRUE, 0)</f>
        <v>0</v>
      </c>
      <c r="BU98" s="280">
        <f>Table9[[#This Row],[Other BEZA EZ Score]]*'Detailed Rubric V3'!$C$66</f>
        <v>0</v>
      </c>
      <c r="BV98" s="280"/>
      <c r="BW98" s="280" cm="1">
        <f t="array" ref="BW98">_xlfn.IFS(Table9[[#This Row],[BEPZA/ BHPTA/ BSCIC (20%)]]="", 0, Table9[[#This Row],[BEPZA/ BHPTA/ BSCIC (20%)]]="Yes", 4, TRUE, 0)</f>
        <v>0</v>
      </c>
      <c r="BX98" s="280">
        <f>Table9[[#This Row],[BEPZA/ BHPTA/ BSCIC Score]]*'Detailed Rubric V3'!$F$66</f>
        <v>0</v>
      </c>
      <c r="BY98" s="280"/>
      <c r="BZ98" s="280" cm="1">
        <f t="array" ref="BZ98">_xlfn.IFS(Table9[[#This Row],[Cluster Industries (from SMI) (20%)]]="", 0, Table9[[#This Row],[Cluster Industries (from SMI) (20%)]]&gt;100, 4, Table9[[#This Row],[Cluster Industries (from SMI) (20%)]]&lt;50, 0, TRUE, 2)</f>
        <v>0</v>
      </c>
      <c r="CA98" s="280">
        <f>Table9[[#This Row],[Cluster Industries (from SMI) Score]]*'Detailed Rubric V3'!$I$66</f>
        <v>0</v>
      </c>
      <c r="CB98" s="280"/>
      <c r="CC98" s="280" cm="1">
        <f t="array" ref="CC98">_xlfn.IFS(Table9[[#This Row],[Located on Industrial corridor (40%)]]="", 0, Table9[[#This Row],[Located on Industrial corridor (40%)]]="Yes", 4, TRUE, 0)</f>
        <v>0</v>
      </c>
      <c r="CD98" s="280">
        <f>Table9[[#This Row],[Located on Industrial corridor Score]]*'Detailed Rubric V3'!$L$66</f>
        <v>0</v>
      </c>
      <c r="CE98" s="280">
        <f>SUM(Table9[[#This Row],[Other BEZA EZ Weighted Score]],Table9[[#This Row],[BEPZA/ BHPTA/ BSCIC Weighted Score]],Table9[[#This Row],[Unorganized (from SMI) Weighted Score]],Table9[[#This Row],[Located on Industrial corridor Weighted Score]])*'Detailed Rubric V3'!$C$64</f>
        <v>0</v>
      </c>
      <c r="CF98" s="280"/>
      <c r="CG98" s="280" cm="1">
        <f t="array" ref="CG98">_xlfn.IFS(Table9[[#This Row],[Economic/ Social priority (laggered area) (100%)]]="", 0, Table9[[#This Row],[Economic/ Social priority (laggered area) (100%)]]="Yes", 4, TRUE, 0)</f>
        <v>0</v>
      </c>
      <c r="CH98" s="280">
        <f>Table9[[#This Row],[Economic/ Social priority (laggered area) Score]]*'Detailed Rubric V3'!$C$82</f>
        <v>0</v>
      </c>
      <c r="CI98" s="280"/>
      <c r="CJ98" s="280" cm="1">
        <f t="array" ref="CJ98">_xlfn.IFS(Table9[[#This Row],[Regional Tax incentive  (0%)]]="", 0, Table9[[#This Row],[Regional Tax incentive  (0%)]]="Yes", 4, TRUE, 0)</f>
        <v>0</v>
      </c>
      <c r="CK98" s="280">
        <f>Table9[[#This Row],[Regional Tax incentive Score]]*'Detailed Rubric V3'!$F$82</f>
        <v>0</v>
      </c>
      <c r="CL98" s="280">
        <f>SUM(Table9[[#This Row],[Economic/ Social priority (laagered area) Weighted Score]],Table9[[#This Row],[Regional Tax incentive  Weighted Score]])*'Detailed Rubric V3'!$C$80</f>
        <v>0</v>
      </c>
      <c r="CM98" s="280"/>
      <c r="CN98" s="280" cm="1">
        <f t="array" ref="CN98">_xlfn.IFS(Table9[[#This Row],[Employable population (40%) 2013]]="", 0, Table9[[#This Row],[Employable population (40%) 2013]]&gt;200000, 4, Table9[[#This Row],[Employable population (40%) 2013]]&lt;100000,0, TRUE, 2)</f>
        <v>0</v>
      </c>
      <c r="CO98" s="280">
        <f>Table9[[#This Row],[Employable population Score]]*'Detailed Rubric V3'!$C$92</f>
        <v>0</v>
      </c>
      <c r="CP98" s="280"/>
      <c r="CQ98" s="280" cm="1">
        <f t="array" ref="CQ98">_xlfn.IFS(Table9[[#This Row],[Housing (20%)]]="", 0, Table9[[#This Row],[Housing (20%)]]&gt;50, 0, Table9[[#This Row],[Housing (20%)]]&lt;25, 4, TRUE, 2)</f>
        <v>0</v>
      </c>
      <c r="CR98" s="280">
        <f>Table9[[#This Row],[Housing Score]]*'Detailed Rubric V3'!$F$92</f>
        <v>0</v>
      </c>
      <c r="CS98" s="280"/>
      <c r="CT98" s="280" cm="1">
        <f t="array" ref="CT98">_xlfn.IFS(Table9[[#This Row],[Hotels (10%)]]="", 0, Table9[[#This Row],[Hotels (10%)]]&gt;25, 4, Table9[[#This Row],[Hotels (10%)]]&lt;5, 0, TRUE, 2)</f>
        <v>0</v>
      </c>
      <c r="CU98" s="280">
        <f>Table9[[#This Row],[Hotels Score]]*'Detailed Rubric V3'!$I$92</f>
        <v>0</v>
      </c>
      <c r="CV98" s="280"/>
      <c r="CW98" s="280" cm="1">
        <f t="array" ref="CW98">_xlfn.IFS(Table9[[#This Row],[Health (Hospital) (15%)]]="", 0, Table9[[#This Row],[Health (Hospital) (15%)]]&gt;10, 4, Table9[[#This Row],[Health (Hospital) (15%)]]&lt;5, 0, TRUE, 2)</f>
        <v>0</v>
      </c>
      <c r="CX98" s="280">
        <f>Table9[[#This Row],[Health (Hospital) Score]]*'Detailed Rubric V3'!$L$92</f>
        <v>0</v>
      </c>
      <c r="CY98" s="280"/>
      <c r="CZ98" s="280" cm="1">
        <f t="array" ref="CZ98">_xlfn.IFS(Table9[[#This Row],[University/ Technical &amp; Vocational Institutions (15%)]]="", 0, Table9[[#This Row],[University/ Technical &amp; Vocational Institutions (15%)]]&gt;3, 4, Table9[[#This Row],[University/ Technical &amp; Vocational Institutions (15%)]]&lt;1, 0, TRUE, 2)</f>
        <v>0</v>
      </c>
      <c r="DA98" s="280">
        <f>Table9[[#This Row],[University/ Technical &amp; Vocational Institutions Score]]*'Detailed Rubric V3'!$O$92</f>
        <v>0</v>
      </c>
      <c r="DB98"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98" s="280"/>
      <c r="DD98" s="280" cm="1">
        <f t="array" ref="DD98">_xlfn.IFS(Table9[[#This Row],[Environment compliance (30%)]]="", 0, Table9[[#This Row],[Environment compliance (30%)]]="Yes", 4, TRUE, 0)</f>
        <v>0</v>
      </c>
      <c r="DE98" s="280">
        <f>Table9[[#This Row],[Environment compliance Score]]*'Detailed Rubric V3'!$C$104</f>
        <v>0</v>
      </c>
      <c r="DF98" s="280" t="s">
        <v>419</v>
      </c>
      <c r="DG98" s="280" cm="1">
        <f t="array" ref="DG98">_xlfn.IFS(Table9[[#This Row],[Flood Risk Index (30%)]]="", 0, Table9[[#This Row],[Flood Risk Index (30%)]]="Very Low", 4, Table9[[#This Row],[Flood Risk Index (30%)]]="Moderate &amp; Low", 2, TRUE, 0)</f>
        <v>2</v>
      </c>
      <c r="DH98" s="280">
        <f>Table9[[#This Row],[Flood Risk Index Score]]*'Detailed Rubric V3'!$F$104</f>
        <v>0.6</v>
      </c>
      <c r="DI98" s="280" t="s">
        <v>419</v>
      </c>
      <c r="DJ98" s="280" cm="1">
        <f t="array" ref="DJ98">_xlfn.IFS(Table9[[#This Row],[Earth Quake Risk Index (10%)]]="", 0, Table9[[#This Row],[Earth Quake Risk Index (10%)]]="Very Low", 4, Table9[[#This Row],[Earth Quake Risk Index (10%)]]="Moderate &amp; Low", 2, TRUE, 0)</f>
        <v>2</v>
      </c>
      <c r="DK98" s="280">
        <f>Table9[[#This Row],[Earth Quake Risk Index Score]]*'Detailed Rubric V3'!$I$104</f>
        <v>0.2</v>
      </c>
      <c r="DL98" s="280" t="s">
        <v>428</v>
      </c>
      <c r="DM98" s="280" cm="1">
        <f t="array" ref="DM98">_xlfn.IFS(Table9[[#This Row],[Sea Level Rise Risk Index (10%)]]="", 0, Table9[[#This Row],[Sea Level Rise Risk Index (10%)]]="Very Low", 4, Table9[[#This Row],[Sea Level Rise Risk Index (10%)]]="Moderate &amp; Low", 2, TRUE, 0)</f>
        <v>4</v>
      </c>
      <c r="DN98" s="280">
        <f>Table9[[#This Row],[Sea Level Rise  Risk Index Score]]*'Detailed Rubric V3'!$L$104</f>
        <v>0.4</v>
      </c>
      <c r="DO98" s="280" t="s">
        <v>428</v>
      </c>
      <c r="DP98" s="280" cm="1">
        <f t="array" ref="DP98">_xlfn.IFS(Table9[[#This Row],[Cyclone Risk Index (10%)]]="", 0, Table9[[#This Row],[Cyclone Risk Index (10%)]]="Very Low", 4, Table9[[#This Row],[Cyclone Risk Index (10%)]]="Moderate &amp; Low", 2, TRUE, 0)</f>
        <v>4</v>
      </c>
      <c r="DQ98" s="280">
        <f>Table9[[#This Row],[Cyclone Risk Index Score]]*'Detailed Rubric V3'!$O$104</f>
        <v>0.4</v>
      </c>
      <c r="DR98" s="280" t="s">
        <v>428</v>
      </c>
      <c r="DS98" s="280" cm="1">
        <f t="array" ref="DS98">_xlfn.IFS(Table9[[#This Row],[Storm Surge Risk Index (10%)]]="", 0, Table9[[#This Row],[Storm Surge Risk Index (10%)]]="Very Low", 4, Table9[[#This Row],[Storm Surge Risk Index (10%)]]="Moderate &amp; Low", 2, TRUE, 0)</f>
        <v>4</v>
      </c>
      <c r="DT98" s="280">
        <f>Table9[[#This Row],[Storm Surge Risk Index Score]]*'Detailed Rubric V3'!$R$104</f>
        <v>0.4</v>
      </c>
      <c r="DU98"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0.12</v>
      </c>
      <c r="DV98" s="309">
        <f>SUM(Table9[[#This Row],[2.1. Connectivity/ Logistics (10% weightage)]],Table9[[#This Row],[2.2. Utility (12% weightage)]],Table9[[#This Row],[2.3. Agglomeration effects (10% weightage)]],Table9[[#This Row],[2.4. Regional Policy (4% weightage)]],Table9[[#This Row],[2.5. Social (8% weightage)]],Table9[[#This Row],[2.6. Environment (6% weightage)]])</f>
        <v>0.12</v>
      </c>
      <c r="DW98" s="280">
        <f>_xlfn.RANK.EQ(Table9[[#This Row],[Level 2 Score]],$DV$3:$DV$103)</f>
        <v>61</v>
      </c>
      <c r="DX98" s="302">
        <f>Table9[[#This Row],[Level 1 Score]]+Table9[[#This Row],[Level 2 Score]]</f>
        <v>0.18</v>
      </c>
      <c r="DY98" s="294">
        <f>_xlfn.RANK.EQ(Table9[[#This Row],[Total Score]],$DX$3:$DX$103)</f>
        <v>96</v>
      </c>
      <c r="DZ98" s="237" t="str">
        <f>IF(Table9[[#This Row],[Count of Blanks]]&lt;=2, "Yes", "No")</f>
        <v>No</v>
      </c>
      <c r="EA98" s="237">
        <f>COUNTBLANK(Table9[[#This Row],[Name]:[Total Score Rank]])</f>
        <v>23</v>
      </c>
      <c r="EB98" s="237"/>
    </row>
    <row r="99" spans="2:132" ht="27" x14ac:dyDescent="0.25">
      <c r="B99" s="220">
        <v>5</v>
      </c>
      <c r="C99" s="221" t="s">
        <v>242</v>
      </c>
      <c r="D99" s="220" t="s">
        <v>68</v>
      </c>
      <c r="E99" s="220" t="s">
        <v>243</v>
      </c>
      <c r="F99" s="220" t="s">
        <v>244</v>
      </c>
      <c r="G99" s="220" t="s">
        <v>70</v>
      </c>
      <c r="H99" s="525" t="s">
        <v>430</v>
      </c>
      <c r="I99" s="70" t="s">
        <v>477</v>
      </c>
      <c r="J99" s="227" t="s">
        <v>444</v>
      </c>
      <c r="K99" s="220">
        <f>IFERROR(VLOOKUP(Table9[[#This Row],[Land Availability (Grade)​
(50%)]],'Detailed Rubric V3'!$B$8:$C$11,2), 0)</f>
        <v>0</v>
      </c>
      <c r="L99" s="220">
        <f>IFERROR(Table9[[#This Row],[Land Availability (Grade)​ Score]]*'Detailed Rubric V3'!$C$6, "")</f>
        <v>0</v>
      </c>
      <c r="M99" s="222">
        <v>328.61</v>
      </c>
      <c r="N99" s="222" cm="1">
        <f t="array" ref="N99">_xlfn.IFS(Table9[[#This Row],[Land Size (Acres)
(15%)]]&lt;100,0,Table9[[#This Row],[Land Size (Acres)
(15%)]]&gt;500,4,TRUE,2)</f>
        <v>2</v>
      </c>
      <c r="O99" s="222">
        <f>Table9[[#This Row],[Land Size (Acres) Score]]*'Detailed Rubric V3'!$G$6</f>
        <v>0.3</v>
      </c>
      <c r="P99" s="526"/>
      <c r="Q99" s="526">
        <f>IFERROR(Table9[[#This Row],[Site Filling Cost (Mn BDT)]]/Table9[[#This Row],[Land Size (Acres)
(15%)]],"")</f>
        <v>0</v>
      </c>
      <c r="R99" s="526" cm="1">
        <f t="array" ref="R99">IF(Table9[[#This Row],[Name]]="Sitakundo Economic Zone", 4, _xlfn.IFS(Table9[[#This Row],[Site Filling Cost (Mn BDT)]]="",0,Table9[[#This Row],[Land Suitability
(Cost of Land Filling in Million BDT per acre)
(25%)]]&gt;5,0,Table9[[#This Row],[Land Suitability
(Cost of Land Filling in Million BDT per acre)
(25%)]]&lt;2,4,TRUE,2))</f>
        <v>0</v>
      </c>
      <c r="S99" s="526">
        <f>Table9[[#This Row],[Land Suitability for Construction Score]]*'Detailed Rubric V3'!$J$6</f>
        <v>0</v>
      </c>
      <c r="T99" s="526"/>
      <c r="U99" s="526">
        <f>IFERROR(Table9[[#This Row],[Embankment/Dyke Cost (Mn BDT)]]/Table9[[#This Row],[Land Size (Acres)
(15%)]], 0)</f>
        <v>0</v>
      </c>
      <c r="V99" s="526" cm="1">
        <f t="array" ref="V99">IF(Table9[[#This Row],[Name]]="Sitakundo Economic Zone", 2, _xlfn.IFS(Table9[[#This Row],[Embankment/Dyke Cost (Mn BDT)]]="",0,Table9[[#This Row],[Cost of DRRI Infrastructure in million BDT per acre
(10%)]]&gt;5,0,Table9[[#This Row],[Cost of DRRI Infrastructure in million BDT per acre
(10%)]]&lt;2,4,TRUE,2))</f>
        <v>0</v>
      </c>
      <c r="W99" s="526">
        <f>Table9[[#This Row],[Requirement for Distaster Risk Reduction &amp; Resilience Infrastructure Score]]*'Detailed Rubric V3'!$M$6</f>
        <v>0</v>
      </c>
      <c r="X99"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99" s="452" t="s">
        <v>436</v>
      </c>
      <c r="Z99" s="210">
        <f>IFERROR(VLOOKUP(Table9[[#This Row],[Zone Priority
(40%)]],'Detailed Rubric V3'!$B$18:$C$21, 2,FALSE), 0)</f>
        <v>0</v>
      </c>
      <c r="AA99" s="210">
        <f>IFERROR(Table9[[#This Row],[Zone Priority Score]]*'Detailed Rubric V3'!$C$16, 0)</f>
        <v>0</v>
      </c>
      <c r="AB99" s="237" t="s">
        <v>441</v>
      </c>
      <c r="AC99" s="237">
        <f>VLOOKUP(Table9[[#This Row],[Existing BEZA Report
(60%)]],'Detailed Rubric V3'!$E$18:$F$20,2,FALSE)</f>
        <v>0</v>
      </c>
      <c r="AD99" s="237">
        <f>Table9[[#This Row],[Existing BEZA Report Score]]*'Detailed Rubric V3'!F$16</f>
        <v>0</v>
      </c>
      <c r="AE99" s="237">
        <f>(Table9[[#This Row],[Zone Priority Weighted Score]]+Table9[[#This Row],[Existing BEZA Report Weighted Score]])*'Detailed Rubric V3'!$C$14</f>
        <v>0</v>
      </c>
      <c r="AF99" s="528">
        <v>0</v>
      </c>
      <c r="AG99" s="529" cm="1">
        <f t="array" ref="AG99">_xlfn.IFS(Table9[[#This Row],[Existing Sectors
(50%)]]&gt;10, 4,Table9[[#This Row],[Existing Sectors
(50%)]]&lt;5, 0, TRUE, 2)</f>
        <v>0</v>
      </c>
      <c r="AH99" s="529">
        <f>Table9[[#This Row],[Existing Sectors Score]]*'Detailed Rubric V3'!$C$25</f>
        <v>0</v>
      </c>
      <c r="AI99" s="529">
        <v>0</v>
      </c>
      <c r="AJ99" s="529">
        <v>0</v>
      </c>
      <c r="AK99" s="529" cm="1">
        <f t="array" ref="AK99">_xlfn.IFS(Table9[[#This Row],[Potential New Sectors
(50%)]]&gt;5, 4, Table9[[#This Row],[Potential New Sectors
(50%)]]&lt;2,0, TRUE, 2)</f>
        <v>0</v>
      </c>
      <c r="AL99" s="529">
        <f>Table9[[#This Row],[Potential New Sectors Score]]*'Detailed Rubric V3'!$F$25</f>
        <v>0</v>
      </c>
      <c r="AM99" s="232">
        <f>(Table9[[#This Row],[Existing Sectors Weighted Score]]+Table9[[#This Row],[Potential New Sectors Weighted Score]])*'Detailed Rubric V3'!$C$23</f>
        <v>0</v>
      </c>
      <c r="AN99" s="530">
        <f>SUM(Table9[[#This Row],[1.1. Land Details (20% weightage)]],Table9[[#This Row],[1.2. BEZA Existing plans (15% weightage)]],Table9[[#This Row],[1.3. Sector Demand (15% weightage):]])</f>
        <v>0.06</v>
      </c>
      <c r="AO99" s="531">
        <f>_xlfn.RANK.EQ(Table9[[#This Row],[Level 1 Score]],$AN$3:$AN$103)</f>
        <v>94</v>
      </c>
      <c r="AP99" s="280"/>
      <c r="AQ99" s="280" cm="1">
        <f t="array" ref="AQ99">_xlfn.IFS(Table9[[#This Row],[National Highway Connectivity (km)
(15%)]]="", 0, Table9[[#This Row],[National Highway Connectivity (km)
(15%)]]&gt;50, 0, Table9[[#This Row],[National Highway Connectivity (km)
(15%)]]&lt;=25, 4, TRUE, 2)</f>
        <v>0</v>
      </c>
      <c r="AR99" s="280">
        <f>Table9[[#This Row],[National Highway Connectivity Score]]*'Detailed Rubric V3'!$C$35</f>
        <v>0</v>
      </c>
      <c r="AS99" s="280"/>
      <c r="AT99" s="280" cm="1">
        <f t="array" ref="AT99">_xlfn.IFS(Table9[[#This Row],[Connecting Road to Highway (km)
(15%)]]="", 0, Table9[[#This Row],[Connecting Road to Highway (km)
(15%)]]="Yes", 4, TRUE, 0)</f>
        <v>0</v>
      </c>
      <c r="AU99" s="280">
        <f>Table9[[#This Row],[Connecting Road to Highway Score]]*'Detailed Rubric V3'!$F$35</f>
        <v>0</v>
      </c>
      <c r="AV99" s="280"/>
      <c r="AW99" s="280" cm="1">
        <f t="array" ref="AW99">_xlfn.IFS(Table9[[#This Row],[Seaport Connectivity (km)
(30%)]]="",0, Table9[[#This Row],[Seaport Connectivity (km)
(30%)]]&gt;400, 0,Table9[[#This Row],[Seaport Connectivity (km)
(30%)]]&lt;=200,4, TRUE, 2)</f>
        <v>0</v>
      </c>
      <c r="AX99" s="280">
        <f>Table9[[#This Row],[Seaport Connectivity Score]]*'Detailed Rubric V3'!$I$35</f>
        <v>0</v>
      </c>
      <c r="AY99" s="280"/>
      <c r="AZ99" s="280" cm="1">
        <f t="array" ref="AZ99">_xlfn.IFS(Table9[[#This Row],[Airport Connectivity (km)
(10%)]]="", 0, Table9[[#This Row],[Airport Connectivity (km)
(10%)]]&gt;200, 0, Table9[[#This Row],[Airport Connectivity (km)
(10%)]]&lt;=100,4,TRUE, 2)</f>
        <v>0</v>
      </c>
      <c r="BA99" s="280">
        <f>Table9[[#This Row],[Airport Connectivity Score]]*'Detailed Rubric V3'!$C$41</f>
        <v>0</v>
      </c>
      <c r="BB99" s="280"/>
      <c r="BC99" s="280" cm="1">
        <f t="array" ref="BC99">_xlfn.IFS(Table9[[#This Row],[Railway Station (km)
(10%)]]="", 0, Table9[[#This Row],[Railway Station (km)
(10%)]]&gt;150, 0,Table9[[#This Row],[Railway Station (km)
(10%)]]&lt;=50,4, TRUE, 2)</f>
        <v>0</v>
      </c>
      <c r="BD99" s="280">
        <f>Table9[[#This Row],[Railway Station Score]]*'Detailed Rubric V3'!$F$41</f>
        <v>0</v>
      </c>
      <c r="BE99" s="280"/>
      <c r="BF99" s="280" cm="1">
        <f t="array" ref="BF99">_xlfn.IFS(Table9[[#This Row],[Inland waterway/ Land port (km)
(20%)]]="", 0, Table9[[#This Row],[Inland waterway/ Land port (km)
(20%)]]&gt;200, 0,Table9[[#This Row],[Inland waterway/ Land port (km)
(20%)]]&lt;=50,4, TRUE, 2)</f>
        <v>0</v>
      </c>
      <c r="BG99" s="280">
        <f>Table9[[#This Row],[Inland waterway/ Land port Score]]*'Detailed Rubric V3'!$I$41</f>
        <v>0</v>
      </c>
      <c r="BH99"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99" s="280"/>
      <c r="BJ99" s="280" cm="1">
        <f t="array" ref="BJ99">_xlfn.IFS(Table9[[#This Row],[Power Station (40%)]]="",0, Table9[[#This Row],[Power Station (40%)]]&gt;100, 0,Table9[[#This Row],[Power Station (40%)]]&lt;=50,4, TRUE, 2)</f>
        <v>0</v>
      </c>
      <c r="BK99" s="280">
        <f>Table9[[#This Row],[Power Station Score]]*'Detailed Rubric V3'!$C$53</f>
        <v>0</v>
      </c>
      <c r="BL99" s="280"/>
      <c r="BM99" s="280" cm="1">
        <f t="array" ref="BM99">IF(ISNUMBER(Table9[[#This Row],[Gas Station (20%)]]), _xlfn.IFS(Table9[[#This Row],[Gas Station (20%)]]="", 0, Table9[[#This Row],[Gas Station (20%)]]&gt;100, 0,Table9[[#This Row],[Gas Station (20%)]]&lt;=50,4, TRUE, 2), 0)</f>
        <v>0</v>
      </c>
      <c r="BN99" s="280">
        <f>Table9[[#This Row],[Gas Station Score]]*'Detailed Rubric V3'!$F$53</f>
        <v>0</v>
      </c>
      <c r="BO99" s="280"/>
      <c r="BP99" s="280" cm="1">
        <f t="array" ref="BP99">IF(ISNUMBER(Table9[[#This Row],[Source of Surface Water (40%)]]), _xlfn.IFS(Table9[[#This Row],[Source of Surface Water (40%)]]="", 0, Table9[[#This Row],[Source of Surface Water (40%)]]&gt;50, 0,Table9[[#This Row],[Source of Surface Water (40%)]]&lt;=20,4, TRUE, 2), 0)</f>
        <v>0</v>
      </c>
      <c r="BQ99" s="280">
        <f>Table9[[#This Row],[Source of Surface Water Score]]*'Detailed Rubric V3'!$I$53</f>
        <v>0</v>
      </c>
      <c r="BR99" s="280">
        <f>SUM(Table9[[#This Row],[Power Station Weighted Score]],Table9[[#This Row],[Gas Station Weighted Score]],Table9[[#This Row],[Source of Surface Water Weighted Score]])*'Detailed Rubric V3'!$C$51</f>
        <v>0</v>
      </c>
      <c r="BS99" s="280"/>
      <c r="BT99" s="280" cm="1">
        <f t="array" ref="BT99">_xlfn.IFS(Table9[[#This Row],[Other BEZA EZ (20%)]]="", 0, Table9[[#This Row],[Other BEZA EZ (20%)]]="Yes", 4, TRUE, 0)</f>
        <v>0</v>
      </c>
      <c r="BU99" s="280">
        <f>Table9[[#This Row],[Other BEZA EZ Score]]*'Detailed Rubric V3'!$C$66</f>
        <v>0</v>
      </c>
      <c r="BV99" s="280"/>
      <c r="BW99" s="280" cm="1">
        <f t="array" ref="BW99">_xlfn.IFS(Table9[[#This Row],[BEPZA/ BHPTA/ BSCIC (20%)]]="", 0, Table9[[#This Row],[BEPZA/ BHPTA/ BSCIC (20%)]]="Yes", 4, TRUE, 0)</f>
        <v>0</v>
      </c>
      <c r="BX99" s="280">
        <f>Table9[[#This Row],[BEPZA/ BHPTA/ BSCIC Score]]*'Detailed Rubric V3'!$F$66</f>
        <v>0</v>
      </c>
      <c r="BY99" s="280"/>
      <c r="BZ99" s="280" cm="1">
        <f t="array" ref="BZ99">_xlfn.IFS(Table9[[#This Row],[Cluster Industries (from SMI) (20%)]]="", 0, Table9[[#This Row],[Cluster Industries (from SMI) (20%)]]&gt;100, 4, Table9[[#This Row],[Cluster Industries (from SMI) (20%)]]&lt;50, 0, TRUE, 2)</f>
        <v>0</v>
      </c>
      <c r="CA99" s="280">
        <f>Table9[[#This Row],[Cluster Industries (from SMI) Score]]*'Detailed Rubric V3'!$I$66</f>
        <v>0</v>
      </c>
      <c r="CB99" s="280"/>
      <c r="CC99" s="280" cm="1">
        <f t="array" ref="CC99">_xlfn.IFS(Table9[[#This Row],[Located on Industrial corridor (40%)]]="", 0, Table9[[#This Row],[Located on Industrial corridor (40%)]]="Yes", 4, TRUE, 0)</f>
        <v>0</v>
      </c>
      <c r="CD99" s="280">
        <f>Table9[[#This Row],[Located on Industrial corridor Score]]*'Detailed Rubric V3'!$L$66</f>
        <v>0</v>
      </c>
      <c r="CE99" s="280">
        <f>SUM(Table9[[#This Row],[Other BEZA EZ Weighted Score]],Table9[[#This Row],[BEPZA/ BHPTA/ BSCIC Weighted Score]],Table9[[#This Row],[Unorganized (from SMI) Weighted Score]],Table9[[#This Row],[Located on Industrial corridor Weighted Score]])*'Detailed Rubric V3'!$C$64</f>
        <v>0</v>
      </c>
      <c r="CF99" s="280"/>
      <c r="CG99" s="280" cm="1">
        <f t="array" ref="CG99">_xlfn.IFS(Table9[[#This Row],[Economic/ Social priority (laggered area) (100%)]]="", 0, Table9[[#This Row],[Economic/ Social priority (laggered area) (100%)]]="Yes", 4, TRUE, 0)</f>
        <v>0</v>
      </c>
      <c r="CH99" s="280">
        <f>Table9[[#This Row],[Economic/ Social priority (laggered area) Score]]*'Detailed Rubric V3'!$C$82</f>
        <v>0</v>
      </c>
      <c r="CI99" s="280"/>
      <c r="CJ99" s="280" cm="1">
        <f t="array" ref="CJ99">_xlfn.IFS(Table9[[#This Row],[Regional Tax incentive  (0%)]]="", 0, Table9[[#This Row],[Regional Tax incentive  (0%)]]="Yes", 4, TRUE, 0)</f>
        <v>0</v>
      </c>
      <c r="CK99" s="280">
        <f>Table9[[#This Row],[Regional Tax incentive Score]]*'Detailed Rubric V3'!$F$82</f>
        <v>0</v>
      </c>
      <c r="CL99" s="280">
        <f>SUM(Table9[[#This Row],[Economic/ Social priority (laagered area) Weighted Score]],Table9[[#This Row],[Regional Tax incentive  Weighted Score]])*'Detailed Rubric V3'!$C$80</f>
        <v>0</v>
      </c>
      <c r="CM99" s="280"/>
      <c r="CN99" s="280" cm="1">
        <f t="array" ref="CN99">_xlfn.IFS(Table9[[#This Row],[Employable population (40%) 2013]]="", 0, Table9[[#This Row],[Employable population (40%) 2013]]&gt;200000, 4, Table9[[#This Row],[Employable population (40%) 2013]]&lt;100000,0, TRUE, 2)</f>
        <v>0</v>
      </c>
      <c r="CO99" s="280">
        <f>Table9[[#This Row],[Employable population Score]]*'Detailed Rubric V3'!$C$92</f>
        <v>0</v>
      </c>
      <c r="CP99" s="280"/>
      <c r="CQ99" s="280" cm="1">
        <f t="array" ref="CQ99">_xlfn.IFS(Table9[[#This Row],[Housing (20%)]]="", 0, Table9[[#This Row],[Housing (20%)]]&gt;50, 0, Table9[[#This Row],[Housing (20%)]]&lt;25, 4, TRUE, 2)</f>
        <v>0</v>
      </c>
      <c r="CR99" s="280">
        <f>Table9[[#This Row],[Housing Score]]*'Detailed Rubric V3'!$F$92</f>
        <v>0</v>
      </c>
      <c r="CS99" s="280"/>
      <c r="CT99" s="280" cm="1">
        <f t="array" ref="CT99">_xlfn.IFS(Table9[[#This Row],[Hotels (10%)]]="", 0, Table9[[#This Row],[Hotels (10%)]]&gt;25, 4, Table9[[#This Row],[Hotels (10%)]]&lt;5, 0, TRUE, 2)</f>
        <v>0</v>
      </c>
      <c r="CU99" s="280">
        <f>Table9[[#This Row],[Hotels Score]]*'Detailed Rubric V3'!$I$92</f>
        <v>0</v>
      </c>
      <c r="CV99" s="280"/>
      <c r="CW99" s="280" cm="1">
        <f t="array" ref="CW99">_xlfn.IFS(Table9[[#This Row],[Health (Hospital) (15%)]]="", 0, Table9[[#This Row],[Health (Hospital) (15%)]]&gt;10, 4, Table9[[#This Row],[Health (Hospital) (15%)]]&lt;5, 0, TRUE, 2)</f>
        <v>0</v>
      </c>
      <c r="CX99" s="280">
        <f>Table9[[#This Row],[Health (Hospital) Score]]*'Detailed Rubric V3'!$L$92</f>
        <v>0</v>
      </c>
      <c r="CY99" s="280"/>
      <c r="CZ99" s="280" cm="1">
        <f t="array" ref="CZ99">_xlfn.IFS(Table9[[#This Row],[University/ Technical &amp; Vocational Institutions (15%)]]="", 0, Table9[[#This Row],[University/ Technical &amp; Vocational Institutions (15%)]]&gt;3, 4, Table9[[#This Row],[University/ Technical &amp; Vocational Institutions (15%)]]&lt;1, 0, TRUE, 2)</f>
        <v>0</v>
      </c>
      <c r="DA99" s="280">
        <f>Table9[[#This Row],[University/ Technical &amp; Vocational Institutions Score]]*'Detailed Rubric V3'!$O$92</f>
        <v>0</v>
      </c>
      <c r="DB99"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99" s="280"/>
      <c r="DD99" s="280" cm="1">
        <f t="array" ref="DD99">_xlfn.IFS(Table9[[#This Row],[Environment compliance (30%)]]="", 0, Table9[[#This Row],[Environment compliance (30%)]]="Yes", 4, TRUE, 0)</f>
        <v>0</v>
      </c>
      <c r="DE99" s="280">
        <f>Table9[[#This Row],[Environment compliance Score]]*'Detailed Rubric V3'!$C$104</f>
        <v>0</v>
      </c>
      <c r="DF99" s="280" t="s">
        <v>419</v>
      </c>
      <c r="DG99" s="280" cm="1">
        <f t="array" ref="DG99">_xlfn.IFS(Table9[[#This Row],[Flood Risk Index (30%)]]="", 0, Table9[[#This Row],[Flood Risk Index (30%)]]="Very Low", 4, Table9[[#This Row],[Flood Risk Index (30%)]]="Moderate &amp; Low", 2, TRUE, 0)</f>
        <v>2</v>
      </c>
      <c r="DH99" s="280">
        <f>Table9[[#This Row],[Flood Risk Index Score]]*'Detailed Rubric V3'!$F$104</f>
        <v>0.6</v>
      </c>
      <c r="DI99" s="280" t="s">
        <v>419</v>
      </c>
      <c r="DJ99" s="280" cm="1">
        <f t="array" ref="DJ99">_xlfn.IFS(Table9[[#This Row],[Earth Quake Risk Index (10%)]]="", 0, Table9[[#This Row],[Earth Quake Risk Index (10%)]]="Very Low", 4, Table9[[#This Row],[Earth Quake Risk Index (10%)]]="Moderate &amp; Low", 2, TRUE, 0)</f>
        <v>2</v>
      </c>
      <c r="DK99" s="280">
        <f>Table9[[#This Row],[Earth Quake Risk Index Score]]*'Detailed Rubric V3'!$I$104</f>
        <v>0.2</v>
      </c>
      <c r="DL99" s="280" t="s">
        <v>428</v>
      </c>
      <c r="DM99" s="280" cm="1">
        <f t="array" ref="DM99">_xlfn.IFS(Table9[[#This Row],[Sea Level Rise Risk Index (10%)]]="", 0, Table9[[#This Row],[Sea Level Rise Risk Index (10%)]]="Very Low", 4, Table9[[#This Row],[Sea Level Rise Risk Index (10%)]]="Moderate &amp; Low", 2, TRUE, 0)</f>
        <v>4</v>
      </c>
      <c r="DN99" s="280">
        <f>Table9[[#This Row],[Sea Level Rise  Risk Index Score]]*'Detailed Rubric V3'!$L$104</f>
        <v>0.4</v>
      </c>
      <c r="DO99" s="280" t="s">
        <v>419</v>
      </c>
      <c r="DP99" s="280" cm="1">
        <f t="array" ref="DP99">_xlfn.IFS(Table9[[#This Row],[Cyclone Risk Index (10%)]]="", 0, Table9[[#This Row],[Cyclone Risk Index (10%)]]="Very Low", 4, Table9[[#This Row],[Cyclone Risk Index (10%)]]="Moderate &amp; Low", 2, TRUE, 0)</f>
        <v>2</v>
      </c>
      <c r="DQ99" s="280">
        <f>Table9[[#This Row],[Cyclone Risk Index Score]]*'Detailed Rubric V3'!$O$104</f>
        <v>0.2</v>
      </c>
      <c r="DR99" s="280" t="s">
        <v>428</v>
      </c>
      <c r="DS99" s="280" cm="1">
        <f t="array" ref="DS99">_xlfn.IFS(Table9[[#This Row],[Storm Surge Risk Index (10%)]]="", 0, Table9[[#This Row],[Storm Surge Risk Index (10%)]]="Very Low", 4, Table9[[#This Row],[Storm Surge Risk Index (10%)]]="Moderate &amp; Low", 2, TRUE, 0)</f>
        <v>4</v>
      </c>
      <c r="DT99" s="280">
        <f>Table9[[#This Row],[Storm Surge Risk Index Score]]*'Detailed Rubric V3'!$R$104</f>
        <v>0.4</v>
      </c>
      <c r="DU99"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99" s="309">
        <f>SUM(Table9[[#This Row],[2.1. Connectivity/ Logistics (10% weightage)]],Table9[[#This Row],[2.2. Utility (12% weightage)]],Table9[[#This Row],[2.3. Agglomeration effects (10% weightage)]],Table9[[#This Row],[2.4. Regional Policy (4% weightage)]],Table9[[#This Row],[2.5. Social (8% weightage)]],Table9[[#This Row],[2.6. Environment (6% weightage)]])</f>
        <v>0.10800000000000001</v>
      </c>
      <c r="DW99" s="280">
        <f>_xlfn.RANK.EQ(Table9[[#This Row],[Level 2 Score]],$DV$3:$DV$103)</f>
        <v>64</v>
      </c>
      <c r="DX99" s="302">
        <f>Table9[[#This Row],[Level 1 Score]]+Table9[[#This Row],[Level 2 Score]]</f>
        <v>0.16800000000000001</v>
      </c>
      <c r="DY99" s="294">
        <f>_xlfn.RANK.EQ(Table9[[#This Row],[Total Score]],$DX$3:$DX$103)</f>
        <v>97</v>
      </c>
      <c r="DZ99" s="237" t="str">
        <f>IF(Table9[[#This Row],[Count of Blanks]]&lt;=2, "Yes", "No")</f>
        <v>No</v>
      </c>
      <c r="EA99" s="237">
        <f>COUNTBLANK(Table9[[#This Row],[Name]:[Total Score Rank]])</f>
        <v>23</v>
      </c>
      <c r="EB99" s="237"/>
    </row>
    <row r="100" spans="2:132" ht="27" x14ac:dyDescent="0.25">
      <c r="B100" s="220">
        <v>50</v>
      </c>
      <c r="C100" s="221" t="s">
        <v>248</v>
      </c>
      <c r="D100" s="220" t="s">
        <v>113</v>
      </c>
      <c r="E100" s="220" t="s">
        <v>113</v>
      </c>
      <c r="F100" s="220" t="s">
        <v>249</v>
      </c>
      <c r="G100" s="220" t="s">
        <v>70</v>
      </c>
      <c r="H100" s="525" t="s">
        <v>430</v>
      </c>
      <c r="I100" s="70" t="s">
        <v>458</v>
      </c>
      <c r="J100" s="227" t="s">
        <v>444</v>
      </c>
      <c r="K100" s="220">
        <f>IFERROR(VLOOKUP(Table9[[#This Row],[Land Availability (Grade)​
(50%)]],'Detailed Rubric V3'!$B$8:$C$11,2), 0)</f>
        <v>0</v>
      </c>
      <c r="L100" s="220">
        <f>IFERROR(Table9[[#This Row],[Land Availability (Grade)​ Score]]*'Detailed Rubric V3'!$C$6, "")</f>
        <v>0</v>
      </c>
      <c r="M100" s="222">
        <v>360</v>
      </c>
      <c r="N100" s="222" cm="1">
        <f t="array" ref="N100">_xlfn.IFS(Table9[[#This Row],[Land Size (Acres)
(15%)]]&lt;100,0,Table9[[#This Row],[Land Size (Acres)
(15%)]]&gt;500,4,TRUE,2)</f>
        <v>2</v>
      </c>
      <c r="O100" s="222">
        <f>Table9[[#This Row],[Land Size (Acres) Score]]*'Detailed Rubric V3'!$G$6</f>
        <v>0.3</v>
      </c>
      <c r="P100" s="526"/>
      <c r="Q100" s="526">
        <f>IFERROR(Table9[[#This Row],[Site Filling Cost (Mn BDT)]]/Table9[[#This Row],[Land Size (Acres)
(15%)]],"")</f>
        <v>0</v>
      </c>
      <c r="R100" s="526" cm="1">
        <f t="array" ref="R100">IF(Table9[[#This Row],[Name]]="Sitakundo Economic Zone", 4, _xlfn.IFS(Table9[[#This Row],[Site Filling Cost (Mn BDT)]]="",0,Table9[[#This Row],[Land Suitability
(Cost of Land Filling in Million BDT per acre)
(25%)]]&gt;5,0,Table9[[#This Row],[Land Suitability
(Cost of Land Filling in Million BDT per acre)
(25%)]]&lt;2,4,TRUE,2))</f>
        <v>0</v>
      </c>
      <c r="S100" s="526">
        <f>Table9[[#This Row],[Land Suitability for Construction Score]]*'Detailed Rubric V3'!$J$6</f>
        <v>0</v>
      </c>
      <c r="T100" s="526"/>
      <c r="U100" s="526">
        <f>IFERROR(Table9[[#This Row],[Embankment/Dyke Cost (Mn BDT)]]/Table9[[#This Row],[Land Size (Acres)
(15%)]], 0)</f>
        <v>0</v>
      </c>
      <c r="V100" s="526" cm="1">
        <f t="array" ref="V100">IF(Table9[[#This Row],[Name]]="Sitakundo Economic Zone", 2, _xlfn.IFS(Table9[[#This Row],[Embankment/Dyke Cost (Mn BDT)]]="",0,Table9[[#This Row],[Cost of DRRI Infrastructure in million BDT per acre
(10%)]]&gt;5,0,Table9[[#This Row],[Cost of DRRI Infrastructure in million BDT per acre
(10%)]]&lt;2,4,TRUE,2))</f>
        <v>0</v>
      </c>
      <c r="W100" s="526">
        <f>Table9[[#This Row],[Requirement for Distaster Risk Reduction &amp; Resilience Infrastructure Score]]*'Detailed Rubric V3'!$M$6</f>
        <v>0</v>
      </c>
      <c r="X100"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0.06</v>
      </c>
      <c r="Y100" s="227" t="s">
        <v>436</v>
      </c>
      <c r="Z100" s="583">
        <f>IFERROR(VLOOKUP(Table9[[#This Row],[Zone Priority
(40%)]],'Detailed Rubric V3'!$B$18:$C$21, 2,FALSE), 0)</f>
        <v>0</v>
      </c>
      <c r="AA100" s="583">
        <f>IFERROR(Table9[[#This Row],[Zone Priority Score]]*'Detailed Rubric V3'!$C$16, 0)</f>
        <v>0</v>
      </c>
      <c r="AB100" s="584" t="s">
        <v>441</v>
      </c>
      <c r="AC100" s="584">
        <f>VLOOKUP(Table9[[#This Row],[Existing BEZA Report
(60%)]],'Detailed Rubric V3'!$E$18:$F$20,2,FALSE)</f>
        <v>0</v>
      </c>
      <c r="AD100" s="584">
        <f>Table9[[#This Row],[Existing BEZA Report Score]]*'Detailed Rubric V3'!F$16</f>
        <v>0</v>
      </c>
      <c r="AE100" s="237">
        <f>(Table9[[#This Row],[Zone Priority Weighted Score]]+Table9[[#This Row],[Existing BEZA Report Weighted Score]])*'Detailed Rubric V3'!$C$14</f>
        <v>0</v>
      </c>
      <c r="AF100" s="528">
        <v>1</v>
      </c>
      <c r="AG100" s="585" cm="1">
        <f t="array" ref="AG100">_xlfn.IFS(Table9[[#This Row],[Existing Sectors
(50%)]]&gt;10, 4,Table9[[#This Row],[Existing Sectors
(50%)]]&lt;5, 0, TRUE, 2)</f>
        <v>0</v>
      </c>
      <c r="AH100" s="585">
        <f>Table9[[#This Row],[Existing Sectors Score]]*'Detailed Rubric V3'!$C$25</f>
        <v>0</v>
      </c>
      <c r="AI100" s="585">
        <v>2</v>
      </c>
      <c r="AJ100" s="585">
        <v>1</v>
      </c>
      <c r="AK100" s="585" cm="1">
        <f t="array" ref="AK100">_xlfn.IFS(Table9[[#This Row],[Potential New Sectors
(50%)]]&gt;5, 4, Table9[[#This Row],[Potential New Sectors
(50%)]]&lt;2,0, TRUE, 2)</f>
        <v>0</v>
      </c>
      <c r="AL100" s="585">
        <f>Table9[[#This Row],[Potential New Sectors Score]]*'Detailed Rubric V3'!$F$25</f>
        <v>0</v>
      </c>
      <c r="AM100" s="586">
        <f>(Table9[[#This Row],[Existing Sectors Weighted Score]]+Table9[[#This Row],[Potential New Sectors Weighted Score]])*'Detailed Rubric V3'!$C$23</f>
        <v>0</v>
      </c>
      <c r="AN100" s="530">
        <f>SUM(Table9[[#This Row],[1.1. Land Details (20% weightage)]],Table9[[#This Row],[1.2. BEZA Existing plans (15% weightage)]],Table9[[#This Row],[1.3. Sector Demand (15% weightage):]])</f>
        <v>0.06</v>
      </c>
      <c r="AO100" s="531">
        <f>_xlfn.RANK.EQ(Table9[[#This Row],[Level 1 Score]],$AN$3:$AN$103)</f>
        <v>94</v>
      </c>
      <c r="AP100" s="280"/>
      <c r="AQ100" s="280" cm="1">
        <f t="array" ref="AQ100">_xlfn.IFS(Table9[[#This Row],[National Highway Connectivity (km)
(15%)]]="", 0, Table9[[#This Row],[National Highway Connectivity (km)
(15%)]]&gt;50, 0, Table9[[#This Row],[National Highway Connectivity (km)
(15%)]]&lt;=25, 4, TRUE, 2)</f>
        <v>0</v>
      </c>
      <c r="AR100" s="280">
        <f>Table9[[#This Row],[National Highway Connectivity Score]]*'Detailed Rubric V3'!$C$35</f>
        <v>0</v>
      </c>
      <c r="AS100" s="280"/>
      <c r="AT100" s="280" cm="1">
        <f t="array" ref="AT100">_xlfn.IFS(Table9[[#This Row],[Connecting Road to Highway (km)
(15%)]]="", 0, Table9[[#This Row],[Connecting Road to Highway (km)
(15%)]]="Yes", 4, TRUE, 0)</f>
        <v>0</v>
      </c>
      <c r="AU100" s="280">
        <f>Table9[[#This Row],[Connecting Road to Highway Score]]*'Detailed Rubric V3'!$F$35</f>
        <v>0</v>
      </c>
      <c r="AV100" s="280"/>
      <c r="AW100" s="280" cm="1">
        <f t="array" ref="AW100">_xlfn.IFS(Table9[[#This Row],[Seaport Connectivity (km)
(30%)]]="",0, Table9[[#This Row],[Seaport Connectivity (km)
(30%)]]&gt;400, 0,Table9[[#This Row],[Seaport Connectivity (km)
(30%)]]&lt;=200,4, TRUE, 2)</f>
        <v>0</v>
      </c>
      <c r="AX100" s="280">
        <f>Table9[[#This Row],[Seaport Connectivity Score]]*'Detailed Rubric V3'!$I$35</f>
        <v>0</v>
      </c>
      <c r="AY100" s="280"/>
      <c r="AZ100" s="280" cm="1">
        <f t="array" ref="AZ100">_xlfn.IFS(Table9[[#This Row],[Airport Connectivity (km)
(10%)]]="", 0, Table9[[#This Row],[Airport Connectivity (km)
(10%)]]&gt;200, 0, Table9[[#This Row],[Airport Connectivity (km)
(10%)]]&lt;=100,4,TRUE, 2)</f>
        <v>0</v>
      </c>
      <c r="BA100" s="280">
        <f>Table9[[#This Row],[Airport Connectivity Score]]*'Detailed Rubric V3'!$C$41</f>
        <v>0</v>
      </c>
      <c r="BB100" s="280"/>
      <c r="BC100" s="280" cm="1">
        <f t="array" ref="BC100">_xlfn.IFS(Table9[[#This Row],[Railway Station (km)
(10%)]]="", 0, Table9[[#This Row],[Railway Station (km)
(10%)]]&gt;150, 0,Table9[[#This Row],[Railway Station (km)
(10%)]]&lt;=50,4, TRUE, 2)</f>
        <v>0</v>
      </c>
      <c r="BD100" s="280">
        <f>Table9[[#This Row],[Railway Station Score]]*'Detailed Rubric V3'!$F$41</f>
        <v>0</v>
      </c>
      <c r="BE100" s="280"/>
      <c r="BF100" s="280" cm="1">
        <f t="array" ref="BF100">_xlfn.IFS(Table9[[#This Row],[Inland waterway/ Land port (km)
(20%)]]="", 0, Table9[[#This Row],[Inland waterway/ Land port (km)
(20%)]]&gt;200, 0,Table9[[#This Row],[Inland waterway/ Land port (km)
(20%)]]&lt;=50,4, TRUE, 2)</f>
        <v>0</v>
      </c>
      <c r="BG100" s="280">
        <f>Table9[[#This Row],[Inland waterway/ Land port Score]]*'Detailed Rubric V3'!$I$41</f>
        <v>0</v>
      </c>
      <c r="BH100"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100" s="280"/>
      <c r="BJ100" s="280" cm="1">
        <f t="array" ref="BJ100">_xlfn.IFS(Table9[[#This Row],[Power Station (40%)]]="",0, Table9[[#This Row],[Power Station (40%)]]&gt;100, 0,Table9[[#This Row],[Power Station (40%)]]&lt;=50,4, TRUE, 2)</f>
        <v>0</v>
      </c>
      <c r="BK100" s="280">
        <f>Table9[[#This Row],[Power Station Score]]*'Detailed Rubric V3'!$C$53</f>
        <v>0</v>
      </c>
      <c r="BL100" s="280"/>
      <c r="BM100" s="280" cm="1">
        <f t="array" ref="BM100">IF(ISNUMBER(Table9[[#This Row],[Gas Station (20%)]]), _xlfn.IFS(Table9[[#This Row],[Gas Station (20%)]]="", 0, Table9[[#This Row],[Gas Station (20%)]]&gt;100, 0,Table9[[#This Row],[Gas Station (20%)]]&lt;=50,4, TRUE, 2), 0)</f>
        <v>0</v>
      </c>
      <c r="BN100" s="280">
        <f>Table9[[#This Row],[Gas Station Score]]*'Detailed Rubric V3'!$F$53</f>
        <v>0</v>
      </c>
      <c r="BO100" s="280"/>
      <c r="BP100" s="280" cm="1">
        <f t="array" ref="BP100">IF(ISNUMBER(Table9[[#This Row],[Source of Surface Water (40%)]]), _xlfn.IFS(Table9[[#This Row],[Source of Surface Water (40%)]]="", 0, Table9[[#This Row],[Source of Surface Water (40%)]]&gt;50, 0,Table9[[#This Row],[Source of Surface Water (40%)]]&lt;=20,4, TRUE, 2), 0)</f>
        <v>0</v>
      </c>
      <c r="BQ100" s="280">
        <f>Table9[[#This Row],[Source of Surface Water Score]]*'Detailed Rubric V3'!$I$53</f>
        <v>0</v>
      </c>
      <c r="BR100" s="280">
        <f>SUM(Table9[[#This Row],[Power Station Weighted Score]],Table9[[#This Row],[Gas Station Weighted Score]],Table9[[#This Row],[Source of Surface Water Weighted Score]])*'Detailed Rubric V3'!$C$51</f>
        <v>0</v>
      </c>
      <c r="BS100" s="280"/>
      <c r="BT100" s="280" cm="1">
        <f t="array" ref="BT100">_xlfn.IFS(Table9[[#This Row],[Other BEZA EZ (20%)]]="", 0, Table9[[#This Row],[Other BEZA EZ (20%)]]="Yes", 4, TRUE, 0)</f>
        <v>0</v>
      </c>
      <c r="BU100" s="280">
        <f>Table9[[#This Row],[Other BEZA EZ Score]]*'Detailed Rubric V3'!$C$66</f>
        <v>0</v>
      </c>
      <c r="BV100" s="280"/>
      <c r="BW100" s="280" cm="1">
        <f t="array" ref="BW100">_xlfn.IFS(Table9[[#This Row],[BEPZA/ BHPTA/ BSCIC (20%)]]="", 0, Table9[[#This Row],[BEPZA/ BHPTA/ BSCIC (20%)]]="Yes", 4, TRUE, 0)</f>
        <v>0</v>
      </c>
      <c r="BX100" s="280">
        <f>Table9[[#This Row],[BEPZA/ BHPTA/ BSCIC Score]]*'Detailed Rubric V3'!$F$66</f>
        <v>0</v>
      </c>
      <c r="BY100" s="280"/>
      <c r="BZ100" s="280" cm="1">
        <f t="array" ref="BZ100">_xlfn.IFS(Table9[[#This Row],[Cluster Industries (from SMI) (20%)]]="", 0, Table9[[#This Row],[Cluster Industries (from SMI) (20%)]]&gt;100, 4, Table9[[#This Row],[Cluster Industries (from SMI) (20%)]]&lt;50, 0, TRUE, 2)</f>
        <v>0</v>
      </c>
      <c r="CA100" s="280">
        <f>Table9[[#This Row],[Cluster Industries (from SMI) Score]]*'Detailed Rubric V3'!$I$66</f>
        <v>0</v>
      </c>
      <c r="CB100" s="280"/>
      <c r="CC100" s="280" cm="1">
        <f t="array" ref="CC100">_xlfn.IFS(Table9[[#This Row],[Located on Industrial corridor (40%)]]="", 0, Table9[[#This Row],[Located on Industrial corridor (40%)]]="Yes", 4, TRUE, 0)</f>
        <v>0</v>
      </c>
      <c r="CD100" s="280">
        <f>Table9[[#This Row],[Located on Industrial corridor Score]]*'Detailed Rubric V3'!$L$66</f>
        <v>0</v>
      </c>
      <c r="CE100" s="280">
        <f>SUM(Table9[[#This Row],[Other BEZA EZ Weighted Score]],Table9[[#This Row],[BEPZA/ BHPTA/ BSCIC Weighted Score]],Table9[[#This Row],[Unorganized (from SMI) Weighted Score]],Table9[[#This Row],[Located on Industrial corridor Weighted Score]])*'Detailed Rubric V3'!$C$64</f>
        <v>0</v>
      </c>
      <c r="CF100" s="280"/>
      <c r="CG100" s="280" cm="1">
        <f t="array" ref="CG100">_xlfn.IFS(Table9[[#This Row],[Economic/ Social priority (laggered area) (100%)]]="", 0, Table9[[#This Row],[Economic/ Social priority (laggered area) (100%)]]="Yes", 4, TRUE, 0)</f>
        <v>0</v>
      </c>
      <c r="CH100" s="280">
        <f>Table9[[#This Row],[Economic/ Social priority (laggered area) Score]]*'Detailed Rubric V3'!$C$82</f>
        <v>0</v>
      </c>
      <c r="CI100" s="280"/>
      <c r="CJ100" s="280" cm="1">
        <f t="array" ref="CJ100">_xlfn.IFS(Table9[[#This Row],[Regional Tax incentive  (0%)]]="", 0, Table9[[#This Row],[Regional Tax incentive  (0%)]]="Yes", 4, TRUE, 0)</f>
        <v>0</v>
      </c>
      <c r="CK100" s="280">
        <f>Table9[[#This Row],[Regional Tax incentive Score]]*'Detailed Rubric V3'!$F$82</f>
        <v>0</v>
      </c>
      <c r="CL100" s="280">
        <f>SUM(Table9[[#This Row],[Economic/ Social priority (laagered area) Weighted Score]],Table9[[#This Row],[Regional Tax incentive  Weighted Score]])*'Detailed Rubric V3'!$C$80</f>
        <v>0</v>
      </c>
      <c r="CM100" s="280"/>
      <c r="CN100" s="280" cm="1">
        <f t="array" ref="CN100">_xlfn.IFS(Table9[[#This Row],[Employable population (40%) 2013]]="", 0, Table9[[#This Row],[Employable population (40%) 2013]]&gt;200000, 4, Table9[[#This Row],[Employable population (40%) 2013]]&lt;100000,0, TRUE, 2)</f>
        <v>0</v>
      </c>
      <c r="CO100" s="280">
        <f>Table9[[#This Row],[Employable population Score]]*'Detailed Rubric V3'!$C$92</f>
        <v>0</v>
      </c>
      <c r="CP100" s="280"/>
      <c r="CQ100" s="280" cm="1">
        <f t="array" ref="CQ100">_xlfn.IFS(Table9[[#This Row],[Housing (20%)]]="", 0, Table9[[#This Row],[Housing (20%)]]&gt;50, 0, Table9[[#This Row],[Housing (20%)]]&lt;25, 4, TRUE, 2)</f>
        <v>0</v>
      </c>
      <c r="CR100" s="280">
        <f>Table9[[#This Row],[Housing Score]]*'Detailed Rubric V3'!$F$92</f>
        <v>0</v>
      </c>
      <c r="CS100" s="280"/>
      <c r="CT100" s="280" cm="1">
        <f t="array" ref="CT100">_xlfn.IFS(Table9[[#This Row],[Hotels (10%)]]="", 0, Table9[[#This Row],[Hotels (10%)]]&gt;25, 4, Table9[[#This Row],[Hotels (10%)]]&lt;5, 0, TRUE, 2)</f>
        <v>0</v>
      </c>
      <c r="CU100" s="280">
        <f>Table9[[#This Row],[Hotels Score]]*'Detailed Rubric V3'!$I$92</f>
        <v>0</v>
      </c>
      <c r="CV100" s="280"/>
      <c r="CW100" s="280" cm="1">
        <f t="array" ref="CW100">_xlfn.IFS(Table9[[#This Row],[Health (Hospital) (15%)]]="", 0, Table9[[#This Row],[Health (Hospital) (15%)]]&gt;10, 4, Table9[[#This Row],[Health (Hospital) (15%)]]&lt;5, 0, TRUE, 2)</f>
        <v>0</v>
      </c>
      <c r="CX100" s="280">
        <f>Table9[[#This Row],[Health (Hospital) Score]]*'Detailed Rubric V3'!$L$92</f>
        <v>0</v>
      </c>
      <c r="CY100" s="280"/>
      <c r="CZ100" s="280" cm="1">
        <f t="array" ref="CZ100">_xlfn.IFS(Table9[[#This Row],[University/ Technical &amp; Vocational Institutions (15%)]]="", 0, Table9[[#This Row],[University/ Technical &amp; Vocational Institutions (15%)]]&gt;3, 4, Table9[[#This Row],[University/ Technical &amp; Vocational Institutions (15%)]]&lt;1, 0, TRUE, 2)</f>
        <v>0</v>
      </c>
      <c r="DA100" s="280">
        <f>Table9[[#This Row],[University/ Technical &amp; Vocational Institutions Score]]*'Detailed Rubric V3'!$O$92</f>
        <v>0</v>
      </c>
      <c r="DB100"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100" s="280"/>
      <c r="DD100" s="280" cm="1">
        <f t="array" ref="DD100">_xlfn.IFS(Table9[[#This Row],[Environment compliance (30%)]]="", 0, Table9[[#This Row],[Environment compliance (30%)]]="Yes", 4, TRUE, 0)</f>
        <v>0</v>
      </c>
      <c r="DE100" s="280">
        <f>Table9[[#This Row],[Environment compliance Score]]*'Detailed Rubric V3'!$C$104</f>
        <v>0</v>
      </c>
      <c r="DF100" s="280" t="s">
        <v>421</v>
      </c>
      <c r="DG100" s="280" cm="1">
        <f t="array" ref="DG100">_xlfn.IFS(Table9[[#This Row],[Flood Risk Index (30%)]]="", 0, Table9[[#This Row],[Flood Risk Index (30%)]]="Very Low", 4, Table9[[#This Row],[Flood Risk Index (30%)]]="Moderate &amp; Low", 2, TRUE, 0)</f>
        <v>0</v>
      </c>
      <c r="DH100" s="280">
        <f>Table9[[#This Row],[Flood Risk Index Score]]*'Detailed Rubric V3'!$F$104</f>
        <v>0</v>
      </c>
      <c r="DI100" s="280" t="s">
        <v>421</v>
      </c>
      <c r="DJ100" s="280" cm="1">
        <f t="array" ref="DJ100">_xlfn.IFS(Table9[[#This Row],[Earth Quake Risk Index (10%)]]="", 0, Table9[[#This Row],[Earth Quake Risk Index (10%)]]="Very Low", 4, Table9[[#This Row],[Earth Quake Risk Index (10%)]]="Moderate &amp; Low", 2, TRUE, 0)</f>
        <v>0</v>
      </c>
      <c r="DK100" s="280">
        <f>Table9[[#This Row],[Earth Quake Risk Index Score]]*'Detailed Rubric V3'!$I$104</f>
        <v>0</v>
      </c>
      <c r="DL100" s="280" t="s">
        <v>428</v>
      </c>
      <c r="DM100" s="280" cm="1">
        <f t="array" ref="DM100">_xlfn.IFS(Table9[[#This Row],[Sea Level Rise Risk Index (10%)]]="", 0, Table9[[#This Row],[Sea Level Rise Risk Index (10%)]]="Very Low", 4, Table9[[#This Row],[Sea Level Rise Risk Index (10%)]]="Moderate &amp; Low", 2, TRUE, 0)</f>
        <v>4</v>
      </c>
      <c r="DN100" s="280">
        <f>Table9[[#This Row],[Sea Level Rise  Risk Index Score]]*'Detailed Rubric V3'!$L$104</f>
        <v>0.4</v>
      </c>
      <c r="DO100" s="280" t="s">
        <v>428</v>
      </c>
      <c r="DP100" s="280" cm="1">
        <f t="array" ref="DP100">_xlfn.IFS(Table9[[#This Row],[Cyclone Risk Index (10%)]]="", 0, Table9[[#This Row],[Cyclone Risk Index (10%)]]="Very Low", 4, Table9[[#This Row],[Cyclone Risk Index (10%)]]="Moderate &amp; Low", 2, TRUE, 0)</f>
        <v>4</v>
      </c>
      <c r="DQ100" s="280">
        <f>Table9[[#This Row],[Cyclone Risk Index Score]]*'Detailed Rubric V3'!$O$104</f>
        <v>0.4</v>
      </c>
      <c r="DR100" s="280" t="s">
        <v>428</v>
      </c>
      <c r="DS100" s="280" cm="1">
        <f t="array" ref="DS100">_xlfn.IFS(Table9[[#This Row],[Storm Surge Risk Index (10%)]]="", 0, Table9[[#This Row],[Storm Surge Risk Index (10%)]]="Very Low", 4, Table9[[#This Row],[Storm Surge Risk Index (10%)]]="Moderate &amp; Low", 2, TRUE, 0)</f>
        <v>4</v>
      </c>
      <c r="DT100" s="280">
        <f>Table9[[#This Row],[Storm Surge Risk Index Score]]*'Detailed Rubric V3'!$R$104</f>
        <v>0.4</v>
      </c>
      <c r="DU100"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7.2000000000000008E-2</v>
      </c>
      <c r="DV100" s="309">
        <f>SUM(Table9[[#This Row],[2.1. Connectivity/ Logistics (10% weightage)]],Table9[[#This Row],[2.2. Utility (12% weightage)]],Table9[[#This Row],[2.3. Agglomeration effects (10% weightage)]],Table9[[#This Row],[2.4. Regional Policy (4% weightage)]],Table9[[#This Row],[2.5. Social (8% weightage)]],Table9[[#This Row],[2.6. Environment (6% weightage)]])</f>
        <v>7.2000000000000008E-2</v>
      </c>
      <c r="DW100" s="280">
        <f>_xlfn.RANK.EQ(Table9[[#This Row],[Level 2 Score]],$DV$3:$DV$103)</f>
        <v>78</v>
      </c>
      <c r="DX100" s="302">
        <f>Table9[[#This Row],[Level 1 Score]]+Table9[[#This Row],[Level 2 Score]]</f>
        <v>0.13200000000000001</v>
      </c>
      <c r="DY100" s="294">
        <f>_xlfn.RANK.EQ(Table9[[#This Row],[Total Score]],$DX$3:$DX$103)</f>
        <v>98</v>
      </c>
      <c r="DZ100" s="237" t="str">
        <f>IF(Table9[[#This Row],[Count of Blanks]]&lt;=2, "Yes", "No")</f>
        <v>No</v>
      </c>
      <c r="EA100" s="237">
        <f>COUNTBLANK(Table9[[#This Row],[Name]:[Total Score Rank]])</f>
        <v>23</v>
      </c>
      <c r="EB100" s="237"/>
    </row>
    <row r="101" spans="2:132" ht="27" x14ac:dyDescent="0.25">
      <c r="B101" s="220">
        <v>86</v>
      </c>
      <c r="C101" s="221" t="s">
        <v>213</v>
      </c>
      <c r="D101" s="220" t="s">
        <v>84</v>
      </c>
      <c r="E101" s="220" t="s">
        <v>97</v>
      </c>
      <c r="F101" s="220" t="s">
        <v>214</v>
      </c>
      <c r="G101" s="220" t="s">
        <v>92</v>
      </c>
      <c r="H101" s="525" t="s">
        <v>430</v>
      </c>
      <c r="I101" s="70" t="s">
        <v>455</v>
      </c>
      <c r="J101" s="227" t="s">
        <v>444</v>
      </c>
      <c r="K101" s="220">
        <f>IFERROR(VLOOKUP(Table9[[#This Row],[Land Availability (Grade)​
(50%)]],'Detailed Rubric V3'!$B$8:$C$11,2), 0)</f>
        <v>0</v>
      </c>
      <c r="L101" s="220">
        <f>IFERROR(Table9[[#This Row],[Land Availability (Grade)​ Score]]*'Detailed Rubric V3'!$C$6, "")</f>
        <v>0</v>
      </c>
      <c r="M101" s="222">
        <v>80.650000000000006</v>
      </c>
      <c r="N101" s="222" cm="1">
        <f t="array" ref="N101">_xlfn.IFS(Table9[[#This Row],[Land Size (Acres)
(15%)]]&lt;100,0,Table9[[#This Row],[Land Size (Acres)
(15%)]]&gt;500,4,TRUE,2)</f>
        <v>0</v>
      </c>
      <c r="O101" s="222">
        <f>Table9[[#This Row],[Land Size (Acres) Score]]*'Detailed Rubric V3'!$G$6</f>
        <v>0</v>
      </c>
      <c r="P101" s="526"/>
      <c r="Q101" s="526">
        <f>IFERROR(Table9[[#This Row],[Site Filling Cost (Mn BDT)]]/Table9[[#This Row],[Land Size (Acres)
(15%)]],"")</f>
        <v>0</v>
      </c>
      <c r="R101" s="526" cm="1">
        <f t="array" ref="R101">IF(Table9[[#This Row],[Name]]="Sitakundo Economic Zone", 4, _xlfn.IFS(Table9[[#This Row],[Site Filling Cost (Mn BDT)]]="",0,Table9[[#This Row],[Land Suitability
(Cost of Land Filling in Million BDT per acre)
(25%)]]&gt;5,0,Table9[[#This Row],[Land Suitability
(Cost of Land Filling in Million BDT per acre)
(25%)]]&lt;2,4,TRUE,2))</f>
        <v>0</v>
      </c>
      <c r="S101" s="526">
        <f>Table9[[#This Row],[Land Suitability for Construction Score]]*'Detailed Rubric V3'!$J$6</f>
        <v>0</v>
      </c>
      <c r="T101" s="526"/>
      <c r="U101" s="526">
        <f>IFERROR(Table9[[#This Row],[Embankment/Dyke Cost (Mn BDT)]]/Table9[[#This Row],[Land Size (Acres)
(15%)]], 0)</f>
        <v>0</v>
      </c>
      <c r="V101" s="526" cm="1">
        <f t="array" ref="V101">IF(Table9[[#This Row],[Name]]="Sitakundo Economic Zone", 2, _xlfn.IFS(Table9[[#This Row],[Embankment/Dyke Cost (Mn BDT)]]="",0,Table9[[#This Row],[Cost of DRRI Infrastructure in million BDT per acre
(10%)]]&gt;5,0,Table9[[#This Row],[Cost of DRRI Infrastructure in million BDT per acre
(10%)]]&lt;2,4,TRUE,2))</f>
        <v>0</v>
      </c>
      <c r="W101" s="526">
        <f>Table9[[#This Row],[Requirement for Distaster Risk Reduction &amp; Resilience Infrastructure Score]]*'Detailed Rubric V3'!$M$6</f>
        <v>0</v>
      </c>
      <c r="X101" s="527">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v>
      </c>
      <c r="Y101" s="227" t="s">
        <v>440</v>
      </c>
      <c r="Z101" s="210">
        <f>IFERROR(VLOOKUP(Table9[[#This Row],[Zone Priority
(40%)]],'Detailed Rubric V3'!$B$18:$C$21, 2,FALSE), 0)</f>
        <v>4</v>
      </c>
      <c r="AA101" s="210">
        <f>IFERROR(Table9[[#This Row],[Zone Priority Score]]*'Detailed Rubric V3'!$C$16, 0)</f>
        <v>0</v>
      </c>
      <c r="AB101" s="237" t="s">
        <v>441</v>
      </c>
      <c r="AC101" s="237">
        <f>VLOOKUP(Table9[[#This Row],[Existing BEZA Report
(60%)]],'Detailed Rubric V3'!$E$18:$F$20,2,FALSE)</f>
        <v>0</v>
      </c>
      <c r="AD101" s="237">
        <f>Table9[[#This Row],[Existing BEZA Report Score]]*'Detailed Rubric V3'!F$16</f>
        <v>0</v>
      </c>
      <c r="AE101" s="237">
        <f>(Table9[[#This Row],[Zone Priority Weighted Score]]+Table9[[#This Row],[Existing BEZA Report Weighted Score]])*'Detailed Rubric V3'!$C$14</f>
        <v>0</v>
      </c>
      <c r="AF101" s="528">
        <v>0</v>
      </c>
      <c r="AG101" s="529" cm="1">
        <f t="array" ref="AG101">_xlfn.IFS(Table9[[#This Row],[Existing Sectors
(50%)]]&gt;10, 4,Table9[[#This Row],[Existing Sectors
(50%)]]&lt;5, 0, TRUE, 2)</f>
        <v>0</v>
      </c>
      <c r="AH101" s="529">
        <f>Table9[[#This Row],[Existing Sectors Score]]*'Detailed Rubric V3'!$C$25</f>
        <v>0</v>
      </c>
      <c r="AI101" s="529">
        <v>1</v>
      </c>
      <c r="AJ101" s="529">
        <v>1</v>
      </c>
      <c r="AK101" s="529" cm="1">
        <f t="array" ref="AK101">_xlfn.IFS(Table9[[#This Row],[Potential New Sectors
(50%)]]&gt;5, 4, Table9[[#This Row],[Potential New Sectors
(50%)]]&lt;2,0, TRUE, 2)</f>
        <v>0</v>
      </c>
      <c r="AL101" s="529">
        <f>Table9[[#This Row],[Potential New Sectors Score]]*'Detailed Rubric V3'!$F$25</f>
        <v>0</v>
      </c>
      <c r="AM101" s="232">
        <f>(Table9[[#This Row],[Existing Sectors Weighted Score]]+Table9[[#This Row],[Potential New Sectors Weighted Score]])*'Detailed Rubric V3'!$C$23</f>
        <v>0</v>
      </c>
      <c r="AN101" s="530">
        <f>SUM(Table9[[#This Row],[1.1. Land Details (20% weightage)]],Table9[[#This Row],[1.2. BEZA Existing plans (15% weightage)]],Table9[[#This Row],[1.3. Sector Demand (15% weightage):]])</f>
        <v>0</v>
      </c>
      <c r="AO101" s="531">
        <f>_xlfn.RANK.EQ(Table9[[#This Row],[Level 1 Score]],$AN$3:$AN$103)</f>
        <v>99</v>
      </c>
      <c r="AP101" s="280"/>
      <c r="AQ101" s="280" cm="1">
        <f t="array" ref="AQ101">_xlfn.IFS(Table9[[#This Row],[National Highway Connectivity (km)
(15%)]]="", 0, Table9[[#This Row],[National Highway Connectivity (km)
(15%)]]&gt;50, 0, Table9[[#This Row],[National Highway Connectivity (km)
(15%)]]&lt;=25, 4, TRUE, 2)</f>
        <v>0</v>
      </c>
      <c r="AR101" s="280">
        <f>Table9[[#This Row],[National Highway Connectivity Score]]*'Detailed Rubric V3'!$C$35</f>
        <v>0</v>
      </c>
      <c r="AS101" s="280"/>
      <c r="AT101" s="280" cm="1">
        <f t="array" ref="AT101">_xlfn.IFS(Table9[[#This Row],[Connecting Road to Highway (km)
(15%)]]="", 0, Table9[[#This Row],[Connecting Road to Highway (km)
(15%)]]="Yes", 4, TRUE, 0)</f>
        <v>0</v>
      </c>
      <c r="AU101" s="280">
        <f>Table9[[#This Row],[Connecting Road to Highway Score]]*'Detailed Rubric V3'!$F$35</f>
        <v>0</v>
      </c>
      <c r="AV101" s="280"/>
      <c r="AW101" s="280" cm="1">
        <f t="array" ref="AW101">_xlfn.IFS(Table9[[#This Row],[Seaport Connectivity (km)
(30%)]]="",0, Table9[[#This Row],[Seaport Connectivity (km)
(30%)]]&gt;400, 0,Table9[[#This Row],[Seaport Connectivity (km)
(30%)]]&lt;=200,4, TRUE, 2)</f>
        <v>0</v>
      </c>
      <c r="AX101" s="280">
        <f>Table9[[#This Row],[Seaport Connectivity Score]]*'Detailed Rubric V3'!$I$35</f>
        <v>0</v>
      </c>
      <c r="AY101" s="280"/>
      <c r="AZ101" s="280" cm="1">
        <f t="array" ref="AZ101">_xlfn.IFS(Table9[[#This Row],[Airport Connectivity (km)
(10%)]]="", 0, Table9[[#This Row],[Airport Connectivity (km)
(10%)]]&gt;200, 0, Table9[[#This Row],[Airport Connectivity (km)
(10%)]]&lt;=100,4,TRUE, 2)</f>
        <v>0</v>
      </c>
      <c r="BA101" s="280">
        <f>Table9[[#This Row],[Airport Connectivity Score]]*'Detailed Rubric V3'!$C$41</f>
        <v>0</v>
      </c>
      <c r="BB101" s="280"/>
      <c r="BC101" s="280" cm="1">
        <f t="array" ref="BC101">_xlfn.IFS(Table9[[#This Row],[Railway Station (km)
(10%)]]="", 0, Table9[[#This Row],[Railway Station (km)
(10%)]]&gt;150, 0,Table9[[#This Row],[Railway Station (km)
(10%)]]&lt;=50,4, TRUE, 2)</f>
        <v>0</v>
      </c>
      <c r="BD101" s="280">
        <f>Table9[[#This Row],[Railway Station Score]]*'Detailed Rubric V3'!$F$41</f>
        <v>0</v>
      </c>
      <c r="BE101" s="280"/>
      <c r="BF101" s="280" cm="1">
        <f t="array" ref="BF101">_xlfn.IFS(Table9[[#This Row],[Inland waterway/ Land port (km)
(20%)]]="", 0, Table9[[#This Row],[Inland waterway/ Land port (km)
(20%)]]&gt;200, 0,Table9[[#This Row],[Inland waterway/ Land port (km)
(20%)]]&lt;=50,4, TRUE, 2)</f>
        <v>0</v>
      </c>
      <c r="BG101" s="280">
        <f>Table9[[#This Row],[Inland waterway/ Land port Score]]*'Detailed Rubric V3'!$I$41</f>
        <v>0</v>
      </c>
      <c r="BH101"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101" s="280"/>
      <c r="BJ101" s="280" cm="1">
        <f t="array" ref="BJ101">_xlfn.IFS(Table9[[#This Row],[Power Station (40%)]]="",0, Table9[[#This Row],[Power Station (40%)]]&gt;100, 0,Table9[[#This Row],[Power Station (40%)]]&lt;=50,4, TRUE, 2)</f>
        <v>0</v>
      </c>
      <c r="BK101" s="280">
        <f>Table9[[#This Row],[Power Station Score]]*'Detailed Rubric V3'!$C$53</f>
        <v>0</v>
      </c>
      <c r="BL101" s="280"/>
      <c r="BM101" s="280" cm="1">
        <f t="array" ref="BM101">IF(ISNUMBER(Table9[[#This Row],[Gas Station (20%)]]), _xlfn.IFS(Table9[[#This Row],[Gas Station (20%)]]="", 0, Table9[[#This Row],[Gas Station (20%)]]&gt;100, 0,Table9[[#This Row],[Gas Station (20%)]]&lt;=50,4, TRUE, 2), 0)</f>
        <v>0</v>
      </c>
      <c r="BN101" s="280">
        <f>Table9[[#This Row],[Gas Station Score]]*'Detailed Rubric V3'!$F$53</f>
        <v>0</v>
      </c>
      <c r="BO101" s="280"/>
      <c r="BP101" s="280" cm="1">
        <f t="array" ref="BP101">IF(ISNUMBER(Table9[[#This Row],[Source of Surface Water (40%)]]), _xlfn.IFS(Table9[[#This Row],[Source of Surface Water (40%)]]="", 0, Table9[[#This Row],[Source of Surface Water (40%)]]&gt;50, 0,Table9[[#This Row],[Source of Surface Water (40%)]]&lt;=20,4, TRUE, 2), 0)</f>
        <v>0</v>
      </c>
      <c r="BQ101" s="280">
        <f>Table9[[#This Row],[Source of Surface Water Score]]*'Detailed Rubric V3'!$I$53</f>
        <v>0</v>
      </c>
      <c r="BR101" s="280">
        <f>SUM(Table9[[#This Row],[Power Station Weighted Score]],Table9[[#This Row],[Gas Station Weighted Score]],Table9[[#This Row],[Source of Surface Water Weighted Score]])*'Detailed Rubric V3'!$C$51</f>
        <v>0</v>
      </c>
      <c r="BS101" s="280"/>
      <c r="BT101" s="280" cm="1">
        <f t="array" ref="BT101">_xlfn.IFS(Table9[[#This Row],[Other BEZA EZ (20%)]]="", 0, Table9[[#This Row],[Other BEZA EZ (20%)]]="Yes", 4, TRUE, 0)</f>
        <v>0</v>
      </c>
      <c r="BU101" s="280">
        <f>Table9[[#This Row],[Other BEZA EZ Score]]*'Detailed Rubric V3'!$C$66</f>
        <v>0</v>
      </c>
      <c r="BV101" s="280"/>
      <c r="BW101" s="280" cm="1">
        <f t="array" ref="BW101">_xlfn.IFS(Table9[[#This Row],[BEPZA/ BHPTA/ BSCIC (20%)]]="", 0, Table9[[#This Row],[BEPZA/ BHPTA/ BSCIC (20%)]]="Yes", 4, TRUE, 0)</f>
        <v>0</v>
      </c>
      <c r="BX101" s="280">
        <f>Table9[[#This Row],[BEPZA/ BHPTA/ BSCIC Score]]*'Detailed Rubric V3'!$F$66</f>
        <v>0</v>
      </c>
      <c r="BY101" s="280"/>
      <c r="BZ101" s="280" cm="1">
        <f t="array" ref="BZ101">_xlfn.IFS(Table9[[#This Row],[Cluster Industries (from SMI) (20%)]]="", 0, Table9[[#This Row],[Cluster Industries (from SMI) (20%)]]&gt;100, 4, Table9[[#This Row],[Cluster Industries (from SMI) (20%)]]&lt;50, 0, TRUE, 2)</f>
        <v>0</v>
      </c>
      <c r="CA101" s="280">
        <f>Table9[[#This Row],[Cluster Industries (from SMI) Score]]*'Detailed Rubric V3'!$I$66</f>
        <v>0</v>
      </c>
      <c r="CB101" s="280"/>
      <c r="CC101" s="280" cm="1">
        <f t="array" ref="CC101">_xlfn.IFS(Table9[[#This Row],[Located on Industrial corridor (40%)]]="", 0, Table9[[#This Row],[Located on Industrial corridor (40%)]]="Yes", 4, TRUE, 0)</f>
        <v>0</v>
      </c>
      <c r="CD101" s="280">
        <f>Table9[[#This Row],[Located on Industrial corridor Score]]*'Detailed Rubric V3'!$L$66</f>
        <v>0</v>
      </c>
      <c r="CE101" s="280">
        <f>SUM(Table9[[#This Row],[Other BEZA EZ Weighted Score]],Table9[[#This Row],[BEPZA/ BHPTA/ BSCIC Weighted Score]],Table9[[#This Row],[Unorganized (from SMI) Weighted Score]],Table9[[#This Row],[Located on Industrial corridor Weighted Score]])*'Detailed Rubric V3'!$C$64</f>
        <v>0</v>
      </c>
      <c r="CF101" s="280"/>
      <c r="CG101" s="280" cm="1">
        <f t="array" ref="CG101">_xlfn.IFS(Table9[[#This Row],[Economic/ Social priority (laggered area) (100%)]]="", 0, Table9[[#This Row],[Economic/ Social priority (laggered area) (100%)]]="Yes", 4, TRUE, 0)</f>
        <v>0</v>
      </c>
      <c r="CH101" s="280">
        <f>Table9[[#This Row],[Economic/ Social priority (laggered area) Score]]*'Detailed Rubric V3'!$C$82</f>
        <v>0</v>
      </c>
      <c r="CI101" s="280"/>
      <c r="CJ101" s="280" cm="1">
        <f t="array" ref="CJ101">_xlfn.IFS(Table9[[#This Row],[Regional Tax incentive  (0%)]]="", 0, Table9[[#This Row],[Regional Tax incentive  (0%)]]="Yes", 4, TRUE, 0)</f>
        <v>0</v>
      </c>
      <c r="CK101" s="280">
        <f>Table9[[#This Row],[Regional Tax incentive Score]]*'Detailed Rubric V3'!$F$82</f>
        <v>0</v>
      </c>
      <c r="CL101" s="280">
        <f>SUM(Table9[[#This Row],[Economic/ Social priority (laagered area) Weighted Score]],Table9[[#This Row],[Regional Tax incentive  Weighted Score]])*'Detailed Rubric V3'!$C$80</f>
        <v>0</v>
      </c>
      <c r="CM101" s="280"/>
      <c r="CN101" s="280" cm="1">
        <f t="array" ref="CN101">_xlfn.IFS(Table9[[#This Row],[Employable population (40%) 2013]]="", 0, Table9[[#This Row],[Employable population (40%) 2013]]&gt;200000, 4, Table9[[#This Row],[Employable population (40%) 2013]]&lt;100000,0, TRUE, 2)</f>
        <v>0</v>
      </c>
      <c r="CO101" s="280">
        <f>Table9[[#This Row],[Employable population Score]]*'Detailed Rubric V3'!$C$92</f>
        <v>0</v>
      </c>
      <c r="CP101" s="280"/>
      <c r="CQ101" s="280" cm="1">
        <f t="array" ref="CQ101">_xlfn.IFS(Table9[[#This Row],[Housing (20%)]]="", 0, Table9[[#This Row],[Housing (20%)]]&gt;50, 0, Table9[[#This Row],[Housing (20%)]]&lt;25, 4, TRUE, 2)</f>
        <v>0</v>
      </c>
      <c r="CR101" s="280">
        <f>Table9[[#This Row],[Housing Score]]*'Detailed Rubric V3'!$F$92</f>
        <v>0</v>
      </c>
      <c r="CS101" s="280"/>
      <c r="CT101" s="280" cm="1">
        <f t="array" ref="CT101">_xlfn.IFS(Table9[[#This Row],[Hotels (10%)]]="", 0, Table9[[#This Row],[Hotels (10%)]]&gt;25, 4, Table9[[#This Row],[Hotels (10%)]]&lt;5, 0, TRUE, 2)</f>
        <v>0</v>
      </c>
      <c r="CU101" s="280">
        <f>Table9[[#This Row],[Hotels Score]]*'Detailed Rubric V3'!$I$92</f>
        <v>0</v>
      </c>
      <c r="CV101" s="280"/>
      <c r="CW101" s="280" cm="1">
        <f t="array" ref="CW101">_xlfn.IFS(Table9[[#This Row],[Health (Hospital) (15%)]]="", 0, Table9[[#This Row],[Health (Hospital) (15%)]]&gt;10, 4, Table9[[#This Row],[Health (Hospital) (15%)]]&lt;5, 0, TRUE, 2)</f>
        <v>0</v>
      </c>
      <c r="CX101" s="280">
        <f>Table9[[#This Row],[Health (Hospital) Score]]*'Detailed Rubric V3'!$L$92</f>
        <v>0</v>
      </c>
      <c r="CY101" s="280"/>
      <c r="CZ101" s="280" cm="1">
        <f t="array" ref="CZ101">_xlfn.IFS(Table9[[#This Row],[University/ Technical &amp; Vocational Institutions (15%)]]="", 0, Table9[[#This Row],[University/ Technical &amp; Vocational Institutions (15%)]]&gt;3, 4, Table9[[#This Row],[University/ Technical &amp; Vocational Institutions (15%)]]&lt;1, 0, TRUE, 2)</f>
        <v>0</v>
      </c>
      <c r="DA101" s="280">
        <f>Table9[[#This Row],[University/ Technical &amp; Vocational Institutions Score]]*'Detailed Rubric V3'!$O$92</f>
        <v>0</v>
      </c>
      <c r="DB101"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101" s="280"/>
      <c r="DD101" s="280" cm="1">
        <f t="array" ref="DD101">_xlfn.IFS(Table9[[#This Row],[Environment compliance (30%)]]="", 0, Table9[[#This Row],[Environment compliance (30%)]]="Yes", 4, TRUE, 0)</f>
        <v>0</v>
      </c>
      <c r="DE101" s="280">
        <f>Table9[[#This Row],[Environment compliance Score]]*'Detailed Rubric V3'!$C$104</f>
        <v>0</v>
      </c>
      <c r="DF101" s="280" t="s">
        <v>428</v>
      </c>
      <c r="DG101" s="280" cm="1">
        <f t="array" ref="DG101">_xlfn.IFS(Table9[[#This Row],[Flood Risk Index (30%)]]="", 0, Table9[[#This Row],[Flood Risk Index (30%)]]="Very Low", 4, Table9[[#This Row],[Flood Risk Index (30%)]]="Moderate &amp; Low", 2, TRUE, 0)</f>
        <v>4</v>
      </c>
      <c r="DH101" s="280">
        <f>Table9[[#This Row],[Flood Risk Index Score]]*'Detailed Rubric V3'!$F$104</f>
        <v>1.2</v>
      </c>
      <c r="DI101" s="280" t="s">
        <v>428</v>
      </c>
      <c r="DJ101" s="280" cm="1">
        <f t="array" ref="DJ101">_xlfn.IFS(Table9[[#This Row],[Earth Quake Risk Index (10%)]]="", 0, Table9[[#This Row],[Earth Quake Risk Index (10%)]]="Very Low", 4, Table9[[#This Row],[Earth Quake Risk Index (10%)]]="Moderate &amp; Low", 2, TRUE, 0)</f>
        <v>4</v>
      </c>
      <c r="DK101" s="280">
        <f>Table9[[#This Row],[Earth Quake Risk Index Score]]*'Detailed Rubric V3'!$I$104</f>
        <v>0.4</v>
      </c>
      <c r="DL101" s="280" t="s">
        <v>419</v>
      </c>
      <c r="DM101" s="280" cm="1">
        <f t="array" ref="DM101">_xlfn.IFS(Table9[[#This Row],[Sea Level Rise Risk Index (10%)]]="", 0, Table9[[#This Row],[Sea Level Rise Risk Index (10%)]]="Very Low", 4, Table9[[#This Row],[Sea Level Rise Risk Index (10%)]]="Moderate &amp; Low", 2, TRUE, 0)</f>
        <v>2</v>
      </c>
      <c r="DN101" s="280">
        <f>Table9[[#This Row],[Sea Level Rise  Risk Index Score]]*'Detailed Rubric V3'!$L$104</f>
        <v>0.2</v>
      </c>
      <c r="DO101" s="280" t="s">
        <v>419</v>
      </c>
      <c r="DP101" s="280" cm="1">
        <f t="array" ref="DP101">_xlfn.IFS(Table9[[#This Row],[Cyclone Risk Index (10%)]]="", 0, Table9[[#This Row],[Cyclone Risk Index (10%)]]="Very Low", 4, Table9[[#This Row],[Cyclone Risk Index (10%)]]="Moderate &amp; Low", 2, TRUE, 0)</f>
        <v>2</v>
      </c>
      <c r="DQ101" s="280">
        <f>Table9[[#This Row],[Cyclone Risk Index Score]]*'Detailed Rubric V3'!$O$104</f>
        <v>0.2</v>
      </c>
      <c r="DR101" s="280" t="s">
        <v>419</v>
      </c>
      <c r="DS101" s="280" cm="1">
        <f t="array" ref="DS101">_xlfn.IFS(Table9[[#This Row],[Storm Surge Risk Index (10%)]]="", 0, Table9[[#This Row],[Storm Surge Risk Index (10%)]]="Very Low", 4, Table9[[#This Row],[Storm Surge Risk Index (10%)]]="Moderate &amp; Low", 2, TRUE, 0)</f>
        <v>2</v>
      </c>
      <c r="DT101" s="280">
        <f>Table9[[#This Row],[Storm Surge Risk Index Score]]*'Detailed Rubric V3'!$R$104</f>
        <v>0.2</v>
      </c>
      <c r="DU101"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0.13200000000000001</v>
      </c>
      <c r="DV101" s="309">
        <f>SUM(Table9[[#This Row],[2.1. Connectivity/ Logistics (10% weightage)]],Table9[[#This Row],[2.2. Utility (12% weightage)]],Table9[[#This Row],[2.3. Agglomeration effects (10% weightage)]],Table9[[#This Row],[2.4. Regional Policy (4% weightage)]],Table9[[#This Row],[2.5. Social (8% weightage)]],Table9[[#This Row],[2.6. Environment (6% weightage)]])</f>
        <v>0.13200000000000001</v>
      </c>
      <c r="DW101" s="280">
        <f>_xlfn.RANK.EQ(Table9[[#This Row],[Level 2 Score]],$DV$3:$DV$103)</f>
        <v>55</v>
      </c>
      <c r="DX101" s="302">
        <f>Table9[[#This Row],[Level 1 Score]]+Table9[[#This Row],[Level 2 Score]]</f>
        <v>0.13200000000000001</v>
      </c>
      <c r="DY101" s="294">
        <f>_xlfn.RANK.EQ(Table9[[#This Row],[Total Score]],$DX$3:$DX$103)</f>
        <v>98</v>
      </c>
      <c r="DZ101" s="237" t="str">
        <f>IF(Table9[[#This Row],[Count of Blanks]]&lt;=2, "Yes", "No")</f>
        <v>No</v>
      </c>
      <c r="EA101" s="237">
        <f>COUNTBLANK(Table9[[#This Row],[Name]:[Total Score Rank]])</f>
        <v>23</v>
      </c>
      <c r="EB101" s="237"/>
    </row>
    <row r="102" spans="2:132" x14ac:dyDescent="0.25">
      <c r="B102" s="225" t="s">
        <v>229</v>
      </c>
      <c r="C102" s="546" t="s">
        <v>230</v>
      </c>
      <c r="D102" s="225" t="s">
        <v>84</v>
      </c>
      <c r="E102" s="225" t="s">
        <v>231</v>
      </c>
      <c r="F102" s="225" t="s">
        <v>180</v>
      </c>
      <c r="G102" s="225"/>
      <c r="H102" s="547"/>
      <c r="I102" s="251" t="s">
        <v>454</v>
      </c>
      <c r="J102" s="511" t="s">
        <v>444</v>
      </c>
      <c r="K102" s="225">
        <f>IFERROR(VLOOKUP(Table9[[#This Row],[Land Availability (Grade)​
(50%)]],'Detailed Rubric V3'!$B$8:$C$11,2), 0)</f>
        <v>0</v>
      </c>
      <c r="L102" s="225">
        <f>IFERROR(Table9[[#This Row],[Land Availability (Grade)​ Score]]*'Detailed Rubric V3'!$C$6, "")</f>
        <v>0</v>
      </c>
      <c r="M102" s="225"/>
      <c r="N102" s="548" cm="1">
        <f t="array" ref="N102">_xlfn.IFS(Table9[[#This Row],[Land Size (Acres)
(15%)]]&lt;100,0,Table9[[#This Row],[Land Size (Acres)
(15%)]]&gt;500,4,TRUE,2)</f>
        <v>0</v>
      </c>
      <c r="O102" s="548">
        <f>Table9[[#This Row],[Land Size (Acres) Score]]*'Detailed Rubric V3'!$G$6</f>
        <v>0</v>
      </c>
      <c r="P102" s="549"/>
      <c r="Q102" s="549" t="str">
        <f>IFERROR(Table9[[#This Row],[Site Filling Cost (Mn BDT)]]/Table9[[#This Row],[Land Size (Acres)
(15%)]],"")</f>
        <v/>
      </c>
      <c r="R102" s="549" cm="1">
        <f t="array" ref="R102">IF(Table9[[#This Row],[Name]]="Sitakundo Economic Zone", 4, _xlfn.IFS(Table9[[#This Row],[Site Filling Cost (Mn BDT)]]="",0,Table9[[#This Row],[Land Suitability
(Cost of Land Filling in Million BDT per acre)
(25%)]]&gt;5,0,Table9[[#This Row],[Land Suitability
(Cost of Land Filling in Million BDT per acre)
(25%)]]&lt;2,4,TRUE,2))</f>
        <v>0</v>
      </c>
      <c r="S102" s="549">
        <f>Table9[[#This Row],[Land Suitability for Construction Score]]*'Detailed Rubric V3'!$J$6</f>
        <v>0</v>
      </c>
      <c r="T102" s="549"/>
      <c r="U102" s="549">
        <f>IFERROR(Table9[[#This Row],[Embankment/Dyke Cost (Mn BDT)]]/Table9[[#This Row],[Land Size (Acres)
(15%)]], 0)</f>
        <v>0</v>
      </c>
      <c r="V102" s="549" cm="1">
        <f t="array" ref="V102">IF(Table9[[#This Row],[Name]]="Sitakundo Economic Zone", 2, _xlfn.IFS(Table9[[#This Row],[Embankment/Dyke Cost (Mn BDT)]]="",0,Table9[[#This Row],[Cost of DRRI Infrastructure in million BDT per acre
(10%)]]&gt;5,0,Table9[[#This Row],[Cost of DRRI Infrastructure in million BDT per acre
(10%)]]&lt;2,4,TRUE,2))</f>
        <v>0</v>
      </c>
      <c r="W102" s="549">
        <f>Table9[[#This Row],[Requirement for Distaster Risk Reduction &amp; Resilience Infrastructure Score]]*'Detailed Rubric V3'!$M$6</f>
        <v>0</v>
      </c>
      <c r="X102" s="550">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v>
      </c>
      <c r="Y102" s="511" t="s">
        <v>443</v>
      </c>
      <c r="Z102" s="551">
        <f>IFERROR(VLOOKUP(Table9[[#This Row],[Zone Priority
(40%)]],'Detailed Rubric V3'!$B$18:$C$21, 2,FALSE), 0)</f>
        <v>2</v>
      </c>
      <c r="AA102" s="551">
        <f>IFERROR(Table9[[#This Row],[Zone Priority Score]]*'Detailed Rubric V3'!$C$16, 0)</f>
        <v>0</v>
      </c>
      <c r="AB102" s="518" t="s">
        <v>441</v>
      </c>
      <c r="AC102" s="518">
        <f>VLOOKUP(Table9[[#This Row],[Existing BEZA Report
(60%)]],'Detailed Rubric V3'!$E$18:$F$20,2,FALSE)</f>
        <v>0</v>
      </c>
      <c r="AD102" s="518">
        <f>Table9[[#This Row],[Existing BEZA Report Score]]*'Detailed Rubric V3'!F$16</f>
        <v>0</v>
      </c>
      <c r="AE102" s="518">
        <f>(Table9[[#This Row],[Zone Priority Weighted Score]]+Table9[[#This Row],[Existing BEZA Report Weighted Score]])*'Detailed Rubric V3'!$C$14</f>
        <v>0</v>
      </c>
      <c r="AF102" s="552">
        <v>0</v>
      </c>
      <c r="AG102" s="553" cm="1">
        <f t="array" ref="AG102">_xlfn.IFS(Table9[[#This Row],[Existing Sectors
(50%)]]&gt;10, 4,Table9[[#This Row],[Existing Sectors
(50%)]]&lt;5, 0, TRUE, 2)</f>
        <v>0</v>
      </c>
      <c r="AH102" s="553">
        <f>Table9[[#This Row],[Existing Sectors Score]]*'Detailed Rubric V3'!$C$25</f>
        <v>0</v>
      </c>
      <c r="AI102" s="553">
        <v>1</v>
      </c>
      <c r="AJ102" s="553">
        <v>1</v>
      </c>
      <c r="AK102" s="553" cm="1">
        <f t="array" ref="AK102">_xlfn.IFS(Table9[[#This Row],[Potential New Sectors
(50%)]]&gt;5, 4, Table9[[#This Row],[Potential New Sectors
(50%)]]&lt;2,0, TRUE, 2)</f>
        <v>0</v>
      </c>
      <c r="AL102" s="553">
        <f>Table9[[#This Row],[Potential New Sectors Score]]*'Detailed Rubric V3'!$F$25</f>
        <v>0</v>
      </c>
      <c r="AM102" s="554">
        <f>(Table9[[#This Row],[Existing Sectors Weighted Score]]+Table9[[#This Row],[Potential New Sectors Weighted Score]])*'Detailed Rubric V3'!$C$23</f>
        <v>0</v>
      </c>
      <c r="AN102" s="555">
        <f>SUM(Table9[[#This Row],[1.1. Land Details (20% weightage)]],Table9[[#This Row],[1.2. BEZA Existing plans (15% weightage)]],Table9[[#This Row],[1.3. Sector Demand (15% weightage):]])</f>
        <v>0</v>
      </c>
      <c r="AO102" s="556">
        <f>_xlfn.RANK.EQ(Table9[[#This Row],[Level 1 Score]],$AN$3:$AN$103)</f>
        <v>99</v>
      </c>
      <c r="AP102" s="280"/>
      <c r="AQ102" s="280" cm="1">
        <f t="array" ref="AQ102">_xlfn.IFS(Table9[[#This Row],[National Highway Connectivity (km)
(15%)]]="", 0, Table9[[#This Row],[National Highway Connectivity (km)
(15%)]]&gt;50, 0, Table9[[#This Row],[National Highway Connectivity (km)
(15%)]]&lt;=25, 4, TRUE, 2)</f>
        <v>0</v>
      </c>
      <c r="AR102" s="280">
        <f>Table9[[#This Row],[National Highway Connectivity Score]]*'Detailed Rubric V3'!$C$35</f>
        <v>0</v>
      </c>
      <c r="AS102" s="280"/>
      <c r="AT102" s="280" cm="1">
        <f t="array" ref="AT102">_xlfn.IFS(Table9[[#This Row],[Connecting Road to Highway (km)
(15%)]]="", 0, Table9[[#This Row],[Connecting Road to Highway (km)
(15%)]]="Yes", 4, TRUE, 0)</f>
        <v>0</v>
      </c>
      <c r="AU102" s="280">
        <f>Table9[[#This Row],[Connecting Road to Highway Score]]*'Detailed Rubric V3'!$F$35</f>
        <v>0</v>
      </c>
      <c r="AV102" s="280"/>
      <c r="AW102" s="280" cm="1">
        <f t="array" ref="AW102">_xlfn.IFS(Table9[[#This Row],[Seaport Connectivity (km)
(30%)]]="",0, Table9[[#This Row],[Seaport Connectivity (km)
(30%)]]&gt;400, 0,Table9[[#This Row],[Seaport Connectivity (km)
(30%)]]&lt;=200,4, TRUE, 2)</f>
        <v>0</v>
      </c>
      <c r="AX102" s="280">
        <f>Table9[[#This Row],[Seaport Connectivity Score]]*'Detailed Rubric V3'!$I$35</f>
        <v>0</v>
      </c>
      <c r="AY102" s="280"/>
      <c r="AZ102" s="280" cm="1">
        <f t="array" ref="AZ102">_xlfn.IFS(Table9[[#This Row],[Airport Connectivity (km)
(10%)]]="", 0, Table9[[#This Row],[Airport Connectivity (km)
(10%)]]&gt;200, 0, Table9[[#This Row],[Airport Connectivity (km)
(10%)]]&lt;=100,4,TRUE, 2)</f>
        <v>0</v>
      </c>
      <c r="BA102" s="280">
        <f>Table9[[#This Row],[Airport Connectivity Score]]*'Detailed Rubric V3'!$C$41</f>
        <v>0</v>
      </c>
      <c r="BB102" s="280"/>
      <c r="BC102" s="280" cm="1">
        <f t="array" ref="BC102">_xlfn.IFS(Table9[[#This Row],[Railway Station (km)
(10%)]]="", 0, Table9[[#This Row],[Railway Station (km)
(10%)]]&gt;150, 0,Table9[[#This Row],[Railway Station (km)
(10%)]]&lt;=50,4, TRUE, 2)</f>
        <v>0</v>
      </c>
      <c r="BD102" s="280">
        <f>Table9[[#This Row],[Railway Station Score]]*'Detailed Rubric V3'!$F$41</f>
        <v>0</v>
      </c>
      <c r="BE102" s="280"/>
      <c r="BF102" s="280" cm="1">
        <f t="array" ref="BF102">_xlfn.IFS(Table9[[#This Row],[Inland waterway/ Land port (km)
(20%)]]="", 0, Table9[[#This Row],[Inland waterway/ Land port (km)
(20%)]]&gt;200, 0,Table9[[#This Row],[Inland waterway/ Land port (km)
(20%)]]&lt;=50,4, TRUE, 2)</f>
        <v>0</v>
      </c>
      <c r="BG102" s="280">
        <f>Table9[[#This Row],[Inland waterway/ Land port Score]]*'Detailed Rubric V3'!$I$41</f>
        <v>0</v>
      </c>
      <c r="BH102"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102" s="280"/>
      <c r="BJ102" s="280" cm="1">
        <f t="array" ref="BJ102">_xlfn.IFS(Table9[[#This Row],[Power Station (40%)]]="",0, Table9[[#This Row],[Power Station (40%)]]&gt;100, 0,Table9[[#This Row],[Power Station (40%)]]&lt;=50,4, TRUE, 2)</f>
        <v>0</v>
      </c>
      <c r="BK102" s="280">
        <f>Table9[[#This Row],[Power Station Score]]*'Detailed Rubric V3'!$C$53</f>
        <v>0</v>
      </c>
      <c r="BL102" s="280"/>
      <c r="BM102" s="280" cm="1">
        <f t="array" ref="BM102">IF(ISNUMBER(Table9[[#This Row],[Gas Station (20%)]]), _xlfn.IFS(Table9[[#This Row],[Gas Station (20%)]]="", 0, Table9[[#This Row],[Gas Station (20%)]]&gt;100, 0,Table9[[#This Row],[Gas Station (20%)]]&lt;=50,4, TRUE, 2), 0)</f>
        <v>0</v>
      </c>
      <c r="BN102" s="280">
        <f>Table9[[#This Row],[Gas Station Score]]*'Detailed Rubric V3'!$F$53</f>
        <v>0</v>
      </c>
      <c r="BO102" s="280"/>
      <c r="BP102" s="280" cm="1">
        <f t="array" ref="BP102">IF(ISNUMBER(Table9[[#This Row],[Source of Surface Water (40%)]]), _xlfn.IFS(Table9[[#This Row],[Source of Surface Water (40%)]]="", 0, Table9[[#This Row],[Source of Surface Water (40%)]]&gt;50, 0,Table9[[#This Row],[Source of Surface Water (40%)]]&lt;=20,4, TRUE, 2), 0)</f>
        <v>0</v>
      </c>
      <c r="BQ102" s="280">
        <f>Table9[[#This Row],[Source of Surface Water Score]]*'Detailed Rubric V3'!$I$53</f>
        <v>0</v>
      </c>
      <c r="BR102" s="280">
        <f>SUM(Table9[[#This Row],[Power Station Weighted Score]],Table9[[#This Row],[Gas Station Weighted Score]],Table9[[#This Row],[Source of Surface Water Weighted Score]])*'Detailed Rubric V3'!$C$51</f>
        <v>0</v>
      </c>
      <c r="BS102" s="280"/>
      <c r="BT102" s="280" cm="1">
        <f t="array" ref="BT102">_xlfn.IFS(Table9[[#This Row],[Other BEZA EZ (20%)]]="", 0, Table9[[#This Row],[Other BEZA EZ (20%)]]="Yes", 4, TRUE, 0)</f>
        <v>0</v>
      </c>
      <c r="BU102" s="280">
        <f>Table9[[#This Row],[Other BEZA EZ Score]]*'Detailed Rubric V3'!$C$66</f>
        <v>0</v>
      </c>
      <c r="BV102" s="280"/>
      <c r="BW102" s="280" cm="1">
        <f t="array" ref="BW102">_xlfn.IFS(Table9[[#This Row],[BEPZA/ BHPTA/ BSCIC (20%)]]="", 0, Table9[[#This Row],[BEPZA/ BHPTA/ BSCIC (20%)]]="Yes", 4, TRUE, 0)</f>
        <v>0</v>
      </c>
      <c r="BX102" s="280">
        <f>Table9[[#This Row],[BEPZA/ BHPTA/ BSCIC Score]]*'Detailed Rubric V3'!$F$66</f>
        <v>0</v>
      </c>
      <c r="BY102" s="280"/>
      <c r="BZ102" s="280" cm="1">
        <f t="array" ref="BZ102">_xlfn.IFS(Table9[[#This Row],[Cluster Industries (from SMI) (20%)]]="", 0, Table9[[#This Row],[Cluster Industries (from SMI) (20%)]]&gt;100, 4, Table9[[#This Row],[Cluster Industries (from SMI) (20%)]]&lt;50, 0, TRUE, 2)</f>
        <v>0</v>
      </c>
      <c r="CA102" s="280">
        <f>Table9[[#This Row],[Cluster Industries (from SMI) Score]]*'Detailed Rubric V3'!$I$66</f>
        <v>0</v>
      </c>
      <c r="CB102" s="280"/>
      <c r="CC102" s="280" cm="1">
        <f t="array" ref="CC102">_xlfn.IFS(Table9[[#This Row],[Located on Industrial corridor (40%)]]="", 0, Table9[[#This Row],[Located on Industrial corridor (40%)]]="Yes", 4, TRUE, 0)</f>
        <v>0</v>
      </c>
      <c r="CD102" s="280">
        <f>Table9[[#This Row],[Located on Industrial corridor Score]]*'Detailed Rubric V3'!$L$66</f>
        <v>0</v>
      </c>
      <c r="CE102" s="280">
        <f>SUM(Table9[[#This Row],[Other BEZA EZ Weighted Score]],Table9[[#This Row],[BEPZA/ BHPTA/ BSCIC Weighted Score]],Table9[[#This Row],[Unorganized (from SMI) Weighted Score]],Table9[[#This Row],[Located on Industrial corridor Weighted Score]])*'Detailed Rubric V3'!$C$64</f>
        <v>0</v>
      </c>
      <c r="CF102" s="280"/>
      <c r="CG102" s="280" cm="1">
        <f t="array" ref="CG102">_xlfn.IFS(Table9[[#This Row],[Economic/ Social priority (laggered area) (100%)]]="", 0, Table9[[#This Row],[Economic/ Social priority (laggered area) (100%)]]="Yes", 4, TRUE, 0)</f>
        <v>0</v>
      </c>
      <c r="CH102" s="280">
        <f>Table9[[#This Row],[Economic/ Social priority (laggered area) Score]]*'Detailed Rubric V3'!$C$82</f>
        <v>0</v>
      </c>
      <c r="CI102" s="280"/>
      <c r="CJ102" s="280" cm="1">
        <f t="array" ref="CJ102">_xlfn.IFS(Table9[[#This Row],[Regional Tax incentive  (0%)]]="", 0, Table9[[#This Row],[Regional Tax incentive  (0%)]]="Yes", 4, TRUE, 0)</f>
        <v>0</v>
      </c>
      <c r="CK102" s="280">
        <f>Table9[[#This Row],[Regional Tax incentive Score]]*'Detailed Rubric V3'!$F$82</f>
        <v>0</v>
      </c>
      <c r="CL102" s="280">
        <f>SUM(Table9[[#This Row],[Economic/ Social priority (laagered area) Weighted Score]],Table9[[#This Row],[Regional Tax incentive  Weighted Score]])*'Detailed Rubric V3'!$C$80</f>
        <v>0</v>
      </c>
      <c r="CM102" s="280"/>
      <c r="CN102" s="280" cm="1">
        <f t="array" ref="CN102">_xlfn.IFS(Table9[[#This Row],[Employable population (40%) 2013]]="", 0, Table9[[#This Row],[Employable population (40%) 2013]]&gt;200000, 4, Table9[[#This Row],[Employable population (40%) 2013]]&lt;100000,0, TRUE, 2)</f>
        <v>0</v>
      </c>
      <c r="CO102" s="280">
        <f>Table9[[#This Row],[Employable population Score]]*'Detailed Rubric V3'!$C$92</f>
        <v>0</v>
      </c>
      <c r="CP102" s="280"/>
      <c r="CQ102" s="280" cm="1">
        <f t="array" ref="CQ102">_xlfn.IFS(Table9[[#This Row],[Housing (20%)]]="", 0, Table9[[#This Row],[Housing (20%)]]&gt;50, 0, Table9[[#This Row],[Housing (20%)]]&lt;25, 4, TRUE, 2)</f>
        <v>0</v>
      </c>
      <c r="CR102" s="280">
        <f>Table9[[#This Row],[Housing Score]]*'Detailed Rubric V3'!$F$92</f>
        <v>0</v>
      </c>
      <c r="CS102" s="280"/>
      <c r="CT102" s="280" cm="1">
        <f t="array" ref="CT102">_xlfn.IFS(Table9[[#This Row],[Hotels (10%)]]="", 0, Table9[[#This Row],[Hotels (10%)]]&gt;25, 4, Table9[[#This Row],[Hotels (10%)]]&lt;5, 0, TRUE, 2)</f>
        <v>0</v>
      </c>
      <c r="CU102" s="280">
        <f>Table9[[#This Row],[Hotels Score]]*'Detailed Rubric V3'!$I$92</f>
        <v>0</v>
      </c>
      <c r="CV102" s="280"/>
      <c r="CW102" s="280" cm="1">
        <f t="array" ref="CW102">_xlfn.IFS(Table9[[#This Row],[Health (Hospital) (15%)]]="", 0, Table9[[#This Row],[Health (Hospital) (15%)]]&gt;10, 4, Table9[[#This Row],[Health (Hospital) (15%)]]&lt;5, 0, TRUE, 2)</f>
        <v>0</v>
      </c>
      <c r="CX102" s="280">
        <f>Table9[[#This Row],[Health (Hospital) Score]]*'Detailed Rubric V3'!$L$92</f>
        <v>0</v>
      </c>
      <c r="CY102" s="280"/>
      <c r="CZ102" s="280" cm="1">
        <f t="array" ref="CZ102">_xlfn.IFS(Table9[[#This Row],[University/ Technical &amp; Vocational Institutions (15%)]]="", 0, Table9[[#This Row],[University/ Technical &amp; Vocational Institutions (15%)]]&gt;3, 4, Table9[[#This Row],[University/ Technical &amp; Vocational Institutions (15%)]]&lt;1, 0, TRUE, 2)</f>
        <v>0</v>
      </c>
      <c r="DA102" s="280">
        <f>Table9[[#This Row],[University/ Technical &amp; Vocational Institutions Score]]*'Detailed Rubric V3'!$O$92</f>
        <v>0</v>
      </c>
      <c r="DB102"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102" s="280"/>
      <c r="DD102" s="280" cm="1">
        <f t="array" ref="DD102">_xlfn.IFS(Table9[[#This Row],[Environment compliance (30%)]]="", 0, Table9[[#This Row],[Environment compliance (30%)]]="Yes", 4, TRUE, 0)</f>
        <v>0</v>
      </c>
      <c r="DE102" s="280">
        <f>Table9[[#This Row],[Environment compliance Score]]*'Detailed Rubric V3'!$C$104</f>
        <v>0</v>
      </c>
      <c r="DF102" s="280" t="s">
        <v>419</v>
      </c>
      <c r="DG102" s="280" cm="1">
        <f t="array" ref="DG102">_xlfn.IFS(Table9[[#This Row],[Flood Risk Index (30%)]]="", 0, Table9[[#This Row],[Flood Risk Index (30%)]]="Very Low", 4, Table9[[#This Row],[Flood Risk Index (30%)]]="Moderate &amp; Low", 2, TRUE, 0)</f>
        <v>2</v>
      </c>
      <c r="DH102" s="280">
        <f>Table9[[#This Row],[Flood Risk Index Score]]*'Detailed Rubric V3'!$F$104</f>
        <v>0.6</v>
      </c>
      <c r="DI102" s="280" t="s">
        <v>419</v>
      </c>
      <c r="DJ102" s="280" cm="1">
        <f t="array" ref="DJ102">_xlfn.IFS(Table9[[#This Row],[Earth Quake Risk Index (10%)]]="", 0, Table9[[#This Row],[Earth Quake Risk Index (10%)]]="Very Low", 4, Table9[[#This Row],[Earth Quake Risk Index (10%)]]="Moderate &amp; Low", 2, TRUE, 0)</f>
        <v>2</v>
      </c>
      <c r="DK102" s="280">
        <f>Table9[[#This Row],[Earth Quake Risk Index Score]]*'Detailed Rubric V3'!$I$104</f>
        <v>0.2</v>
      </c>
      <c r="DL102" s="280" t="s">
        <v>428</v>
      </c>
      <c r="DM102" s="280" cm="1">
        <f t="array" ref="DM102">_xlfn.IFS(Table9[[#This Row],[Sea Level Rise Risk Index (10%)]]="", 0, Table9[[#This Row],[Sea Level Rise Risk Index (10%)]]="Very Low", 4, Table9[[#This Row],[Sea Level Rise Risk Index (10%)]]="Moderate &amp; Low", 2, TRUE, 0)</f>
        <v>4</v>
      </c>
      <c r="DN102" s="280">
        <f>Table9[[#This Row],[Sea Level Rise  Risk Index Score]]*'Detailed Rubric V3'!$L$104</f>
        <v>0.4</v>
      </c>
      <c r="DO102" s="280" t="s">
        <v>419</v>
      </c>
      <c r="DP102" s="280" cm="1">
        <f t="array" ref="DP102">_xlfn.IFS(Table9[[#This Row],[Cyclone Risk Index (10%)]]="", 0, Table9[[#This Row],[Cyclone Risk Index (10%)]]="Very Low", 4, Table9[[#This Row],[Cyclone Risk Index (10%)]]="Moderate &amp; Low", 2, TRUE, 0)</f>
        <v>2</v>
      </c>
      <c r="DQ102" s="280">
        <f>Table9[[#This Row],[Cyclone Risk Index Score]]*'Detailed Rubric V3'!$O$104</f>
        <v>0.2</v>
      </c>
      <c r="DR102" s="280" t="s">
        <v>428</v>
      </c>
      <c r="DS102" s="280" cm="1">
        <f t="array" ref="DS102">_xlfn.IFS(Table9[[#This Row],[Storm Surge Risk Index (10%)]]="", 0, Table9[[#This Row],[Storm Surge Risk Index (10%)]]="Very Low", 4, Table9[[#This Row],[Storm Surge Risk Index (10%)]]="Moderate &amp; Low", 2, TRUE, 0)</f>
        <v>4</v>
      </c>
      <c r="DT102" s="280">
        <f>Table9[[#This Row],[Storm Surge Risk Index Score]]*'Detailed Rubric V3'!$R$104</f>
        <v>0.4</v>
      </c>
      <c r="DU102"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0.10800000000000001</v>
      </c>
      <c r="DV102" s="309">
        <f>SUM(Table9[[#This Row],[2.1. Connectivity/ Logistics (10% weightage)]],Table9[[#This Row],[2.2. Utility (12% weightage)]],Table9[[#This Row],[2.3. Agglomeration effects (10% weightage)]],Table9[[#This Row],[2.4. Regional Policy (4% weightage)]],Table9[[#This Row],[2.5. Social (8% weightage)]],Table9[[#This Row],[2.6. Environment (6% weightage)]])</f>
        <v>0.10800000000000001</v>
      </c>
      <c r="DW102" s="280">
        <f>_xlfn.RANK.EQ(Table9[[#This Row],[Level 2 Score]],$DV$3:$DV$103)</f>
        <v>64</v>
      </c>
      <c r="DX102" s="302">
        <f>Table9[[#This Row],[Level 1 Score]]+Table9[[#This Row],[Level 2 Score]]</f>
        <v>0.10800000000000001</v>
      </c>
      <c r="DY102" s="294">
        <f>_xlfn.RANK.EQ(Table9[[#This Row],[Total Score]],$DX$3:$DX$103)</f>
        <v>100</v>
      </c>
      <c r="DZ102" s="237" t="str">
        <f>IF(Table9[[#This Row],[Count of Blanks]]&lt;=2, "Yes", "No")</f>
        <v>No</v>
      </c>
      <c r="EA102" s="237">
        <f>COUNTBLANK(Table9[[#This Row],[Name]:[Total Score Rank]])</f>
        <v>27</v>
      </c>
      <c r="EB102" s="237"/>
    </row>
    <row r="103" spans="2:132" ht="27.5" thickBot="1" x14ac:dyDescent="0.3">
      <c r="B103" s="225" t="s">
        <v>245</v>
      </c>
      <c r="C103" s="546" t="s">
        <v>246</v>
      </c>
      <c r="D103" s="225" t="s">
        <v>68</v>
      </c>
      <c r="E103" s="225" t="s">
        <v>247</v>
      </c>
      <c r="F103" s="225" t="s">
        <v>180</v>
      </c>
      <c r="G103" s="225"/>
      <c r="H103" s="547"/>
      <c r="I103" s="251"/>
      <c r="J103" s="516" t="s">
        <v>180</v>
      </c>
      <c r="K103" s="711">
        <f>IFERROR(VLOOKUP(Table9[[#This Row],[Land Availability (Grade)​
(50%)]],'Detailed Rubric V3'!$B$8:$C$11,2), 0)</f>
        <v>0</v>
      </c>
      <c r="L103" s="711">
        <f>IFERROR(Table9[[#This Row],[Land Availability (Grade)​ Score]]*'Detailed Rubric V3'!$C$6, "")</f>
        <v>0</v>
      </c>
      <c r="M103" s="711"/>
      <c r="N103" s="548" cm="1">
        <f t="array" ref="N103">_xlfn.IFS(Table9[[#This Row],[Land Size (Acres)
(15%)]]&lt;100,0,Table9[[#This Row],[Land Size (Acres)
(15%)]]&gt;500,4,TRUE,2)</f>
        <v>0</v>
      </c>
      <c r="O103" s="712">
        <f>Table9[[#This Row],[Land Size (Acres) Score]]*'Detailed Rubric V3'!$G$6</f>
        <v>0</v>
      </c>
      <c r="P103" s="713"/>
      <c r="Q103" s="713" t="str">
        <f>IFERROR(Table9[[#This Row],[Site Filling Cost (Mn BDT)]]/Table9[[#This Row],[Land Size (Acres)
(15%)]],"")</f>
        <v/>
      </c>
      <c r="R103" s="713" cm="1">
        <f t="array" ref="R103">IF(Table9[[#This Row],[Name]]="Sitakundo Economic Zone", 4, _xlfn.IFS(Table9[[#This Row],[Site Filling Cost (Mn BDT)]]="",0,Table9[[#This Row],[Land Suitability
(Cost of Land Filling in Million BDT per acre)
(25%)]]&gt;5,0,Table9[[#This Row],[Land Suitability
(Cost of Land Filling in Million BDT per acre)
(25%)]]&lt;2,4,TRUE,2))</f>
        <v>0</v>
      </c>
      <c r="S103" s="713">
        <f>Table9[[#This Row],[Land Suitability for Construction Score]]*'Detailed Rubric V3'!$J$6</f>
        <v>0</v>
      </c>
      <c r="T103" s="713"/>
      <c r="U103" s="713">
        <f>IFERROR(Table9[[#This Row],[Embankment/Dyke Cost (Mn BDT)]]/Table9[[#This Row],[Land Size (Acres)
(15%)]], 0)</f>
        <v>0</v>
      </c>
      <c r="V103" s="713" cm="1">
        <f t="array" ref="V103">IF(Table9[[#This Row],[Name]]="Sitakundo Economic Zone", 2, _xlfn.IFS(Table9[[#This Row],[Embankment/Dyke Cost (Mn BDT)]]="",0,Table9[[#This Row],[Cost of DRRI Infrastructure in million BDT per acre
(10%)]]&gt;5,0,Table9[[#This Row],[Cost of DRRI Infrastructure in million BDT per acre
(10%)]]&lt;2,4,TRUE,2))</f>
        <v>0</v>
      </c>
      <c r="W103" s="713">
        <f>Table9[[#This Row],[Requirement for Distaster Risk Reduction &amp; Resilience Infrastructure Score]]*'Detailed Rubric V3'!$M$6</f>
        <v>0</v>
      </c>
      <c r="X103" s="714">
        <f>(Table9[[#This Row],[Land Availability (Grade)​ Weighted Score]]+Table9[[#This Row],[Land Size (Acres) Weighted Score]]+Table9[[#This Row],[Land Suitability for Construction Weighted Score]]+Table9[[#This Row],[Requirement for Distaster Risk Reduction &amp; Resilience Infrastructure Weighted Score]])*'Detailed Rubric V3'!$C$4</f>
        <v>0</v>
      </c>
      <c r="Y103" s="516" t="s">
        <v>443</v>
      </c>
      <c r="Z103" s="715">
        <f>IFERROR(VLOOKUP(Table9[[#This Row],[Zone Priority
(40%)]],'Detailed Rubric V3'!$B$18:$C$21, 2,FALSE), 0)</f>
        <v>2</v>
      </c>
      <c r="AA103" s="715">
        <f>IFERROR(Table9[[#This Row],[Zone Priority Score]]*'Detailed Rubric V3'!$C$16, 0)</f>
        <v>0</v>
      </c>
      <c r="AB103" s="519" t="s">
        <v>441</v>
      </c>
      <c r="AC103" s="519">
        <f>VLOOKUP(Table9[[#This Row],[Existing BEZA Report
(60%)]],'Detailed Rubric V3'!$E$18:$F$20,2,FALSE)</f>
        <v>0</v>
      </c>
      <c r="AD103" s="519">
        <f>Table9[[#This Row],[Existing BEZA Report Score]]*'Detailed Rubric V3'!F$16</f>
        <v>0</v>
      </c>
      <c r="AE103" s="518">
        <f>(Table9[[#This Row],[Zone Priority Weighted Score]]+Table9[[#This Row],[Existing BEZA Report Weighted Score]])*'Detailed Rubric V3'!$C$14</f>
        <v>0</v>
      </c>
      <c r="AF103" s="716">
        <v>0</v>
      </c>
      <c r="AG103" s="717" cm="1">
        <f t="array" ref="AG103">_xlfn.IFS(Table9[[#This Row],[Existing Sectors
(50%)]]&gt;10, 4,Table9[[#This Row],[Existing Sectors
(50%)]]&lt;5, 0, TRUE, 2)</f>
        <v>0</v>
      </c>
      <c r="AH103" s="717">
        <f>Table9[[#This Row],[Existing Sectors Score]]*'Detailed Rubric V3'!$C$25</f>
        <v>0</v>
      </c>
      <c r="AI103" s="717">
        <v>0</v>
      </c>
      <c r="AJ103" s="717">
        <v>0</v>
      </c>
      <c r="AK103" s="717" cm="1">
        <f t="array" ref="AK103">_xlfn.IFS(Table9[[#This Row],[Potential New Sectors
(50%)]]&gt;5, 4, Table9[[#This Row],[Potential New Sectors
(50%)]]&lt;2,0, TRUE, 2)</f>
        <v>0</v>
      </c>
      <c r="AL103" s="717">
        <f>Table9[[#This Row],[Potential New Sectors Score]]*'Detailed Rubric V3'!$F$25</f>
        <v>0</v>
      </c>
      <c r="AM103" s="718">
        <f>(Table9[[#This Row],[Existing Sectors Weighted Score]]+Table9[[#This Row],[Potential New Sectors Weighted Score]])*'Detailed Rubric V3'!$C$23</f>
        <v>0</v>
      </c>
      <c r="AN103" s="719">
        <f>SUM(Table9[[#This Row],[1.1. Land Details (20% weightage)]],Table9[[#This Row],[1.2. BEZA Existing plans (15% weightage)]],Table9[[#This Row],[1.3. Sector Demand (15% weightage):]])</f>
        <v>0</v>
      </c>
      <c r="AO103" s="720">
        <f>_xlfn.RANK.EQ(Table9[[#This Row],[Level 1 Score]],$AN$3:$AN$103)</f>
        <v>99</v>
      </c>
      <c r="AP103" s="280"/>
      <c r="AQ103" s="280" cm="1">
        <f t="array" ref="AQ103">_xlfn.IFS(Table9[[#This Row],[National Highway Connectivity (km)
(15%)]]="", 0, Table9[[#This Row],[National Highway Connectivity (km)
(15%)]]&gt;50, 0, Table9[[#This Row],[National Highway Connectivity (km)
(15%)]]&lt;=25, 4, TRUE, 2)</f>
        <v>0</v>
      </c>
      <c r="AR103" s="280">
        <f>Table9[[#This Row],[National Highway Connectivity Score]]*'Detailed Rubric V3'!$C$35</f>
        <v>0</v>
      </c>
      <c r="AS103" s="280"/>
      <c r="AT103" s="280" cm="1">
        <f t="array" ref="AT103">_xlfn.IFS(Table9[[#This Row],[Connecting Road to Highway (km)
(15%)]]="", 0, Table9[[#This Row],[Connecting Road to Highway (km)
(15%)]]="Yes", 4, TRUE, 0)</f>
        <v>0</v>
      </c>
      <c r="AU103" s="280">
        <f>Table9[[#This Row],[Connecting Road to Highway Score]]*'Detailed Rubric V3'!$F$35</f>
        <v>0</v>
      </c>
      <c r="AV103" s="280"/>
      <c r="AW103" s="280" cm="1">
        <f t="array" ref="AW103">_xlfn.IFS(Table9[[#This Row],[Seaport Connectivity (km)
(30%)]]="",0, Table9[[#This Row],[Seaport Connectivity (km)
(30%)]]&gt;400, 0,Table9[[#This Row],[Seaport Connectivity (km)
(30%)]]&lt;=200,4, TRUE, 2)</f>
        <v>0</v>
      </c>
      <c r="AX103" s="280">
        <f>Table9[[#This Row],[Seaport Connectivity Score]]*'Detailed Rubric V3'!$I$35</f>
        <v>0</v>
      </c>
      <c r="AY103" s="280"/>
      <c r="AZ103" s="280" cm="1">
        <f t="array" ref="AZ103">_xlfn.IFS(Table9[[#This Row],[Airport Connectivity (km)
(10%)]]="", 0, Table9[[#This Row],[Airport Connectivity (km)
(10%)]]&gt;200, 0, Table9[[#This Row],[Airport Connectivity (km)
(10%)]]&lt;=100,4,TRUE, 2)</f>
        <v>0</v>
      </c>
      <c r="BA103" s="280">
        <f>Table9[[#This Row],[Airport Connectivity Score]]*'Detailed Rubric V3'!$C$41</f>
        <v>0</v>
      </c>
      <c r="BB103" s="280"/>
      <c r="BC103" s="280" cm="1">
        <f t="array" ref="BC103">_xlfn.IFS(Table9[[#This Row],[Railway Station (km)
(10%)]]="", 0, Table9[[#This Row],[Railway Station (km)
(10%)]]&gt;150, 0,Table9[[#This Row],[Railway Station (km)
(10%)]]&lt;=50,4, TRUE, 2)</f>
        <v>0</v>
      </c>
      <c r="BD103" s="280">
        <f>Table9[[#This Row],[Railway Station Score]]*'Detailed Rubric V3'!$F$41</f>
        <v>0</v>
      </c>
      <c r="BE103" s="280"/>
      <c r="BF103" s="280" cm="1">
        <f t="array" ref="BF103">_xlfn.IFS(Table9[[#This Row],[Inland waterway/ Land port (km)
(20%)]]="", 0, Table9[[#This Row],[Inland waterway/ Land port (km)
(20%)]]&gt;200, 0,Table9[[#This Row],[Inland waterway/ Land port (km)
(20%)]]&lt;=50,4, TRUE, 2)</f>
        <v>0</v>
      </c>
      <c r="BG103" s="280">
        <f>Table9[[#This Row],[Inland waterway/ Land port Score]]*'Detailed Rubric V3'!$I$41</f>
        <v>0</v>
      </c>
      <c r="BH103" s="309">
        <f>SUM(Table9[[#This Row],[National Highway Connectivity Weighted Score]],Table9[[#This Row],[Connecting Road to Highway Weighted Score]],Table9[[#This Row],[Seaport Connectivity Weighted Score]],Table9[[#This Row],[Airport Connectivity Weighted Score]],Table9[[#This Row],[Railway Station Weighted Score]],Table9[[#This Row],[Inland waterway/ Land port Weighted Score]])*'Detailed Rubric V3'!$C$33</f>
        <v>0</v>
      </c>
      <c r="BI103" s="280"/>
      <c r="BJ103" s="280" cm="1">
        <f t="array" ref="BJ103">_xlfn.IFS(Table9[[#This Row],[Power Station (40%)]]="",0, Table9[[#This Row],[Power Station (40%)]]&gt;100, 0,Table9[[#This Row],[Power Station (40%)]]&lt;=50,4, TRUE, 2)</f>
        <v>0</v>
      </c>
      <c r="BK103" s="280">
        <f>Table9[[#This Row],[Power Station Score]]*'Detailed Rubric V3'!$C$53</f>
        <v>0</v>
      </c>
      <c r="BL103" s="280"/>
      <c r="BM103" s="280" cm="1">
        <f t="array" ref="BM103">IF(ISNUMBER(Table9[[#This Row],[Gas Station (20%)]]), _xlfn.IFS(Table9[[#This Row],[Gas Station (20%)]]="", 0, Table9[[#This Row],[Gas Station (20%)]]&gt;100, 0,Table9[[#This Row],[Gas Station (20%)]]&lt;=50,4, TRUE, 2), 0)</f>
        <v>0</v>
      </c>
      <c r="BN103" s="280">
        <f>Table9[[#This Row],[Gas Station Score]]*'Detailed Rubric V3'!$F$53</f>
        <v>0</v>
      </c>
      <c r="BO103" s="280"/>
      <c r="BP103" s="280" cm="1">
        <f t="array" ref="BP103">IF(ISNUMBER(Table9[[#This Row],[Source of Surface Water (40%)]]), _xlfn.IFS(Table9[[#This Row],[Source of Surface Water (40%)]]="", 0, Table9[[#This Row],[Source of Surface Water (40%)]]&gt;50, 0,Table9[[#This Row],[Source of Surface Water (40%)]]&lt;=20,4, TRUE, 2), 0)</f>
        <v>0</v>
      </c>
      <c r="BQ103" s="280">
        <f>Table9[[#This Row],[Source of Surface Water Score]]*'Detailed Rubric V3'!$I$53</f>
        <v>0</v>
      </c>
      <c r="BR103" s="280">
        <f>SUM(Table9[[#This Row],[Power Station Weighted Score]],Table9[[#This Row],[Gas Station Weighted Score]],Table9[[#This Row],[Source of Surface Water Weighted Score]])*'Detailed Rubric V3'!$C$51</f>
        <v>0</v>
      </c>
      <c r="BS103" s="280"/>
      <c r="BT103" s="280" cm="1">
        <f t="array" ref="BT103">_xlfn.IFS(Table9[[#This Row],[Other BEZA EZ (20%)]]="", 0, Table9[[#This Row],[Other BEZA EZ (20%)]]="Yes", 4, TRUE, 0)</f>
        <v>0</v>
      </c>
      <c r="BU103" s="280">
        <f>Table9[[#This Row],[Other BEZA EZ Score]]*'Detailed Rubric V3'!$C$66</f>
        <v>0</v>
      </c>
      <c r="BV103" s="280"/>
      <c r="BW103" s="280" cm="1">
        <f t="array" ref="BW103">_xlfn.IFS(Table9[[#This Row],[BEPZA/ BHPTA/ BSCIC (20%)]]="", 0, Table9[[#This Row],[BEPZA/ BHPTA/ BSCIC (20%)]]="Yes", 4, TRUE, 0)</f>
        <v>0</v>
      </c>
      <c r="BX103" s="280">
        <f>Table9[[#This Row],[BEPZA/ BHPTA/ BSCIC Score]]*'Detailed Rubric V3'!$F$66</f>
        <v>0</v>
      </c>
      <c r="BY103" s="280"/>
      <c r="BZ103" s="280" cm="1">
        <f t="array" ref="BZ103">_xlfn.IFS(Table9[[#This Row],[Cluster Industries (from SMI) (20%)]]="", 0, Table9[[#This Row],[Cluster Industries (from SMI) (20%)]]&gt;100, 4, Table9[[#This Row],[Cluster Industries (from SMI) (20%)]]&lt;50, 0, TRUE, 2)</f>
        <v>0</v>
      </c>
      <c r="CA103" s="280">
        <f>Table9[[#This Row],[Cluster Industries (from SMI) Score]]*'Detailed Rubric V3'!$I$66</f>
        <v>0</v>
      </c>
      <c r="CB103" s="280"/>
      <c r="CC103" s="280" cm="1">
        <f t="array" ref="CC103">_xlfn.IFS(Table9[[#This Row],[Located on Industrial corridor (40%)]]="", 0, Table9[[#This Row],[Located on Industrial corridor (40%)]]="Yes", 4, TRUE, 0)</f>
        <v>0</v>
      </c>
      <c r="CD103" s="280">
        <f>Table9[[#This Row],[Located on Industrial corridor Score]]*'Detailed Rubric V3'!$L$66</f>
        <v>0</v>
      </c>
      <c r="CE103" s="280">
        <f>SUM(Table9[[#This Row],[Other BEZA EZ Weighted Score]],Table9[[#This Row],[BEPZA/ BHPTA/ BSCIC Weighted Score]],Table9[[#This Row],[Unorganized (from SMI) Weighted Score]],Table9[[#This Row],[Located on Industrial corridor Weighted Score]])*'Detailed Rubric V3'!$C$64</f>
        <v>0</v>
      </c>
      <c r="CF103" s="280"/>
      <c r="CG103" s="280" cm="1">
        <f t="array" ref="CG103">_xlfn.IFS(Table9[[#This Row],[Economic/ Social priority (laggered area) (100%)]]="", 0, Table9[[#This Row],[Economic/ Social priority (laggered area) (100%)]]="Yes", 4, TRUE, 0)</f>
        <v>0</v>
      </c>
      <c r="CH103" s="280">
        <f>Table9[[#This Row],[Economic/ Social priority (laggered area) Score]]*'Detailed Rubric V3'!$C$82</f>
        <v>0</v>
      </c>
      <c r="CI103" s="280"/>
      <c r="CJ103" s="280" cm="1">
        <f t="array" ref="CJ103">_xlfn.IFS(Table9[[#This Row],[Regional Tax incentive  (0%)]]="", 0, Table9[[#This Row],[Regional Tax incentive  (0%)]]="Yes", 4, TRUE, 0)</f>
        <v>0</v>
      </c>
      <c r="CK103" s="280">
        <f>Table9[[#This Row],[Regional Tax incentive Score]]*'Detailed Rubric V3'!$F$82</f>
        <v>0</v>
      </c>
      <c r="CL103" s="280">
        <f>SUM(Table9[[#This Row],[Economic/ Social priority (laagered area) Weighted Score]],Table9[[#This Row],[Regional Tax incentive  Weighted Score]])*'Detailed Rubric V3'!$C$80</f>
        <v>0</v>
      </c>
      <c r="CM103" s="280"/>
      <c r="CN103" s="280" cm="1">
        <f t="array" ref="CN103">_xlfn.IFS(Table9[[#This Row],[Employable population (40%) 2013]]="", 0, Table9[[#This Row],[Employable population (40%) 2013]]&gt;200000, 4, Table9[[#This Row],[Employable population (40%) 2013]]&lt;100000,0, TRUE, 2)</f>
        <v>0</v>
      </c>
      <c r="CO103" s="280">
        <f>Table9[[#This Row],[Employable population Score]]*'Detailed Rubric V3'!$C$92</f>
        <v>0</v>
      </c>
      <c r="CP103" s="280"/>
      <c r="CQ103" s="280" cm="1">
        <f t="array" ref="CQ103">_xlfn.IFS(Table9[[#This Row],[Housing (20%)]]="", 0, Table9[[#This Row],[Housing (20%)]]&gt;50, 0, Table9[[#This Row],[Housing (20%)]]&lt;25, 4, TRUE, 2)</f>
        <v>0</v>
      </c>
      <c r="CR103" s="280">
        <f>Table9[[#This Row],[Housing Score]]*'Detailed Rubric V3'!$F$92</f>
        <v>0</v>
      </c>
      <c r="CS103" s="280"/>
      <c r="CT103" s="280" cm="1">
        <f t="array" ref="CT103">_xlfn.IFS(Table9[[#This Row],[Hotels (10%)]]="", 0, Table9[[#This Row],[Hotels (10%)]]&gt;25, 4, Table9[[#This Row],[Hotels (10%)]]&lt;5, 0, TRUE, 2)</f>
        <v>0</v>
      </c>
      <c r="CU103" s="280">
        <f>Table9[[#This Row],[Hotels Score]]*'Detailed Rubric V3'!$I$92</f>
        <v>0</v>
      </c>
      <c r="CV103" s="280"/>
      <c r="CW103" s="280" cm="1">
        <f t="array" ref="CW103">_xlfn.IFS(Table9[[#This Row],[Health (Hospital) (15%)]]="", 0, Table9[[#This Row],[Health (Hospital) (15%)]]&gt;10, 4, Table9[[#This Row],[Health (Hospital) (15%)]]&lt;5, 0, TRUE, 2)</f>
        <v>0</v>
      </c>
      <c r="CX103" s="280">
        <f>Table9[[#This Row],[Health (Hospital) Score]]*'Detailed Rubric V3'!$L$92</f>
        <v>0</v>
      </c>
      <c r="CY103" s="280"/>
      <c r="CZ103" s="280" cm="1">
        <f t="array" ref="CZ103">_xlfn.IFS(Table9[[#This Row],[University/ Technical &amp; Vocational Institutions (15%)]]="", 0, Table9[[#This Row],[University/ Technical &amp; Vocational Institutions (15%)]]&gt;3, 4, Table9[[#This Row],[University/ Technical &amp; Vocational Institutions (15%)]]&lt;1, 0, TRUE, 2)</f>
        <v>0</v>
      </c>
      <c r="DA103" s="280">
        <f>Table9[[#This Row],[University/ Technical &amp; Vocational Institutions Score]]*'Detailed Rubric V3'!$O$92</f>
        <v>0</v>
      </c>
      <c r="DB103" s="280">
        <f>SUM(Table9[[#This Row],[Employable population Weighted Score]],Table9[[#This Row],[Housing Weighted Score]],Table9[[#This Row],[Hotels Weighted Score]],Table9[[#This Row],[Health (Hospital) Weighted Score]],Table9[[#This Row],[University/ Technical &amp; Vocational Institutions Weighted Score]])*'Detailed Rubric V3'!$C$90</f>
        <v>0</v>
      </c>
      <c r="DC103" s="280"/>
      <c r="DD103" s="280" cm="1">
        <f t="array" ref="DD103">_xlfn.IFS(Table9[[#This Row],[Environment compliance (30%)]]="", 0, Table9[[#This Row],[Environment compliance (30%)]]="Yes", 4, TRUE, 0)</f>
        <v>0</v>
      </c>
      <c r="DE103" s="280">
        <f>Table9[[#This Row],[Environment compliance Score]]*'Detailed Rubric V3'!$C$104</f>
        <v>0</v>
      </c>
      <c r="DF103" s="280" t="s">
        <v>419</v>
      </c>
      <c r="DG103" s="280" cm="1">
        <f t="array" ref="DG103">_xlfn.IFS(Table9[[#This Row],[Flood Risk Index (30%)]]="", 0, Table9[[#This Row],[Flood Risk Index (30%)]]="Very Low", 4, Table9[[#This Row],[Flood Risk Index (30%)]]="Moderate &amp; Low", 2, TRUE, 0)</f>
        <v>2</v>
      </c>
      <c r="DH103" s="280">
        <f>Table9[[#This Row],[Flood Risk Index Score]]*'Detailed Rubric V3'!$F$104</f>
        <v>0.6</v>
      </c>
      <c r="DI103" s="280" t="s">
        <v>419</v>
      </c>
      <c r="DJ103" s="280" cm="1">
        <f t="array" ref="DJ103">_xlfn.IFS(Table9[[#This Row],[Earth Quake Risk Index (10%)]]="", 0, Table9[[#This Row],[Earth Quake Risk Index (10%)]]="Very Low", 4, Table9[[#This Row],[Earth Quake Risk Index (10%)]]="Moderate &amp; Low", 2, TRUE, 0)</f>
        <v>2</v>
      </c>
      <c r="DK103" s="280">
        <f>Table9[[#This Row],[Earth Quake Risk Index Score]]*'Detailed Rubric V3'!$I$104</f>
        <v>0.2</v>
      </c>
      <c r="DL103" s="280" t="s">
        <v>420</v>
      </c>
      <c r="DM103" s="280" cm="1">
        <f t="array" ref="DM103">_xlfn.IFS(Table9[[#This Row],[Sea Level Rise Risk Index (10%)]]="", 0, Table9[[#This Row],[Sea Level Rise Risk Index (10%)]]="Very Low", 4, Table9[[#This Row],[Sea Level Rise Risk Index (10%)]]="Moderate &amp; Low", 2, TRUE, 0)</f>
        <v>0</v>
      </c>
      <c r="DN103" s="280">
        <f>Table9[[#This Row],[Sea Level Rise  Risk Index Score]]*'Detailed Rubric V3'!$L$104</f>
        <v>0</v>
      </c>
      <c r="DO103" s="280" t="s">
        <v>420</v>
      </c>
      <c r="DP103" s="280" cm="1">
        <f t="array" ref="DP103">_xlfn.IFS(Table9[[#This Row],[Cyclone Risk Index (10%)]]="", 0, Table9[[#This Row],[Cyclone Risk Index (10%)]]="Very Low", 4, Table9[[#This Row],[Cyclone Risk Index (10%)]]="Moderate &amp; Low", 2, TRUE, 0)</f>
        <v>0</v>
      </c>
      <c r="DQ103" s="280">
        <f>Table9[[#This Row],[Cyclone Risk Index Score]]*'Detailed Rubric V3'!$O$104</f>
        <v>0</v>
      </c>
      <c r="DR103" s="280" t="s">
        <v>421</v>
      </c>
      <c r="DS103" s="280" cm="1">
        <f t="array" ref="DS103">_xlfn.IFS(Table9[[#This Row],[Storm Surge Risk Index (10%)]]="", 0, Table9[[#This Row],[Storm Surge Risk Index (10%)]]="Very Low", 4, Table9[[#This Row],[Storm Surge Risk Index (10%)]]="Moderate &amp; Low", 2, TRUE, 0)</f>
        <v>0</v>
      </c>
      <c r="DT103" s="280">
        <f>Table9[[#This Row],[Storm Surge Risk Index Score]]*'Detailed Rubric V3'!$R$104</f>
        <v>0</v>
      </c>
      <c r="DU103" s="280">
        <f>SUM(Table9[[#This Row],[Environment compliance Weighted Score]],Table9[[#This Row],[Flood Risk Index Weighted Score]],Table9[[#This Row],[Earth Quake Risk Index Weighted Score]], Table9[[#This Row],[Sea Level Rise Risk Index Weighted Score]], Table9[[#This Row],[Cyclone Risk Index Weighted Score]], Table9[[#This Row],[Storm Surge Risk Index Weighted Score]])*'Detailed Rubric V3'!$C$102</f>
        <v>4.8000000000000001E-2</v>
      </c>
      <c r="DV103" s="309">
        <f>SUM(Table9[[#This Row],[2.1. Connectivity/ Logistics (10% weightage)]],Table9[[#This Row],[2.2. Utility (12% weightage)]],Table9[[#This Row],[2.3. Agglomeration effects (10% weightage)]],Table9[[#This Row],[2.4. Regional Policy (4% weightage)]],Table9[[#This Row],[2.5. Social (8% weightage)]],Table9[[#This Row],[2.6. Environment (6% weightage)]])</f>
        <v>4.8000000000000001E-2</v>
      </c>
      <c r="DW103" s="280">
        <f>_xlfn.RANK.EQ(Table9[[#This Row],[Level 2 Score]],$DV$3:$DV$103)</f>
        <v>97</v>
      </c>
      <c r="DX103" s="302">
        <f>Table9[[#This Row],[Level 1 Score]]+Table9[[#This Row],[Level 2 Score]]</f>
        <v>4.8000000000000001E-2</v>
      </c>
      <c r="DY103" s="294">
        <f>_xlfn.RANK.EQ(Table9[[#This Row],[Total Score]],$DX$3:$DX$103)</f>
        <v>101</v>
      </c>
      <c r="DZ103" s="237" t="str">
        <f>IF(Table9[[#This Row],[Count of Blanks]]&lt;=2, "Yes", "No")</f>
        <v>No</v>
      </c>
      <c r="EA103" s="237">
        <f>COUNTBLANK(Table9[[#This Row],[Name]:[Total Score Rank]])</f>
        <v>28</v>
      </c>
      <c r="EB103" s="237"/>
    </row>
  </sheetData>
  <mergeCells count="1">
    <mergeCell ref="J1:X1"/>
  </mergeCells>
  <phoneticPr fontId="18" type="noConversion"/>
  <conditionalFormatting sqref="DY3:DY103">
    <cfRule type="cellIs" dxfId="2925" priority="2" operator="lessThan">
      <formula>10</formula>
    </cfRule>
  </conditionalFormatting>
  <conditionalFormatting sqref="AN3:AN103">
    <cfRule type="cellIs" dxfId="2924" priority="1" operator="greaterThan">
      <formula>1.2</formula>
    </cfRule>
  </conditionalFormatting>
  <dataValidations count="5">
    <dataValidation type="list" allowBlank="1" showInputMessage="1" showErrorMessage="1" sqref="D3:D101" xr:uid="{AC191E53-5333-490D-9A73-4278C55BAE81}">
      <formula1>"Barishal,Chattogram,Dhaka,Khulna,Mymensingh,Rajshahi,Rangpur,Sylhet"</formula1>
    </dataValidation>
    <dataValidation type="list" allowBlank="1" showInputMessage="1" showErrorMessage="1" sqref="H3:H98" xr:uid="{B5E0BE15-91C0-4376-952C-914126D3D159}">
      <formula1>"In-Principle Approval,Pre-Planning Stage,Planning Stage,Under Development"</formula1>
    </dataValidation>
    <dataValidation type="list" allowBlank="1" showInputMessage="1" showErrorMessage="1" sqref="H99" xr:uid="{476A1FE3-D41B-48BE-AE21-AFD6B63B9F4D}">
      <formula1>"In-Principle Approval, Pre-Planning Stage, Planning Stage, Under Development"</formula1>
    </dataValidation>
    <dataValidation type="list" allowBlank="1" showInputMessage="1" showErrorMessage="1" sqref="Y3:Y101" xr:uid="{5E188614-733A-4712-913A-A6E3D5DCD9AA}">
      <formula1>"Priority 1,Priority 2,Priority 3, N/A"</formula1>
    </dataValidation>
    <dataValidation allowBlank="1" showInputMessage="1" showErrorMessage="1" sqref="Z3:AA103" xr:uid="{E6F399BA-2114-4354-845B-18838679A155}"/>
  </dataValidations>
  <pageMargins left="0.7" right="0.7" top="0.75" bottom="0.75" header="0.3" footer="0.3"/>
  <pageSetup orientation="portrait" horizontalDpi="4294967293" verticalDpi="300" r:id="rId1"/>
  <legacyDrawing r:id="rId2"/>
  <tableParts count="1">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567A0-F9F8-4AFD-83DB-EE0A07304BB7}">
  <dimension ref="B2:G72"/>
  <sheetViews>
    <sheetView workbookViewId="0"/>
  </sheetViews>
  <sheetFormatPr defaultColWidth="28.1796875" defaultRowHeight="13.5" x14ac:dyDescent="0.35"/>
  <cols>
    <col min="1" max="1" width="3.1796875" style="120" customWidth="1"/>
    <col min="2" max="2" width="5.453125" style="120" customWidth="1"/>
    <col min="3" max="3" width="49" style="120" customWidth="1"/>
    <col min="4" max="4" width="17.453125" style="120" customWidth="1"/>
    <col min="5" max="5" width="18.54296875" style="120" customWidth="1"/>
    <col min="6" max="6" width="11.1796875" style="96" customWidth="1"/>
    <col min="7" max="7" width="55.1796875" style="120" customWidth="1"/>
    <col min="8" max="16384" width="28.1796875" style="120"/>
  </cols>
  <sheetData>
    <row r="2" spans="2:7" ht="17.25" customHeight="1" thickBot="1" x14ac:dyDescent="0.4">
      <c r="B2" s="840" t="s">
        <v>1156</v>
      </c>
      <c r="C2" s="841"/>
    </row>
    <row r="4" spans="2:7" ht="27" x14ac:dyDescent="0.35">
      <c r="B4" s="115" t="s">
        <v>1157</v>
      </c>
      <c r="C4" s="116" t="s">
        <v>1141</v>
      </c>
      <c r="D4" s="116" t="s">
        <v>7</v>
      </c>
      <c r="E4" s="116" t="s">
        <v>8</v>
      </c>
      <c r="F4" s="116" t="s">
        <v>12</v>
      </c>
      <c r="G4" s="116" t="s">
        <v>786</v>
      </c>
    </row>
    <row r="5" spans="2:7" ht="27" x14ac:dyDescent="0.35">
      <c r="B5" s="110">
        <v>1</v>
      </c>
      <c r="C5" s="102" t="s">
        <v>1158</v>
      </c>
      <c r="D5" s="110" t="s">
        <v>68</v>
      </c>
      <c r="E5" s="110" t="s">
        <v>71</v>
      </c>
      <c r="F5" s="96" t="s">
        <v>415</v>
      </c>
      <c r="G5" s="110"/>
    </row>
    <row r="6" spans="2:7" x14ac:dyDescent="0.35">
      <c r="B6" s="110">
        <v>2</v>
      </c>
      <c r="C6" s="102" t="s">
        <v>1159</v>
      </c>
      <c r="D6" s="110" t="s">
        <v>77</v>
      </c>
      <c r="E6" s="110" t="s">
        <v>78</v>
      </c>
      <c r="F6" s="96" t="s">
        <v>415</v>
      </c>
      <c r="G6" s="110"/>
    </row>
    <row r="7" spans="2:7" x14ac:dyDescent="0.35">
      <c r="B7" s="110">
        <v>3</v>
      </c>
      <c r="C7" s="102" t="s">
        <v>1160</v>
      </c>
      <c r="D7" s="110" t="s">
        <v>95</v>
      </c>
      <c r="E7" s="110" t="s">
        <v>96</v>
      </c>
      <c r="F7" s="96" t="s">
        <v>415</v>
      </c>
      <c r="G7" s="110"/>
    </row>
    <row r="8" spans="2:7" x14ac:dyDescent="0.35">
      <c r="B8" s="110">
        <v>4</v>
      </c>
      <c r="C8" s="102" t="s">
        <v>1161</v>
      </c>
      <c r="D8" s="110" t="s">
        <v>105</v>
      </c>
      <c r="E8" s="110" t="s">
        <v>106</v>
      </c>
      <c r="F8" s="96" t="s">
        <v>415</v>
      </c>
      <c r="G8" s="110"/>
    </row>
    <row r="9" spans="2:7" x14ac:dyDescent="0.35">
      <c r="B9" s="110">
        <v>5</v>
      </c>
      <c r="C9" s="102" t="s">
        <v>1162</v>
      </c>
      <c r="D9" s="110" t="s">
        <v>1163</v>
      </c>
      <c r="E9" s="110" t="s">
        <v>75</v>
      </c>
      <c r="F9" s="96" t="s">
        <v>415</v>
      </c>
      <c r="G9" s="110"/>
    </row>
    <row r="10" spans="2:7" x14ac:dyDescent="0.35">
      <c r="B10" s="110">
        <v>6</v>
      </c>
      <c r="C10" s="102" t="s">
        <v>1164</v>
      </c>
      <c r="D10" s="110" t="s">
        <v>1163</v>
      </c>
      <c r="E10" s="110" t="s">
        <v>88</v>
      </c>
      <c r="F10" s="96" t="s">
        <v>415</v>
      </c>
      <c r="G10" s="110"/>
    </row>
    <row r="11" spans="2:7" x14ac:dyDescent="0.35">
      <c r="B11" s="110">
        <v>7</v>
      </c>
      <c r="C11" s="102" t="s">
        <v>1165</v>
      </c>
      <c r="D11" s="110" t="s">
        <v>76</v>
      </c>
      <c r="E11" s="110" t="s">
        <v>80</v>
      </c>
      <c r="F11" s="96" t="s">
        <v>415</v>
      </c>
      <c r="G11" s="110"/>
    </row>
    <row r="12" spans="2:7" x14ac:dyDescent="0.35">
      <c r="B12" s="110">
        <v>8</v>
      </c>
      <c r="C12" s="102" t="s">
        <v>1166</v>
      </c>
      <c r="D12" s="110" t="s">
        <v>82</v>
      </c>
      <c r="E12" s="110" t="s">
        <v>83</v>
      </c>
      <c r="F12" s="96" t="s">
        <v>415</v>
      </c>
      <c r="G12" s="110"/>
    </row>
    <row r="13" spans="2:7" x14ac:dyDescent="0.35">
      <c r="B13" s="110">
        <v>9</v>
      </c>
      <c r="C13" s="102" t="s">
        <v>1167</v>
      </c>
      <c r="D13" s="110" t="s">
        <v>97</v>
      </c>
      <c r="E13" s="110" t="s">
        <v>98</v>
      </c>
      <c r="F13" s="96" t="s">
        <v>415</v>
      </c>
      <c r="G13" s="110"/>
    </row>
    <row r="14" spans="2:7" x14ac:dyDescent="0.35">
      <c r="B14" s="110">
        <v>10</v>
      </c>
      <c r="C14" s="102" t="s">
        <v>1168</v>
      </c>
      <c r="D14" s="110" t="s">
        <v>97</v>
      </c>
      <c r="E14" s="110" t="s">
        <v>98</v>
      </c>
      <c r="F14" s="96" t="s">
        <v>415</v>
      </c>
      <c r="G14" s="110"/>
    </row>
    <row r="15" spans="2:7" x14ac:dyDescent="0.35">
      <c r="B15" s="110">
        <v>11</v>
      </c>
      <c r="C15" s="102" t="s">
        <v>1169</v>
      </c>
      <c r="D15" s="110" t="s">
        <v>68</v>
      </c>
      <c r="E15" s="110" t="s">
        <v>81</v>
      </c>
      <c r="F15" s="96" t="s">
        <v>415</v>
      </c>
      <c r="G15" s="110"/>
    </row>
    <row r="16" spans="2:7" x14ac:dyDescent="0.35">
      <c r="B16" s="110">
        <v>12</v>
      </c>
      <c r="C16" s="102" t="s">
        <v>1170</v>
      </c>
      <c r="D16" s="110" t="s">
        <v>114</v>
      </c>
      <c r="E16" s="110" t="s">
        <v>1171</v>
      </c>
      <c r="F16" s="96" t="s">
        <v>415</v>
      </c>
      <c r="G16" s="110"/>
    </row>
    <row r="17" spans="2:7" x14ac:dyDescent="0.35">
      <c r="B17" s="110">
        <v>13</v>
      </c>
      <c r="C17" s="102" t="s">
        <v>1172</v>
      </c>
      <c r="D17" s="110" t="s">
        <v>1163</v>
      </c>
      <c r="E17" s="110" t="s">
        <v>75</v>
      </c>
      <c r="F17" s="96" t="s">
        <v>415</v>
      </c>
      <c r="G17" s="110"/>
    </row>
    <row r="18" spans="2:7" ht="27" x14ac:dyDescent="0.35">
      <c r="B18" s="110">
        <v>14</v>
      </c>
      <c r="C18" s="102" t="s">
        <v>1173</v>
      </c>
      <c r="D18" s="110" t="s">
        <v>1163</v>
      </c>
      <c r="E18" s="110" t="s">
        <v>88</v>
      </c>
      <c r="F18" s="96" t="s">
        <v>415</v>
      </c>
      <c r="G18" s="110"/>
    </row>
    <row r="19" spans="2:7" x14ac:dyDescent="0.35">
      <c r="B19" s="111">
        <v>15</v>
      </c>
      <c r="C19" s="117" t="s">
        <v>1174</v>
      </c>
      <c r="D19" s="111" t="s">
        <v>85</v>
      </c>
      <c r="E19" s="111" t="s">
        <v>86</v>
      </c>
      <c r="F19" s="122" t="s">
        <v>443</v>
      </c>
      <c r="G19" s="111"/>
    </row>
    <row r="20" spans="2:7" x14ac:dyDescent="0.35">
      <c r="B20" s="110">
        <v>16</v>
      </c>
      <c r="C20" s="118" t="s">
        <v>1175</v>
      </c>
      <c r="D20" s="110" t="s">
        <v>102</v>
      </c>
      <c r="E20" s="110" t="s">
        <v>103</v>
      </c>
      <c r="F20" s="96" t="s">
        <v>443</v>
      </c>
      <c r="G20" s="110"/>
    </row>
    <row r="21" spans="2:7" x14ac:dyDescent="0.35">
      <c r="B21" s="110">
        <v>17</v>
      </c>
      <c r="C21" s="118" t="s">
        <v>1176</v>
      </c>
      <c r="D21" s="110" t="s">
        <v>94</v>
      </c>
      <c r="E21" s="110" t="s">
        <v>116</v>
      </c>
      <c r="F21" s="96" t="s">
        <v>443</v>
      </c>
      <c r="G21" s="110"/>
    </row>
    <row r="22" spans="2:7" x14ac:dyDescent="0.35">
      <c r="B22" s="110">
        <v>18</v>
      </c>
      <c r="C22" s="118" t="s">
        <v>1177</v>
      </c>
      <c r="D22" s="110" t="s">
        <v>128</v>
      </c>
      <c r="E22" s="110" t="s">
        <v>129</v>
      </c>
      <c r="F22" s="96" t="s">
        <v>443</v>
      </c>
      <c r="G22" s="110"/>
    </row>
    <row r="23" spans="2:7" x14ac:dyDescent="0.35">
      <c r="B23" s="110">
        <v>19</v>
      </c>
      <c r="C23" s="118" t="s">
        <v>1178</v>
      </c>
      <c r="D23" s="110" t="s">
        <v>122</v>
      </c>
      <c r="E23" s="110" t="s">
        <v>123</v>
      </c>
      <c r="F23" s="96" t="s">
        <v>443</v>
      </c>
      <c r="G23" s="110"/>
    </row>
    <row r="24" spans="2:7" x14ac:dyDescent="0.35">
      <c r="B24" s="110">
        <v>20</v>
      </c>
      <c r="C24" s="118" t="s">
        <v>1179</v>
      </c>
      <c r="D24" s="110" t="s">
        <v>84</v>
      </c>
      <c r="E24" s="110" t="s">
        <v>150</v>
      </c>
      <c r="F24" s="96" t="s">
        <v>443</v>
      </c>
      <c r="G24" s="110"/>
    </row>
    <row r="25" spans="2:7" x14ac:dyDescent="0.35">
      <c r="B25" s="110">
        <v>21</v>
      </c>
      <c r="C25" s="118" t="s">
        <v>1180</v>
      </c>
      <c r="D25" s="110" t="s">
        <v>126</v>
      </c>
      <c r="E25" s="110" t="s">
        <v>127</v>
      </c>
      <c r="F25" s="96" t="s">
        <v>443</v>
      </c>
      <c r="G25" s="110"/>
    </row>
    <row r="26" spans="2:7" x14ac:dyDescent="0.35">
      <c r="B26" s="110">
        <v>22</v>
      </c>
      <c r="C26" s="118" t="s">
        <v>1181</v>
      </c>
      <c r="D26" s="110" t="s">
        <v>173</v>
      </c>
      <c r="E26" s="110" t="s">
        <v>174</v>
      </c>
      <c r="F26" s="96" t="s">
        <v>443</v>
      </c>
      <c r="G26" s="110"/>
    </row>
    <row r="27" spans="2:7" x14ac:dyDescent="0.35">
      <c r="B27" s="123">
        <v>23</v>
      </c>
      <c r="C27" s="119" t="s">
        <v>1182</v>
      </c>
      <c r="D27" s="123"/>
      <c r="E27" s="123"/>
      <c r="F27" s="124" t="s">
        <v>443</v>
      </c>
      <c r="G27" s="76" t="s">
        <v>1120</v>
      </c>
    </row>
    <row r="28" spans="2:7" x14ac:dyDescent="0.35">
      <c r="B28" s="123">
        <v>24</v>
      </c>
      <c r="C28" s="119" t="s">
        <v>1183</v>
      </c>
      <c r="D28" s="123"/>
      <c r="E28" s="123"/>
      <c r="F28" s="124" t="s">
        <v>443</v>
      </c>
      <c r="G28" s="76" t="s">
        <v>1120</v>
      </c>
    </row>
    <row r="29" spans="2:7" x14ac:dyDescent="0.35">
      <c r="B29" s="123">
        <v>25</v>
      </c>
      <c r="C29" s="119" t="s">
        <v>1184</v>
      </c>
      <c r="D29" s="123"/>
      <c r="E29" s="123"/>
      <c r="F29" s="124" t="s">
        <v>443</v>
      </c>
      <c r="G29" s="76" t="s">
        <v>1120</v>
      </c>
    </row>
    <row r="30" spans="2:7" x14ac:dyDescent="0.35">
      <c r="B30" s="123">
        <v>26</v>
      </c>
      <c r="C30" s="119" t="s">
        <v>1185</v>
      </c>
      <c r="D30" s="123"/>
      <c r="E30" s="123"/>
      <c r="F30" s="124" t="s">
        <v>443</v>
      </c>
      <c r="G30" s="76" t="s">
        <v>1120</v>
      </c>
    </row>
    <row r="31" spans="2:7" x14ac:dyDescent="0.35">
      <c r="B31" s="111">
        <v>27</v>
      </c>
      <c r="C31" s="112" t="s">
        <v>1186</v>
      </c>
      <c r="D31" s="111" t="s">
        <v>132</v>
      </c>
      <c r="E31" s="111" t="s">
        <v>139</v>
      </c>
      <c r="F31" s="122" t="s">
        <v>436</v>
      </c>
      <c r="G31" s="121"/>
    </row>
    <row r="32" spans="2:7" ht="27" x14ac:dyDescent="0.35">
      <c r="B32" s="110">
        <v>28</v>
      </c>
      <c r="C32" s="102" t="s">
        <v>1187</v>
      </c>
      <c r="D32" s="110" t="s">
        <v>77</v>
      </c>
      <c r="E32" s="110" t="s">
        <v>78</v>
      </c>
      <c r="F32" s="96" t="s">
        <v>436</v>
      </c>
      <c r="G32" s="110"/>
    </row>
    <row r="33" spans="2:7" x14ac:dyDescent="0.35">
      <c r="B33" s="110">
        <v>29</v>
      </c>
      <c r="C33" s="102" t="s">
        <v>1188</v>
      </c>
      <c r="D33" s="110" t="s">
        <v>155</v>
      </c>
      <c r="E33" s="110" t="s">
        <v>156</v>
      </c>
      <c r="F33" s="96" t="s">
        <v>436</v>
      </c>
      <c r="G33" s="110"/>
    </row>
    <row r="34" spans="2:7" x14ac:dyDescent="0.35">
      <c r="B34" s="110">
        <v>30</v>
      </c>
      <c r="C34" s="102" t="s">
        <v>1189</v>
      </c>
      <c r="D34" s="110" t="s">
        <v>68</v>
      </c>
      <c r="E34" s="110" t="s">
        <v>198</v>
      </c>
      <c r="F34" s="96" t="s">
        <v>436</v>
      </c>
      <c r="G34" s="110"/>
    </row>
    <row r="35" spans="2:7" x14ac:dyDescent="0.35">
      <c r="B35" s="110">
        <v>31</v>
      </c>
      <c r="C35" s="102" t="s">
        <v>1190</v>
      </c>
      <c r="D35" s="110" t="s">
        <v>90</v>
      </c>
      <c r="E35" s="110" t="s">
        <v>141</v>
      </c>
      <c r="F35" s="96" t="s">
        <v>436</v>
      </c>
      <c r="G35" s="110"/>
    </row>
    <row r="36" spans="2:7" x14ac:dyDescent="0.35">
      <c r="B36" s="110">
        <v>32</v>
      </c>
      <c r="C36" s="102" t="s">
        <v>1191</v>
      </c>
      <c r="D36" s="110" t="s">
        <v>90</v>
      </c>
      <c r="E36" s="110" t="s">
        <v>91</v>
      </c>
      <c r="F36" s="96" t="s">
        <v>436</v>
      </c>
      <c r="G36" s="110"/>
    </row>
    <row r="37" spans="2:7" x14ac:dyDescent="0.35">
      <c r="B37" s="110">
        <v>33</v>
      </c>
      <c r="C37" s="102" t="s">
        <v>1192</v>
      </c>
      <c r="D37" s="110" t="s">
        <v>119</v>
      </c>
      <c r="E37" s="110" t="s">
        <v>1193</v>
      </c>
      <c r="F37" s="96" t="s">
        <v>436</v>
      </c>
      <c r="G37" s="110"/>
    </row>
    <row r="38" spans="2:7" x14ac:dyDescent="0.35">
      <c r="B38" s="110">
        <v>34</v>
      </c>
      <c r="C38" s="102" t="s">
        <v>1194</v>
      </c>
      <c r="D38" s="110" t="s">
        <v>236</v>
      </c>
      <c r="E38" s="110" t="s">
        <v>237</v>
      </c>
      <c r="F38" s="96" t="s">
        <v>436</v>
      </c>
      <c r="G38" s="110"/>
    </row>
    <row r="39" spans="2:7" x14ac:dyDescent="0.35">
      <c r="B39" s="110">
        <v>35</v>
      </c>
      <c r="C39" s="102" t="s">
        <v>1195</v>
      </c>
      <c r="D39" s="110" t="s">
        <v>240</v>
      </c>
      <c r="E39" s="110" t="s">
        <v>241</v>
      </c>
      <c r="F39" s="96" t="s">
        <v>436</v>
      </c>
      <c r="G39" s="110"/>
    </row>
    <row r="40" spans="2:7" x14ac:dyDescent="0.35">
      <c r="B40" s="110">
        <v>36</v>
      </c>
      <c r="C40" s="102" t="s">
        <v>1196</v>
      </c>
      <c r="D40" s="110" t="s">
        <v>211</v>
      </c>
      <c r="E40" s="110" t="s">
        <v>212</v>
      </c>
      <c r="F40" s="96" t="s">
        <v>436</v>
      </c>
      <c r="G40" s="110"/>
    </row>
    <row r="41" spans="2:7" x14ac:dyDescent="0.35">
      <c r="B41" s="110">
        <v>37</v>
      </c>
      <c r="C41" s="102" t="s">
        <v>1197</v>
      </c>
      <c r="D41" s="110" t="s">
        <v>113</v>
      </c>
      <c r="E41" s="110" t="s">
        <v>249</v>
      </c>
      <c r="F41" s="96" t="s">
        <v>436</v>
      </c>
      <c r="G41" s="110"/>
    </row>
    <row r="42" spans="2:7" x14ac:dyDescent="0.35">
      <c r="B42" s="110">
        <v>38</v>
      </c>
      <c r="C42" s="102" t="s">
        <v>1198</v>
      </c>
      <c r="D42" s="110" t="s">
        <v>124</v>
      </c>
      <c r="E42" s="110" t="s">
        <v>125</v>
      </c>
      <c r="F42" s="96" t="s">
        <v>436</v>
      </c>
      <c r="G42" s="110"/>
    </row>
    <row r="43" spans="2:7" x14ac:dyDescent="0.35">
      <c r="B43" s="110">
        <v>39</v>
      </c>
      <c r="C43" s="102" t="s">
        <v>1199</v>
      </c>
      <c r="D43" s="110" t="s">
        <v>152</v>
      </c>
      <c r="E43" s="110" t="s">
        <v>153</v>
      </c>
      <c r="F43" s="96" t="s">
        <v>436</v>
      </c>
      <c r="G43" s="110"/>
    </row>
    <row r="44" spans="2:7" x14ac:dyDescent="0.35">
      <c r="B44" s="110">
        <v>40</v>
      </c>
      <c r="C44" s="102" t="s">
        <v>1200</v>
      </c>
      <c r="D44" s="110" t="s">
        <v>134</v>
      </c>
      <c r="E44" s="110" t="s">
        <v>135</v>
      </c>
      <c r="F44" s="96" t="s">
        <v>436</v>
      </c>
      <c r="G44" s="110"/>
    </row>
    <row r="45" spans="2:7" x14ac:dyDescent="0.35">
      <c r="B45" s="110">
        <v>41</v>
      </c>
      <c r="C45" s="102" t="s">
        <v>1201</v>
      </c>
      <c r="D45" s="110" t="s">
        <v>104</v>
      </c>
      <c r="E45" s="110" t="s">
        <v>196</v>
      </c>
      <c r="F45" s="96" t="s">
        <v>436</v>
      </c>
      <c r="G45" s="110"/>
    </row>
    <row r="46" spans="2:7" x14ac:dyDescent="0.35">
      <c r="B46" s="110">
        <v>42</v>
      </c>
      <c r="C46" s="102" t="s">
        <v>1202</v>
      </c>
      <c r="D46" s="110" t="s">
        <v>119</v>
      </c>
      <c r="E46" s="110" t="s">
        <v>120</v>
      </c>
      <c r="F46" s="96" t="s">
        <v>436</v>
      </c>
      <c r="G46" s="110"/>
    </row>
    <row r="47" spans="2:7" x14ac:dyDescent="0.35">
      <c r="B47" s="110">
        <v>43</v>
      </c>
      <c r="C47" s="102" t="s">
        <v>1203</v>
      </c>
      <c r="D47" s="110" t="s">
        <v>76</v>
      </c>
      <c r="E47" s="110" t="s">
        <v>87</v>
      </c>
      <c r="F47" s="96" t="s">
        <v>436</v>
      </c>
      <c r="G47" s="110"/>
    </row>
    <row r="48" spans="2:7" x14ac:dyDescent="0.35">
      <c r="B48" s="110">
        <v>44</v>
      </c>
      <c r="C48" s="102" t="s">
        <v>1204</v>
      </c>
      <c r="D48" s="110" t="s">
        <v>76</v>
      </c>
      <c r="E48" s="110" t="s">
        <v>109</v>
      </c>
      <c r="F48" s="96" t="s">
        <v>436</v>
      </c>
      <c r="G48" s="110"/>
    </row>
    <row r="49" spans="2:7" x14ac:dyDescent="0.35">
      <c r="B49" s="110">
        <v>45</v>
      </c>
      <c r="C49" s="102" t="s">
        <v>1205</v>
      </c>
      <c r="D49" s="110" t="s">
        <v>136</v>
      </c>
      <c r="E49" s="110" t="s">
        <v>137</v>
      </c>
      <c r="F49" s="96" t="s">
        <v>436</v>
      </c>
      <c r="G49" s="110"/>
    </row>
    <row r="50" spans="2:7" x14ac:dyDescent="0.35">
      <c r="B50" s="110">
        <v>46</v>
      </c>
      <c r="C50" s="102" t="s">
        <v>1206</v>
      </c>
      <c r="D50" s="110" t="s">
        <v>205</v>
      </c>
      <c r="E50" s="110" t="s">
        <v>206</v>
      </c>
      <c r="F50" s="96" t="s">
        <v>436</v>
      </c>
      <c r="G50" s="110"/>
    </row>
    <row r="51" spans="2:7" x14ac:dyDescent="0.35">
      <c r="B51" s="110">
        <v>47</v>
      </c>
      <c r="C51" s="102" t="s">
        <v>1207</v>
      </c>
      <c r="D51" s="110" t="s">
        <v>68</v>
      </c>
      <c r="E51" s="110" t="s">
        <v>81</v>
      </c>
      <c r="F51" s="96" t="s">
        <v>436</v>
      </c>
      <c r="G51" s="110"/>
    </row>
    <row r="52" spans="2:7" x14ac:dyDescent="0.35">
      <c r="B52" s="110">
        <v>48</v>
      </c>
      <c r="C52" s="102" t="s">
        <v>1208</v>
      </c>
      <c r="D52" s="110" t="s">
        <v>107</v>
      </c>
      <c r="E52" s="110" t="s">
        <v>176</v>
      </c>
      <c r="F52" s="96" t="s">
        <v>436</v>
      </c>
      <c r="G52" s="110"/>
    </row>
    <row r="53" spans="2:7" x14ac:dyDescent="0.35">
      <c r="B53" s="110">
        <v>49</v>
      </c>
      <c r="C53" s="102" t="s">
        <v>1209</v>
      </c>
      <c r="D53" s="110" t="s">
        <v>77</v>
      </c>
      <c r="E53" s="110" t="s">
        <v>1210</v>
      </c>
      <c r="F53" s="96" t="s">
        <v>436</v>
      </c>
      <c r="G53" s="110"/>
    </row>
    <row r="54" spans="2:7" x14ac:dyDescent="0.35">
      <c r="B54" s="110">
        <v>50</v>
      </c>
      <c r="C54" s="102" t="s">
        <v>1211</v>
      </c>
      <c r="D54" s="110" t="s">
        <v>243</v>
      </c>
      <c r="E54" s="110" t="s">
        <v>244</v>
      </c>
      <c r="F54" s="96" t="s">
        <v>436</v>
      </c>
      <c r="G54" s="110"/>
    </row>
    <row r="55" spans="2:7" x14ac:dyDescent="0.35">
      <c r="B55" s="110">
        <v>51</v>
      </c>
      <c r="C55" s="102" t="s">
        <v>1212</v>
      </c>
      <c r="D55" s="110" t="s">
        <v>170</v>
      </c>
      <c r="E55" s="110" t="s">
        <v>233</v>
      </c>
      <c r="F55" s="96" t="s">
        <v>436</v>
      </c>
      <c r="G55" s="110"/>
    </row>
    <row r="56" spans="2:7" x14ac:dyDescent="0.35">
      <c r="B56" s="110">
        <v>52</v>
      </c>
      <c r="C56" s="102" t="s">
        <v>1213</v>
      </c>
      <c r="D56" s="110" t="s">
        <v>132</v>
      </c>
      <c r="E56" s="110" t="s">
        <v>133</v>
      </c>
      <c r="F56" s="96" t="s">
        <v>436</v>
      </c>
      <c r="G56" s="110"/>
    </row>
    <row r="57" spans="2:7" ht="29.25" customHeight="1" x14ac:dyDescent="0.35">
      <c r="B57" s="110">
        <v>53</v>
      </c>
      <c r="C57" s="102" t="s">
        <v>1214</v>
      </c>
      <c r="D57" s="110" t="s">
        <v>1163</v>
      </c>
      <c r="E57" s="110" t="s">
        <v>88</v>
      </c>
      <c r="F57" s="96" t="s">
        <v>436</v>
      </c>
      <c r="G57" s="110"/>
    </row>
    <row r="58" spans="2:7" x14ac:dyDescent="0.35">
      <c r="B58" s="110">
        <v>54</v>
      </c>
      <c r="C58" s="102" t="s">
        <v>1215</v>
      </c>
      <c r="D58" s="110" t="s">
        <v>1163</v>
      </c>
      <c r="E58" s="110" t="s">
        <v>88</v>
      </c>
      <c r="F58" s="96" t="s">
        <v>436</v>
      </c>
      <c r="G58" s="110"/>
    </row>
    <row r="59" spans="2:7" x14ac:dyDescent="0.35">
      <c r="B59" s="110">
        <v>55</v>
      </c>
      <c r="C59" s="102" t="s">
        <v>1216</v>
      </c>
      <c r="D59" s="110" t="s">
        <v>1163</v>
      </c>
      <c r="E59" s="110" t="s">
        <v>88</v>
      </c>
      <c r="F59" s="96" t="s">
        <v>436</v>
      </c>
      <c r="G59" s="110"/>
    </row>
    <row r="60" spans="2:7" x14ac:dyDescent="0.35">
      <c r="B60" s="110">
        <v>56</v>
      </c>
      <c r="C60" s="102" t="s">
        <v>1217</v>
      </c>
      <c r="D60" s="110" t="s">
        <v>77</v>
      </c>
      <c r="E60" s="110" t="s">
        <v>93</v>
      </c>
      <c r="F60" s="96" t="s">
        <v>436</v>
      </c>
      <c r="G60" s="110"/>
    </row>
    <row r="61" spans="2:7" x14ac:dyDescent="0.35">
      <c r="B61" s="110">
        <v>57</v>
      </c>
      <c r="C61" s="102" t="s">
        <v>1218</v>
      </c>
      <c r="D61" s="110" t="s">
        <v>1219</v>
      </c>
      <c r="E61" s="110" t="s">
        <v>131</v>
      </c>
      <c r="F61" s="96" t="s">
        <v>436</v>
      </c>
      <c r="G61" s="110"/>
    </row>
    <row r="62" spans="2:7" x14ac:dyDescent="0.35">
      <c r="B62" s="110">
        <v>58</v>
      </c>
      <c r="C62" s="102" t="s">
        <v>1220</v>
      </c>
      <c r="D62" s="110" t="s">
        <v>82</v>
      </c>
      <c r="E62" s="110" t="s">
        <v>219</v>
      </c>
      <c r="F62" s="96" t="s">
        <v>436</v>
      </c>
      <c r="G62" s="110"/>
    </row>
    <row r="63" spans="2:7" x14ac:dyDescent="0.35">
      <c r="B63" s="110">
        <v>59</v>
      </c>
      <c r="C63" s="102" t="s">
        <v>1221</v>
      </c>
      <c r="D63" s="110" t="s">
        <v>68</v>
      </c>
      <c r="E63" s="110" t="s">
        <v>1222</v>
      </c>
      <c r="F63" s="96" t="s">
        <v>436</v>
      </c>
      <c r="G63" s="110"/>
    </row>
    <row r="64" spans="2:7" x14ac:dyDescent="0.35">
      <c r="B64" s="110">
        <v>60</v>
      </c>
      <c r="C64" s="102" t="s">
        <v>1223</v>
      </c>
      <c r="D64" s="110" t="s">
        <v>97</v>
      </c>
      <c r="E64" s="110" t="s">
        <v>228</v>
      </c>
      <c r="F64" s="96" t="s">
        <v>436</v>
      </c>
      <c r="G64" s="110"/>
    </row>
    <row r="65" spans="2:7" x14ac:dyDescent="0.35">
      <c r="B65" s="110">
        <v>61</v>
      </c>
      <c r="C65" s="102" t="s">
        <v>1224</v>
      </c>
      <c r="D65" s="110" t="s">
        <v>84</v>
      </c>
      <c r="E65" s="110" t="s">
        <v>187</v>
      </c>
      <c r="F65" s="96" t="s">
        <v>436</v>
      </c>
      <c r="G65" s="110"/>
    </row>
    <row r="66" spans="2:7" x14ac:dyDescent="0.35">
      <c r="B66" s="110">
        <v>62</v>
      </c>
      <c r="C66" s="102" t="s">
        <v>1225</v>
      </c>
      <c r="D66" s="110" t="s">
        <v>1163</v>
      </c>
      <c r="E66" s="110" t="s">
        <v>88</v>
      </c>
      <c r="F66" s="96" t="s">
        <v>436</v>
      </c>
      <c r="G66" s="110"/>
    </row>
    <row r="67" spans="2:7" ht="27" x14ac:dyDescent="0.35">
      <c r="B67" s="110">
        <v>63</v>
      </c>
      <c r="C67" s="102" t="s">
        <v>1226</v>
      </c>
      <c r="D67" s="110" t="s">
        <v>104</v>
      </c>
      <c r="E67" s="110" t="s">
        <v>168</v>
      </c>
      <c r="F67" s="96" t="s">
        <v>436</v>
      </c>
      <c r="G67" s="110"/>
    </row>
    <row r="68" spans="2:7" ht="27" x14ac:dyDescent="0.35">
      <c r="B68" s="110">
        <v>64</v>
      </c>
      <c r="C68" s="102" t="s">
        <v>1227</v>
      </c>
      <c r="D68" s="110" t="s">
        <v>1228</v>
      </c>
      <c r="E68" s="110" t="s">
        <v>222</v>
      </c>
      <c r="F68" s="96" t="s">
        <v>436</v>
      </c>
      <c r="G68" s="110"/>
    </row>
    <row r="69" spans="2:7" x14ac:dyDescent="0.35">
      <c r="B69" s="110">
        <v>65</v>
      </c>
      <c r="C69" s="102" t="s">
        <v>1229</v>
      </c>
      <c r="D69" s="110" t="s">
        <v>97</v>
      </c>
      <c r="E69" s="110" t="s">
        <v>214</v>
      </c>
      <c r="F69" s="96" t="s">
        <v>436</v>
      </c>
      <c r="G69" s="110"/>
    </row>
    <row r="70" spans="2:7" x14ac:dyDescent="0.35">
      <c r="B70" s="110">
        <v>66</v>
      </c>
      <c r="C70" s="102" t="s">
        <v>1230</v>
      </c>
      <c r="D70" s="110" t="s">
        <v>117</v>
      </c>
      <c r="E70" s="110" t="s">
        <v>118</v>
      </c>
      <c r="F70" s="96" t="s">
        <v>436</v>
      </c>
      <c r="G70" s="110"/>
    </row>
    <row r="71" spans="2:7" x14ac:dyDescent="0.35">
      <c r="B71" s="110">
        <v>67</v>
      </c>
      <c r="C71" s="102" t="s">
        <v>1231</v>
      </c>
      <c r="D71" s="110" t="s">
        <v>202</v>
      </c>
      <c r="E71" s="110" t="s">
        <v>1232</v>
      </c>
      <c r="F71" s="96" t="s">
        <v>436</v>
      </c>
      <c r="G71" s="110"/>
    </row>
    <row r="72" spans="2:7" x14ac:dyDescent="0.35">
      <c r="B72" s="110">
        <v>68</v>
      </c>
      <c r="C72" s="102" t="s">
        <v>1233</v>
      </c>
      <c r="D72" s="110" t="s">
        <v>208</v>
      </c>
      <c r="E72" s="110" t="s">
        <v>209</v>
      </c>
      <c r="F72" s="96" t="s">
        <v>436</v>
      </c>
      <c r="G72" s="110"/>
    </row>
  </sheetData>
  <mergeCells count="1">
    <mergeCell ref="B2:C2"/>
  </mergeCells>
  <hyperlinks>
    <hyperlink ref="B2:C2" r:id="rId1" display="Sl No." xr:uid="{92DBC80D-21C9-4DE7-BE86-55EC8558E75E}"/>
  </hyperlinks>
  <pageMargins left="0.7" right="0.7" top="0.75" bottom="0.75" header="0.3" footer="0.3"/>
  <pageSetup paperSize="9" orientation="portrait" r:id="rId2"/>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E7453-F5AD-4A8B-9FEA-333BBE233E5A}">
  <dimension ref="B2:G16"/>
  <sheetViews>
    <sheetView workbookViewId="0"/>
  </sheetViews>
  <sheetFormatPr defaultRowHeight="14.5" x14ac:dyDescent="0.35"/>
  <cols>
    <col min="1" max="1" width="3.1796875" customWidth="1"/>
    <col min="2" max="2" width="9.54296875" customWidth="1"/>
    <col min="3" max="3" width="44.1796875" bestFit="1" customWidth="1"/>
    <col min="4" max="5" width="22.81640625" customWidth="1"/>
    <col min="6" max="6" width="21.1796875" customWidth="1"/>
    <col min="7" max="7" width="22.453125" style="65" customWidth="1"/>
  </cols>
  <sheetData>
    <row r="2" spans="2:7" ht="15" customHeight="1" x14ac:dyDescent="0.35">
      <c r="B2" s="842" t="s">
        <v>1234</v>
      </c>
      <c r="C2" s="843"/>
      <c r="D2" s="253"/>
      <c r="E2" s="253"/>
    </row>
    <row r="4" spans="2:7" x14ac:dyDescent="0.35">
      <c r="B4" s="129" t="s">
        <v>1235</v>
      </c>
      <c r="C4" s="129" t="s">
        <v>1123</v>
      </c>
      <c r="D4" s="131" t="s">
        <v>7</v>
      </c>
      <c r="E4" s="131" t="s">
        <v>8</v>
      </c>
      <c r="F4" s="133" t="s">
        <v>1236</v>
      </c>
      <c r="G4" s="131" t="s">
        <v>786</v>
      </c>
    </row>
    <row r="5" spans="2:7" ht="27" x14ac:dyDescent="0.35">
      <c r="B5" s="96">
        <v>1</v>
      </c>
      <c r="C5" s="120" t="s">
        <v>39</v>
      </c>
      <c r="D5" s="96" t="s">
        <v>77</v>
      </c>
      <c r="E5" s="96" t="s">
        <v>93</v>
      </c>
      <c r="F5" s="134">
        <v>67.916300000000007</v>
      </c>
      <c r="G5" s="70" t="s">
        <v>1237</v>
      </c>
    </row>
    <row r="6" spans="2:7" x14ac:dyDescent="0.35">
      <c r="B6" s="96">
        <v>2</v>
      </c>
      <c r="C6" s="120" t="s">
        <v>52</v>
      </c>
      <c r="D6" s="96" t="s">
        <v>117</v>
      </c>
      <c r="E6" s="96" t="s">
        <v>118</v>
      </c>
      <c r="F6" s="134">
        <v>189.94</v>
      </c>
      <c r="G6" s="96"/>
    </row>
    <row r="7" spans="2:7" x14ac:dyDescent="0.35">
      <c r="B7" s="96">
        <v>3</v>
      </c>
      <c r="C7" s="120" t="s">
        <v>33</v>
      </c>
      <c r="D7" s="96" t="s">
        <v>77</v>
      </c>
      <c r="E7" s="96" t="s">
        <v>93</v>
      </c>
      <c r="F7" s="134">
        <v>83.139399999999995</v>
      </c>
      <c r="G7" s="96"/>
    </row>
    <row r="8" spans="2:7" x14ac:dyDescent="0.35">
      <c r="B8" s="96">
        <v>4</v>
      </c>
      <c r="C8" s="120" t="s">
        <v>44</v>
      </c>
      <c r="D8" s="96" t="s">
        <v>107</v>
      </c>
      <c r="E8" s="96" t="s">
        <v>1238</v>
      </c>
      <c r="F8" s="134">
        <v>350077</v>
      </c>
      <c r="G8" s="96"/>
    </row>
    <row r="9" spans="2:7" x14ac:dyDescent="0.35">
      <c r="B9" s="96">
        <v>5</v>
      </c>
      <c r="C9" s="120" t="s">
        <v>35</v>
      </c>
      <c r="D9" s="96" t="s">
        <v>77</v>
      </c>
      <c r="E9" s="96" t="s">
        <v>93</v>
      </c>
      <c r="F9" s="134">
        <v>892726</v>
      </c>
      <c r="G9" s="96"/>
    </row>
    <row r="10" spans="2:7" x14ac:dyDescent="0.35">
      <c r="B10" s="96">
        <v>6</v>
      </c>
      <c r="C10" s="120" t="s">
        <v>38</v>
      </c>
      <c r="D10" s="96" t="s">
        <v>77</v>
      </c>
      <c r="E10" s="96" t="s">
        <v>93</v>
      </c>
      <c r="F10" s="134">
        <v>77.965500000000006</v>
      </c>
      <c r="G10" s="96"/>
    </row>
    <row r="11" spans="2:7" x14ac:dyDescent="0.35">
      <c r="B11" s="96">
        <v>7</v>
      </c>
      <c r="C11" s="120" t="s">
        <v>145</v>
      </c>
      <c r="D11" s="96" t="s">
        <v>146</v>
      </c>
      <c r="E11" s="96" t="s">
        <v>1239</v>
      </c>
      <c r="F11" s="134">
        <v>1035.93</v>
      </c>
      <c r="G11" s="96"/>
    </row>
    <row r="12" spans="2:7" x14ac:dyDescent="0.35">
      <c r="B12" s="96">
        <v>8</v>
      </c>
      <c r="C12" s="120" t="s">
        <v>1240</v>
      </c>
      <c r="D12" s="96" t="s">
        <v>68</v>
      </c>
      <c r="E12" s="96" t="s">
        <v>81</v>
      </c>
      <c r="F12" s="134">
        <v>160861</v>
      </c>
      <c r="G12" s="96"/>
    </row>
    <row r="13" spans="2:7" x14ac:dyDescent="0.35">
      <c r="B13" s="96">
        <v>9</v>
      </c>
      <c r="C13" s="120" t="s">
        <v>1241</v>
      </c>
      <c r="D13" s="96" t="s">
        <v>189</v>
      </c>
      <c r="E13" s="96" t="s">
        <v>190</v>
      </c>
      <c r="F13" s="134">
        <v>91.63</v>
      </c>
      <c r="G13" s="96"/>
    </row>
    <row r="14" spans="2:7" x14ac:dyDescent="0.35">
      <c r="B14" s="96">
        <v>10</v>
      </c>
      <c r="C14" s="120" t="s">
        <v>34</v>
      </c>
      <c r="D14" s="96" t="s">
        <v>76</v>
      </c>
      <c r="E14" s="96" t="s">
        <v>87</v>
      </c>
      <c r="F14" s="134">
        <v>1026992</v>
      </c>
      <c r="G14" s="96"/>
    </row>
    <row r="15" spans="2:7" x14ac:dyDescent="0.35">
      <c r="B15" s="96">
        <v>11</v>
      </c>
      <c r="C15" s="120" t="s">
        <v>54</v>
      </c>
      <c r="D15" s="96" t="s">
        <v>117</v>
      </c>
      <c r="E15" s="96" t="s">
        <v>118</v>
      </c>
      <c r="F15" s="134">
        <v>108057</v>
      </c>
      <c r="G15" s="96"/>
    </row>
    <row r="16" spans="2:7" x14ac:dyDescent="0.35">
      <c r="B16" s="96">
        <v>12</v>
      </c>
      <c r="C16" s="120" t="s">
        <v>40</v>
      </c>
      <c r="D16" s="96" t="s">
        <v>100</v>
      </c>
      <c r="E16" s="96" t="s">
        <v>101</v>
      </c>
      <c r="F16" s="134">
        <v>2463515</v>
      </c>
      <c r="G16" s="96"/>
    </row>
  </sheetData>
  <mergeCells count="1">
    <mergeCell ref="B2:C2"/>
  </mergeCells>
  <hyperlinks>
    <hyperlink ref="B2" r:id="rId1" display="https://apcdeloitte-my.sharepoint.com/:f:/r/personal/fayeshik_deloitte_com/Documents/Projects/BEZA%20NMP/BEZA%20Scanned%20Docs/Repository/OSS%20PEZ%20Data?csf=1&amp;web=1&amp;e=ovoM7q" xr:uid="{AE337F6B-ACD3-4066-AD65-DF3E05424607}"/>
    <hyperlink ref="B2:C2" r:id="rId2" display="Source: OSS Wing" xr:uid="{4358E438-30FF-4058-A6B1-D8D82533781D}"/>
  </hyperlinks>
  <pageMargins left="0.7" right="0.7" top="0.75" bottom="0.75" header="0.3" footer="0.3"/>
  <pageSetup orientation="portrait" r:id="rId3"/>
  <tableParts count="1">
    <tablePart r:id="rId4"/>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9C0A0-7516-4EF2-8CD7-248FAD26793F}">
  <dimension ref="B2:Q31"/>
  <sheetViews>
    <sheetView workbookViewId="0"/>
  </sheetViews>
  <sheetFormatPr defaultRowHeight="14.5" x14ac:dyDescent="0.35"/>
  <cols>
    <col min="1" max="1" width="4" customWidth="1"/>
    <col min="2" max="2" width="7.1796875" style="65" customWidth="1"/>
    <col min="3" max="3" width="33.1796875" style="128" customWidth="1"/>
    <col min="4" max="4" width="18.1796875" customWidth="1"/>
    <col min="5" max="5" width="16" customWidth="1"/>
    <col min="6" max="6" width="43.1796875" customWidth="1"/>
    <col min="7" max="7" width="15.453125" style="63" customWidth="1"/>
    <col min="8" max="8" width="50.81640625" customWidth="1"/>
    <col min="9" max="17" width="15" customWidth="1"/>
  </cols>
  <sheetData>
    <row r="2" spans="2:17" ht="27" x14ac:dyDescent="0.35">
      <c r="B2" s="254" t="s">
        <v>4</v>
      </c>
      <c r="C2" s="255" t="s">
        <v>5</v>
      </c>
      <c r="D2" s="69" t="s">
        <v>781</v>
      </c>
      <c r="E2" s="69" t="s">
        <v>782</v>
      </c>
      <c r="F2" s="254" t="s">
        <v>1242</v>
      </c>
      <c r="G2" s="69" t="s">
        <v>783</v>
      </c>
      <c r="H2" s="254" t="s">
        <v>1243</v>
      </c>
      <c r="I2" s="254" t="s">
        <v>799</v>
      </c>
      <c r="J2" s="68" t="s">
        <v>800</v>
      </c>
      <c r="K2" s="69" t="s">
        <v>801</v>
      </c>
      <c r="L2" s="69" t="s">
        <v>802</v>
      </c>
      <c r="M2" s="69" t="s">
        <v>803</v>
      </c>
      <c r="N2" s="69" t="s">
        <v>804</v>
      </c>
      <c r="O2" s="69" t="s">
        <v>805</v>
      </c>
      <c r="P2" s="69" t="s">
        <v>806</v>
      </c>
      <c r="Q2" s="256" t="s">
        <v>807</v>
      </c>
    </row>
    <row r="3" spans="2:17" ht="43.5" x14ac:dyDescent="0.35">
      <c r="B3" s="257">
        <f>'EZ Data'!B71</f>
        <v>68</v>
      </c>
      <c r="C3" s="258" t="str">
        <f>'EZ Data'!C71</f>
        <v>Mongla Special Economic Zone (Indian SEZ)</v>
      </c>
      <c r="D3" s="70" t="str">
        <f>'EZ Data'!AI71</f>
        <v>N/A</v>
      </c>
      <c r="E3" s="70" t="str">
        <f>'EZ Data'!AJ71</f>
        <v>N/A</v>
      </c>
      <c r="F3" s="125" t="s">
        <v>1244</v>
      </c>
      <c r="G3" s="70">
        <v>500</v>
      </c>
      <c r="H3" s="125" t="s">
        <v>1244</v>
      </c>
      <c r="I3" s="86" t="s">
        <v>1000</v>
      </c>
      <c r="J3" s="86" t="s">
        <v>180</v>
      </c>
      <c r="K3" s="86" t="s">
        <v>180</v>
      </c>
      <c r="L3" s="86" t="s">
        <v>180</v>
      </c>
      <c r="M3" s="86" t="s">
        <v>180</v>
      </c>
      <c r="N3" s="86" t="s">
        <v>180</v>
      </c>
      <c r="O3" s="86" t="s">
        <v>180</v>
      </c>
      <c r="P3" s="86" t="s">
        <v>180</v>
      </c>
      <c r="Q3" s="86" t="s">
        <v>180</v>
      </c>
    </row>
    <row r="4" spans="2:17" ht="43.5" x14ac:dyDescent="0.35">
      <c r="B4" s="257">
        <f>'EZ Data'!B72</f>
        <v>69</v>
      </c>
      <c r="C4" s="258" t="str">
        <f>'EZ Data'!C72</f>
        <v>‘Garments Industries Park’ proposed by BGMEA</v>
      </c>
      <c r="D4" s="70" t="str">
        <f>'EZ Data'!AI72</f>
        <v>-</v>
      </c>
      <c r="E4" s="70" t="str">
        <f>'EZ Data'!AJ72</f>
        <v>-</v>
      </c>
      <c r="F4" s="126" t="s">
        <v>1245</v>
      </c>
      <c r="G4" s="70">
        <v>200</v>
      </c>
      <c r="H4" s="126" t="s">
        <v>1245</v>
      </c>
      <c r="I4" s="86" t="s">
        <v>1003</v>
      </c>
      <c r="J4" s="86" t="s">
        <v>839</v>
      </c>
      <c r="K4" s="86" t="s">
        <v>1004</v>
      </c>
      <c r="L4" s="86" t="s">
        <v>848</v>
      </c>
      <c r="M4" s="86" t="s">
        <v>1005</v>
      </c>
      <c r="N4" s="86" t="s">
        <v>1006</v>
      </c>
      <c r="O4" s="86" t="s">
        <v>180</v>
      </c>
      <c r="P4" s="86" t="s">
        <v>180</v>
      </c>
      <c r="Q4" s="86" t="s">
        <v>180</v>
      </c>
    </row>
    <row r="5" spans="2:17" ht="29" x14ac:dyDescent="0.35">
      <c r="B5" s="257">
        <f>'EZ Data'!B73</f>
        <v>70</v>
      </c>
      <c r="C5" s="258" t="str">
        <f>'EZ Data'!C73</f>
        <v>A.K.Khan and Comapny Ltd. Economic Zone,</v>
      </c>
      <c r="D5" s="70" t="str">
        <f>'EZ Data'!AI73</f>
        <v>-</v>
      </c>
      <c r="E5" s="70" t="str">
        <f>'EZ Data'!AJ73</f>
        <v>-</v>
      </c>
      <c r="F5" s="126" t="s">
        <v>1246</v>
      </c>
      <c r="G5" s="70">
        <v>500</v>
      </c>
      <c r="H5" s="126" t="s">
        <v>1246</v>
      </c>
      <c r="I5" s="86" t="s">
        <v>1009</v>
      </c>
      <c r="J5" s="86" t="s">
        <v>848</v>
      </c>
      <c r="K5" s="86" t="s">
        <v>1004</v>
      </c>
      <c r="L5" s="86" t="s">
        <v>180</v>
      </c>
      <c r="M5" s="86" t="s">
        <v>180</v>
      </c>
      <c r="N5" s="86" t="s">
        <v>180</v>
      </c>
      <c r="O5" s="86" t="s">
        <v>180</v>
      </c>
      <c r="P5" s="86" t="s">
        <v>180</v>
      </c>
      <c r="Q5" s="86" t="s">
        <v>180</v>
      </c>
    </row>
    <row r="6" spans="2:17" x14ac:dyDescent="0.35">
      <c r="B6" s="257">
        <f>'EZ Data'!B74</f>
        <v>71</v>
      </c>
      <c r="C6" s="258" t="str">
        <f>'EZ Data'!C74</f>
        <v>Abdul Monem Economic Zone</v>
      </c>
      <c r="D6" s="70">
        <f>'EZ Data'!AI74</f>
        <v>189.94</v>
      </c>
      <c r="E6" s="70">
        <f>'EZ Data'!AJ74</f>
        <v>216</v>
      </c>
      <c r="F6" s="71" t="s">
        <v>1247</v>
      </c>
      <c r="G6" s="70" t="s">
        <v>180</v>
      </c>
      <c r="H6" s="71" t="s">
        <v>1247</v>
      </c>
      <c r="I6" s="86" t="s">
        <v>180</v>
      </c>
      <c r="J6" s="86" t="s">
        <v>180</v>
      </c>
      <c r="K6" s="86" t="s">
        <v>180</v>
      </c>
      <c r="L6" s="86" t="s">
        <v>180</v>
      </c>
      <c r="M6" s="86" t="s">
        <v>180</v>
      </c>
      <c r="N6" s="86" t="s">
        <v>180</v>
      </c>
      <c r="O6" s="86" t="s">
        <v>180</v>
      </c>
      <c r="P6" s="86" t="s">
        <v>180</v>
      </c>
      <c r="Q6" s="86" t="s">
        <v>180</v>
      </c>
    </row>
    <row r="7" spans="2:17" ht="43.5" x14ac:dyDescent="0.35">
      <c r="B7" s="257">
        <f>'EZ Data'!B75</f>
        <v>72</v>
      </c>
      <c r="C7" s="258" t="str">
        <f>'EZ Data'!C75</f>
        <v>Abul Khair Economic Zone</v>
      </c>
      <c r="D7" s="70" t="str">
        <f>'EZ Data'!AI75</f>
        <v>-</v>
      </c>
      <c r="E7" s="70" t="str">
        <f>'EZ Data'!AJ75</f>
        <v>-</v>
      </c>
      <c r="F7" s="126" t="s">
        <v>1248</v>
      </c>
      <c r="G7" s="70">
        <v>110</v>
      </c>
      <c r="H7" s="126" t="s">
        <v>1248</v>
      </c>
      <c r="I7" s="86" t="s">
        <v>848</v>
      </c>
      <c r="J7" s="86" t="s">
        <v>180</v>
      </c>
      <c r="K7" s="86" t="s">
        <v>180</v>
      </c>
      <c r="L7" s="86" t="s">
        <v>180</v>
      </c>
      <c r="M7" s="86" t="s">
        <v>180</v>
      </c>
      <c r="N7" s="86" t="s">
        <v>180</v>
      </c>
      <c r="O7" s="86" t="s">
        <v>180</v>
      </c>
      <c r="P7" s="86" t="s">
        <v>180</v>
      </c>
      <c r="Q7" s="86" t="s">
        <v>180</v>
      </c>
    </row>
    <row r="8" spans="2:17" x14ac:dyDescent="0.35">
      <c r="B8" s="257">
        <f>'EZ Data'!B76</f>
        <v>73</v>
      </c>
      <c r="C8" s="258" t="str">
        <f>'EZ Data'!C76</f>
        <v>Akij Economic Zone</v>
      </c>
      <c r="D8" s="70" t="str">
        <f>'EZ Data'!AI76</f>
        <v>-</v>
      </c>
      <c r="E8" s="70" t="str">
        <f>'EZ Data'!AJ76</f>
        <v>-</v>
      </c>
      <c r="F8" s="71" t="s">
        <v>1247</v>
      </c>
      <c r="G8" s="70" t="s">
        <v>180</v>
      </c>
      <c r="H8" s="71" t="s">
        <v>1247</v>
      </c>
      <c r="I8" s="86" t="s">
        <v>180</v>
      </c>
      <c r="J8" s="86" t="s">
        <v>180</v>
      </c>
      <c r="K8" s="86" t="s">
        <v>180</v>
      </c>
      <c r="L8" s="86" t="s">
        <v>180</v>
      </c>
      <c r="M8" s="86" t="s">
        <v>180</v>
      </c>
      <c r="N8" s="86" t="s">
        <v>180</v>
      </c>
      <c r="O8" s="86" t="s">
        <v>180</v>
      </c>
      <c r="P8" s="86" t="s">
        <v>180</v>
      </c>
      <c r="Q8" s="86" t="s">
        <v>180</v>
      </c>
    </row>
    <row r="9" spans="2:17" ht="29" x14ac:dyDescent="0.35">
      <c r="B9" s="257">
        <f>'EZ Data'!B77</f>
        <v>74</v>
      </c>
      <c r="C9" s="258" t="str">
        <f>'EZ Data'!C77</f>
        <v>Aliance Economic Zone</v>
      </c>
      <c r="D9" s="70" t="str">
        <f>'EZ Data'!AI77</f>
        <v>-</v>
      </c>
      <c r="E9" s="70" t="str">
        <f>'EZ Data'!AJ77</f>
        <v>-</v>
      </c>
      <c r="F9" s="126" t="s">
        <v>1249</v>
      </c>
      <c r="G9" s="70">
        <v>150</v>
      </c>
      <c r="H9" s="126" t="s">
        <v>1249</v>
      </c>
      <c r="I9" s="86" t="s">
        <v>1013</v>
      </c>
      <c r="J9" s="86" t="s">
        <v>1014</v>
      </c>
      <c r="K9" s="86" t="s">
        <v>1004</v>
      </c>
      <c r="L9" s="86" t="s">
        <v>1015</v>
      </c>
      <c r="M9" s="86" t="s">
        <v>1016</v>
      </c>
      <c r="N9" s="86" t="s">
        <v>1017</v>
      </c>
      <c r="O9" s="86" t="s">
        <v>852</v>
      </c>
      <c r="P9" s="86" t="s">
        <v>1018</v>
      </c>
      <c r="Q9" s="86" t="s">
        <v>1006</v>
      </c>
    </row>
    <row r="10" spans="2:17" x14ac:dyDescent="0.35">
      <c r="B10" s="257">
        <f>'EZ Data'!B78</f>
        <v>75</v>
      </c>
      <c r="C10" s="258" t="str">
        <f>'EZ Data'!C78</f>
        <v>Aman Economic Zone</v>
      </c>
      <c r="D10" s="70">
        <f>'EZ Data'!AI78</f>
        <v>83.139399999999995</v>
      </c>
      <c r="E10" s="70">
        <f>'EZ Data'!AJ78</f>
        <v>150</v>
      </c>
      <c r="F10" s="71" t="s">
        <v>1247</v>
      </c>
      <c r="G10" s="70" t="s">
        <v>180</v>
      </c>
      <c r="H10" s="71" t="s">
        <v>1247</v>
      </c>
      <c r="I10" s="86" t="s">
        <v>180</v>
      </c>
      <c r="J10" s="86" t="s">
        <v>180</v>
      </c>
      <c r="K10" s="86" t="s">
        <v>180</v>
      </c>
      <c r="L10" s="86" t="s">
        <v>180</v>
      </c>
      <c r="M10" s="86" t="s">
        <v>180</v>
      </c>
      <c r="N10" s="86" t="s">
        <v>180</v>
      </c>
      <c r="O10" s="86" t="s">
        <v>180</v>
      </c>
      <c r="P10" s="86" t="s">
        <v>180</v>
      </c>
      <c r="Q10" s="86" t="s">
        <v>180</v>
      </c>
    </row>
    <row r="11" spans="2:17" ht="43.5" x14ac:dyDescent="0.35">
      <c r="B11" s="257">
        <f>'EZ Data'!B79</f>
        <v>76</v>
      </c>
      <c r="C11" s="258" t="str">
        <f>'EZ Data'!C79</f>
        <v>Anowar Economic Zone</v>
      </c>
      <c r="D11" s="70" t="str">
        <f>'EZ Data'!AI79</f>
        <v>-</v>
      </c>
      <c r="E11" s="70" t="str">
        <f>'EZ Data'!AJ79</f>
        <v>-</v>
      </c>
      <c r="F11" s="126" t="s">
        <v>1250</v>
      </c>
      <c r="G11" s="70">
        <v>50.8</v>
      </c>
      <c r="H11" s="126" t="s">
        <v>1250</v>
      </c>
      <c r="I11" s="86" t="s">
        <v>865</v>
      </c>
      <c r="J11" s="86" t="s">
        <v>1020</v>
      </c>
      <c r="K11" s="86" t="s">
        <v>1021</v>
      </c>
      <c r="L11" s="86" t="s">
        <v>1022</v>
      </c>
      <c r="M11" s="86" t="s">
        <v>1014</v>
      </c>
      <c r="N11" s="86" t="s">
        <v>1006</v>
      </c>
      <c r="O11" s="86" t="s">
        <v>1023</v>
      </c>
      <c r="P11" s="86" t="s">
        <v>1009</v>
      </c>
      <c r="Q11" s="86" t="s">
        <v>180</v>
      </c>
    </row>
    <row r="12" spans="2:17" x14ac:dyDescent="0.35">
      <c r="B12" s="257">
        <f>'EZ Data'!B80</f>
        <v>77</v>
      </c>
      <c r="C12" s="258" t="str">
        <f>'EZ Data'!C80</f>
        <v>Arisha Economic Zone</v>
      </c>
      <c r="D12" s="70" t="str">
        <f>'EZ Data'!AI80</f>
        <v>-</v>
      </c>
      <c r="E12" s="70" t="str">
        <f>'EZ Data'!AJ80</f>
        <v>-</v>
      </c>
      <c r="F12" s="71" t="s">
        <v>1247</v>
      </c>
      <c r="G12" s="70" t="s">
        <v>180</v>
      </c>
      <c r="H12" s="71" t="s">
        <v>1247</v>
      </c>
      <c r="I12" s="86" t="s">
        <v>180</v>
      </c>
      <c r="J12" s="86" t="s">
        <v>180</v>
      </c>
      <c r="K12" s="86" t="s">
        <v>180</v>
      </c>
      <c r="L12" s="86" t="s">
        <v>180</v>
      </c>
      <c r="M12" s="86" t="s">
        <v>180</v>
      </c>
      <c r="N12" s="86" t="s">
        <v>180</v>
      </c>
      <c r="O12" s="86" t="s">
        <v>180</v>
      </c>
      <c r="P12" s="86" t="s">
        <v>180</v>
      </c>
      <c r="Q12" s="86" t="s">
        <v>180</v>
      </c>
    </row>
    <row r="13" spans="2:17" ht="29" x14ac:dyDescent="0.35">
      <c r="B13" s="257">
        <f>'EZ Data'!B81</f>
        <v>78</v>
      </c>
      <c r="C13" s="258" t="str">
        <f>'EZ Data'!C81</f>
        <v>Bashundhara Economic Zone</v>
      </c>
      <c r="D13" s="70" t="str">
        <f>'EZ Data'!AI81</f>
        <v>-</v>
      </c>
      <c r="E13" s="70" t="str">
        <f>'EZ Data'!AJ81</f>
        <v>-</v>
      </c>
      <c r="F13" s="125" t="s">
        <v>1251</v>
      </c>
      <c r="G13" s="70">
        <v>65</v>
      </c>
      <c r="H13" s="125" t="s">
        <v>1251</v>
      </c>
      <c r="I13" s="86" t="s">
        <v>1027</v>
      </c>
      <c r="J13" s="86" t="s">
        <v>1028</v>
      </c>
      <c r="K13" s="86" t="s">
        <v>1004</v>
      </c>
      <c r="L13" s="86" t="s">
        <v>1006</v>
      </c>
      <c r="M13" s="86" t="s">
        <v>848</v>
      </c>
      <c r="N13" s="86" t="s">
        <v>1003</v>
      </c>
      <c r="O13" s="86" t="s">
        <v>1029</v>
      </c>
      <c r="P13" s="86" t="s">
        <v>180</v>
      </c>
      <c r="Q13" s="86" t="s">
        <v>180</v>
      </c>
    </row>
    <row r="14" spans="2:17" x14ac:dyDescent="0.35">
      <c r="B14" s="257">
        <f>'EZ Data'!B82</f>
        <v>79</v>
      </c>
      <c r="C14" s="258" t="str">
        <f>'EZ Data'!C82</f>
        <v>Bay Economic Zone</v>
      </c>
      <c r="D14" s="70">
        <f>'EZ Data'!AI82</f>
        <v>350077</v>
      </c>
      <c r="E14" s="70">
        <f>'EZ Data'!AJ82</f>
        <v>60</v>
      </c>
      <c r="F14" s="71" t="s">
        <v>1247</v>
      </c>
      <c r="G14" s="70" t="s">
        <v>180</v>
      </c>
      <c r="H14" s="71" t="s">
        <v>1247</v>
      </c>
      <c r="I14" s="86" t="s">
        <v>180</v>
      </c>
      <c r="J14" s="86" t="s">
        <v>180</v>
      </c>
      <c r="K14" s="86" t="s">
        <v>180</v>
      </c>
      <c r="L14" s="86" t="s">
        <v>180</v>
      </c>
      <c r="M14" s="86" t="s">
        <v>180</v>
      </c>
      <c r="N14" s="86" t="s">
        <v>180</v>
      </c>
      <c r="O14" s="86" t="s">
        <v>180</v>
      </c>
      <c r="P14" s="86" t="s">
        <v>180</v>
      </c>
      <c r="Q14" s="86" t="s">
        <v>180</v>
      </c>
    </row>
    <row r="15" spans="2:17" x14ac:dyDescent="0.35">
      <c r="B15" s="257">
        <f>'EZ Data'!B83</f>
        <v>80</v>
      </c>
      <c r="C15" s="258" t="str">
        <f>'EZ Data'!C83</f>
        <v>Chatak Economic Zone</v>
      </c>
      <c r="D15" s="70" t="str">
        <f>'EZ Data'!AI83</f>
        <v>-</v>
      </c>
      <c r="E15" s="70" t="str">
        <f>'EZ Data'!AJ83</f>
        <v>-</v>
      </c>
      <c r="F15" s="125" t="s">
        <v>1252</v>
      </c>
      <c r="G15" s="70">
        <v>77.959999999999994</v>
      </c>
      <c r="H15" s="125" t="s">
        <v>1252</v>
      </c>
      <c r="I15" s="86" t="s">
        <v>1028</v>
      </c>
      <c r="J15" s="86" t="s">
        <v>1033</v>
      </c>
      <c r="K15" s="86" t="s">
        <v>180</v>
      </c>
      <c r="L15" s="86" t="s">
        <v>180</v>
      </c>
      <c r="M15" s="86" t="s">
        <v>180</v>
      </c>
      <c r="N15" s="86" t="s">
        <v>180</v>
      </c>
      <c r="O15" s="86" t="s">
        <v>180</v>
      </c>
      <c r="P15" s="86" t="s">
        <v>180</v>
      </c>
      <c r="Q15" s="86" t="s">
        <v>180</v>
      </c>
    </row>
    <row r="16" spans="2:17" x14ac:dyDescent="0.35">
      <c r="B16" s="257">
        <f>'EZ Data'!B84</f>
        <v>81</v>
      </c>
      <c r="C16" s="258" t="str">
        <f>'EZ Data'!C84</f>
        <v>City Economic Zone</v>
      </c>
      <c r="D16" s="70">
        <f>'EZ Data'!AI84</f>
        <v>77.965500000000006</v>
      </c>
      <c r="E16" s="70">
        <f>'EZ Data'!AJ84</f>
        <v>78</v>
      </c>
      <c r="F16" s="71" t="s">
        <v>1247</v>
      </c>
      <c r="G16" s="70" t="s">
        <v>180</v>
      </c>
      <c r="H16" s="71" t="s">
        <v>1247</v>
      </c>
      <c r="I16" s="86" t="s">
        <v>180</v>
      </c>
      <c r="J16" s="86" t="s">
        <v>180</v>
      </c>
      <c r="K16" s="86" t="s">
        <v>180</v>
      </c>
      <c r="L16" s="86" t="s">
        <v>180</v>
      </c>
      <c r="M16" s="86" t="s">
        <v>180</v>
      </c>
      <c r="N16" s="86" t="s">
        <v>180</v>
      </c>
      <c r="O16" s="86" t="s">
        <v>180</v>
      </c>
      <c r="P16" s="86" t="s">
        <v>180</v>
      </c>
      <c r="Q16" s="86" t="s">
        <v>180</v>
      </c>
    </row>
    <row r="17" spans="2:17" ht="29" x14ac:dyDescent="0.35">
      <c r="B17" s="257">
        <f>'EZ Data'!B85</f>
        <v>82</v>
      </c>
      <c r="C17" s="258" t="str">
        <f>'EZ Data'!C85</f>
        <v>City Special Economic Zone</v>
      </c>
      <c r="D17" s="70" t="str">
        <f>'EZ Data'!AI85</f>
        <v>-</v>
      </c>
      <c r="E17" s="70" t="str">
        <f>'EZ Data'!AJ85</f>
        <v>-</v>
      </c>
      <c r="F17" s="125" t="s">
        <v>1253</v>
      </c>
      <c r="G17" s="70">
        <v>301</v>
      </c>
      <c r="H17" s="125" t="s">
        <v>1253</v>
      </c>
      <c r="I17" s="86" t="s">
        <v>1000</v>
      </c>
      <c r="J17" s="86" t="s">
        <v>1036</v>
      </c>
      <c r="K17" s="86" t="s">
        <v>1037</v>
      </c>
      <c r="L17" s="86" t="s">
        <v>1004</v>
      </c>
      <c r="M17" s="86" t="s">
        <v>839</v>
      </c>
      <c r="N17" s="86" t="s">
        <v>1038</v>
      </c>
      <c r="O17" s="86" t="s">
        <v>1005</v>
      </c>
      <c r="P17" s="86" t="s">
        <v>848</v>
      </c>
      <c r="Q17" s="86" t="s">
        <v>1039</v>
      </c>
    </row>
    <row r="18" spans="2:17" x14ac:dyDescent="0.35">
      <c r="B18" s="257">
        <f>'EZ Data'!B86</f>
        <v>83</v>
      </c>
      <c r="C18" s="258" t="str">
        <f>'EZ Data'!C86</f>
        <v>Cumilla Economic Zone</v>
      </c>
      <c r="D18" s="70">
        <f>'EZ Data'!AI86</f>
        <v>2463515</v>
      </c>
      <c r="E18" s="70" t="str">
        <f>'EZ Data'!AJ86</f>
        <v>-</v>
      </c>
      <c r="F18" s="71" t="s">
        <v>1247</v>
      </c>
      <c r="G18" s="70" t="s">
        <v>180</v>
      </c>
      <c r="H18" s="71" t="s">
        <v>1247</v>
      </c>
      <c r="I18" s="86" t="s">
        <v>180</v>
      </c>
      <c r="J18" s="86" t="s">
        <v>180</v>
      </c>
      <c r="K18" s="86" t="s">
        <v>180</v>
      </c>
      <c r="L18" s="86" t="s">
        <v>180</v>
      </c>
      <c r="M18" s="86" t="s">
        <v>180</v>
      </c>
      <c r="N18" s="86" t="s">
        <v>180</v>
      </c>
      <c r="O18" s="86" t="s">
        <v>180</v>
      </c>
      <c r="P18" s="86" t="s">
        <v>180</v>
      </c>
      <c r="Q18" s="86" t="s">
        <v>180</v>
      </c>
    </row>
    <row r="19" spans="2:17" ht="43.5" x14ac:dyDescent="0.35">
      <c r="B19" s="257">
        <f>'EZ Data'!B87</f>
        <v>84</v>
      </c>
      <c r="C19" s="258" t="str">
        <f>'EZ Data'!C87</f>
        <v>East-Coast Group Economic Zone</v>
      </c>
      <c r="D19" s="70" t="str">
        <f>'EZ Data'!AI87</f>
        <v>-</v>
      </c>
      <c r="E19" s="70" t="str">
        <f>'EZ Data'!AJ87</f>
        <v>-</v>
      </c>
      <c r="F19" s="125" t="s">
        <v>1254</v>
      </c>
      <c r="G19" s="70">
        <v>102.69</v>
      </c>
      <c r="H19" s="125" t="s">
        <v>1254</v>
      </c>
      <c r="I19" s="86" t="s">
        <v>1028</v>
      </c>
      <c r="J19" s="86" t="s">
        <v>1041</v>
      </c>
      <c r="K19" s="86" t="s">
        <v>1042</v>
      </c>
      <c r="L19" s="86" t="s">
        <v>1043</v>
      </c>
      <c r="M19" s="86" t="s">
        <v>1044</v>
      </c>
      <c r="N19" s="86" t="s">
        <v>1005</v>
      </c>
      <c r="O19" s="86" t="s">
        <v>180</v>
      </c>
      <c r="P19" s="86" t="s">
        <v>180</v>
      </c>
      <c r="Q19" s="86" t="s">
        <v>180</v>
      </c>
    </row>
    <row r="20" spans="2:17" x14ac:dyDescent="0.35">
      <c r="B20" s="257">
        <f>'EZ Data'!B88</f>
        <v>85</v>
      </c>
      <c r="C20" s="258" t="str">
        <f>'EZ Data'!C88</f>
        <v>East-West Special Economic Zone</v>
      </c>
      <c r="D20" s="70">
        <f>'EZ Data'!AI88</f>
        <v>1026992</v>
      </c>
      <c r="E20" s="70" t="str">
        <f>'EZ Data'!AJ88</f>
        <v>-</v>
      </c>
      <c r="F20" s="71" t="s">
        <v>1247</v>
      </c>
      <c r="G20" s="70" t="s">
        <v>180</v>
      </c>
      <c r="H20" s="71" t="s">
        <v>1247</v>
      </c>
      <c r="I20" s="86" t="s">
        <v>180</v>
      </c>
      <c r="J20" s="86" t="s">
        <v>180</v>
      </c>
      <c r="K20" s="86" t="s">
        <v>180</v>
      </c>
      <c r="L20" s="86" t="s">
        <v>180</v>
      </c>
      <c r="M20" s="86" t="s">
        <v>180</v>
      </c>
      <c r="N20" s="86" t="s">
        <v>180</v>
      </c>
      <c r="O20" s="86" t="s">
        <v>180</v>
      </c>
      <c r="P20" s="86" t="s">
        <v>180</v>
      </c>
      <c r="Q20" s="86" t="s">
        <v>180</v>
      </c>
    </row>
    <row r="21" spans="2:17" ht="43.5" x14ac:dyDescent="0.35">
      <c r="B21" s="257">
        <f>'EZ Data'!B89</f>
        <v>86</v>
      </c>
      <c r="C21" s="258" t="str">
        <f>'EZ Data'!C89</f>
        <v>Famkam Economic Zone</v>
      </c>
      <c r="D21" s="70" t="str">
        <f>'EZ Data'!AI89</f>
        <v>-</v>
      </c>
      <c r="E21" s="70" t="str">
        <f>'EZ Data'!AJ89</f>
        <v>-</v>
      </c>
      <c r="F21" s="125" t="s">
        <v>1255</v>
      </c>
      <c r="G21" s="70">
        <v>153</v>
      </c>
      <c r="H21" s="125" t="s">
        <v>1255</v>
      </c>
      <c r="I21" s="86" t="s">
        <v>1028</v>
      </c>
      <c r="J21" s="86" t="s">
        <v>852</v>
      </c>
      <c r="K21" s="86" t="s">
        <v>1046</v>
      </c>
      <c r="L21" s="86" t="s">
        <v>1047</v>
      </c>
      <c r="M21" s="86" t="s">
        <v>1048</v>
      </c>
      <c r="N21" s="86" t="s">
        <v>180</v>
      </c>
      <c r="O21" s="86" t="s">
        <v>180</v>
      </c>
      <c r="P21" s="86" t="s">
        <v>180</v>
      </c>
      <c r="Q21" s="86" t="s">
        <v>180</v>
      </c>
    </row>
    <row r="22" spans="2:17" ht="43.5" x14ac:dyDescent="0.35">
      <c r="B22" s="257">
        <f>'EZ Data'!B90</f>
        <v>87</v>
      </c>
      <c r="C22" s="258" t="str">
        <f>'EZ Data'!C90</f>
        <v>Hamid Economic Zone</v>
      </c>
      <c r="D22" s="70" t="str">
        <f>'EZ Data'!AI90</f>
        <v>-</v>
      </c>
      <c r="E22" s="70" t="str">
        <f>'EZ Data'!AJ90</f>
        <v>-</v>
      </c>
      <c r="F22" s="125" t="s">
        <v>1256</v>
      </c>
      <c r="G22" s="70">
        <v>108</v>
      </c>
      <c r="H22" s="125" t="s">
        <v>1256</v>
      </c>
      <c r="I22" s="86" t="s">
        <v>848</v>
      </c>
      <c r="J22" s="86" t="s">
        <v>1050</v>
      </c>
      <c r="K22" s="86" t="s">
        <v>1051</v>
      </c>
      <c r="L22" s="86" t="s">
        <v>1052</v>
      </c>
      <c r="M22" s="86" t="s">
        <v>940</v>
      </c>
      <c r="N22" s="86" t="s">
        <v>852</v>
      </c>
      <c r="O22" s="86" t="s">
        <v>1009</v>
      </c>
      <c r="P22" s="86" t="s">
        <v>1053</v>
      </c>
      <c r="Q22" s="86" t="s">
        <v>180</v>
      </c>
    </row>
    <row r="23" spans="2:17" ht="43.5" x14ac:dyDescent="0.35">
      <c r="B23" s="257">
        <f>'EZ Data'!B91</f>
        <v>88</v>
      </c>
      <c r="C23" s="258" t="str">
        <f>'EZ Data'!C91</f>
        <v>Hoshendi Economic Zone</v>
      </c>
      <c r="D23" s="70">
        <f>'EZ Data'!AI91</f>
        <v>108057</v>
      </c>
      <c r="E23" s="70" t="str">
        <f>'EZ Data'!AJ91</f>
        <v>-</v>
      </c>
      <c r="F23" s="125" t="s">
        <v>1257</v>
      </c>
      <c r="G23" s="70">
        <v>20.98</v>
      </c>
      <c r="H23" s="125" t="s">
        <v>1257</v>
      </c>
      <c r="I23" s="86" t="s">
        <v>1018</v>
      </c>
      <c r="J23" s="86" t="s">
        <v>180</v>
      </c>
      <c r="K23" s="86" t="s">
        <v>180</v>
      </c>
      <c r="L23" s="86" t="s">
        <v>180</v>
      </c>
      <c r="M23" s="86" t="s">
        <v>180</v>
      </c>
      <c r="N23" s="86" t="s">
        <v>180</v>
      </c>
      <c r="O23" s="86" t="s">
        <v>180</v>
      </c>
      <c r="P23" s="86" t="s">
        <v>180</v>
      </c>
      <c r="Q23" s="86" t="s">
        <v>180</v>
      </c>
    </row>
    <row r="24" spans="2:17" ht="27" x14ac:dyDescent="0.35">
      <c r="B24" s="257">
        <f>'EZ Data'!B92</f>
        <v>89</v>
      </c>
      <c r="C24" s="258" t="str">
        <f>'EZ Data'!C92</f>
        <v>Karnaphuli Dry Dock Special Economic Zone</v>
      </c>
      <c r="D24" s="70">
        <f>'EZ Data'!AI92</f>
        <v>160861</v>
      </c>
      <c r="E24" s="70" t="str">
        <f>'EZ Data'!AJ92</f>
        <v>-</v>
      </c>
      <c r="F24" s="71" t="s">
        <v>1247</v>
      </c>
      <c r="G24" s="70" t="s">
        <v>180</v>
      </c>
      <c r="H24" s="71" t="s">
        <v>1247</v>
      </c>
      <c r="I24" s="86" t="s">
        <v>180</v>
      </c>
      <c r="J24" s="86" t="s">
        <v>180</v>
      </c>
      <c r="K24" s="86" t="s">
        <v>180</v>
      </c>
      <c r="L24" s="86" t="s">
        <v>180</v>
      </c>
      <c r="M24" s="86" t="s">
        <v>180</v>
      </c>
      <c r="N24" s="86" t="s">
        <v>180</v>
      </c>
      <c r="O24" s="86" t="s">
        <v>180</v>
      </c>
      <c r="P24" s="86" t="s">
        <v>180</v>
      </c>
      <c r="Q24" s="86" t="s">
        <v>180</v>
      </c>
    </row>
    <row r="25" spans="2:17" ht="43.5" x14ac:dyDescent="0.35">
      <c r="B25" s="257">
        <f>'EZ Data'!B93</f>
        <v>90</v>
      </c>
      <c r="C25" s="258" t="str">
        <f>'EZ Data'!C93</f>
        <v>Kazi Farms Economic Zone Ltd.</v>
      </c>
      <c r="D25" s="70" t="str">
        <f>'EZ Data'!AI93</f>
        <v>-</v>
      </c>
      <c r="E25" s="70" t="str">
        <f>'EZ Data'!AJ93</f>
        <v>-</v>
      </c>
      <c r="F25" s="125" t="s">
        <v>1258</v>
      </c>
      <c r="G25" s="70">
        <v>91.63</v>
      </c>
      <c r="H25" s="125" t="s">
        <v>1258</v>
      </c>
      <c r="I25" s="86" t="s">
        <v>1009</v>
      </c>
      <c r="J25" s="86" t="s">
        <v>180</v>
      </c>
      <c r="K25" s="86" t="s">
        <v>180</v>
      </c>
      <c r="L25" s="86" t="s">
        <v>180</v>
      </c>
      <c r="M25" s="86" t="s">
        <v>180</v>
      </c>
      <c r="N25" s="86" t="s">
        <v>180</v>
      </c>
      <c r="O25" s="86" t="s">
        <v>180</v>
      </c>
      <c r="P25" s="86" t="s">
        <v>180</v>
      </c>
      <c r="Q25" s="86" t="s">
        <v>180</v>
      </c>
    </row>
    <row r="26" spans="2:17" ht="29" x14ac:dyDescent="0.35">
      <c r="B26" s="257">
        <f>'EZ Data'!B94</f>
        <v>91</v>
      </c>
      <c r="C26" s="258" t="str">
        <f>'EZ Data'!C94</f>
        <v>Kishoreganj Economic Zone (Nitol Motors Ltd.)</v>
      </c>
      <c r="D26" s="70">
        <f>'EZ Data'!AI94</f>
        <v>91.63</v>
      </c>
      <c r="E26" s="70" t="str">
        <f>'EZ Data'!AJ94</f>
        <v>-</v>
      </c>
      <c r="F26" s="125" t="s">
        <v>1259</v>
      </c>
      <c r="G26" s="70">
        <v>67.92</v>
      </c>
      <c r="H26" s="125" t="s">
        <v>1260</v>
      </c>
      <c r="I26" s="86" t="s">
        <v>1028</v>
      </c>
      <c r="J26" s="86" t="s">
        <v>1056</v>
      </c>
      <c r="K26" s="86" t="s">
        <v>1057</v>
      </c>
      <c r="L26" s="86" t="s">
        <v>1005</v>
      </c>
      <c r="M26" s="86" t="s">
        <v>1014</v>
      </c>
      <c r="N26" s="86" t="s">
        <v>839</v>
      </c>
      <c r="O26" s="86" t="s">
        <v>848</v>
      </c>
      <c r="P26" s="86" t="s">
        <v>180</v>
      </c>
      <c r="Q26" s="86" t="s">
        <v>180</v>
      </c>
    </row>
    <row r="27" spans="2:17" ht="29" x14ac:dyDescent="0.35">
      <c r="B27" s="257">
        <f>'EZ Data'!B95</f>
        <v>92</v>
      </c>
      <c r="C27" s="258" t="str">
        <f>'EZ Data'!C95</f>
        <v>Meghna Economic Zone</v>
      </c>
      <c r="D27" s="70">
        <f>'EZ Data'!AI95</f>
        <v>67.916300000000007</v>
      </c>
      <c r="E27" s="70" t="str">
        <f>'EZ Data'!AJ95</f>
        <v>-</v>
      </c>
      <c r="F27" s="125" t="s">
        <v>1261</v>
      </c>
      <c r="G27" s="70">
        <v>110</v>
      </c>
      <c r="H27" s="125" t="s">
        <v>1262</v>
      </c>
      <c r="I27" s="86" t="s">
        <v>1058</v>
      </c>
      <c r="J27" s="86" t="s">
        <v>1059</v>
      </c>
      <c r="K27" s="86" t="s">
        <v>1004</v>
      </c>
      <c r="L27" s="86" t="s">
        <v>1005</v>
      </c>
      <c r="M27" s="86" t="s">
        <v>961</v>
      </c>
      <c r="N27" s="86" t="s">
        <v>1041</v>
      </c>
      <c r="O27" s="86" t="s">
        <v>180</v>
      </c>
      <c r="P27" s="86" t="s">
        <v>180</v>
      </c>
      <c r="Q27" s="86" t="s">
        <v>180</v>
      </c>
    </row>
    <row r="28" spans="2:17" ht="29" x14ac:dyDescent="0.35">
      <c r="B28" s="257">
        <f>'EZ Data'!B96</f>
        <v>93</v>
      </c>
      <c r="C28" s="258" t="str">
        <f>'EZ Data'!C96</f>
        <v>Meghna Industrial Economic Zone</v>
      </c>
      <c r="D28" s="70">
        <f>'EZ Data'!AI96</f>
        <v>892726</v>
      </c>
      <c r="E28" s="70">
        <f>'EZ Data'!AJ96</f>
        <v>96.98</v>
      </c>
      <c r="F28" s="125" t="s">
        <v>1263</v>
      </c>
      <c r="G28" s="70">
        <v>1035.93</v>
      </c>
      <c r="H28" s="125" t="s">
        <v>1263</v>
      </c>
      <c r="I28" s="86" t="s">
        <v>1000</v>
      </c>
      <c r="J28" s="86" t="s">
        <v>1028</v>
      </c>
      <c r="K28" s="86" t="s">
        <v>839</v>
      </c>
      <c r="L28" s="86" t="s">
        <v>1061</v>
      </c>
      <c r="M28" s="86" t="s">
        <v>1062</v>
      </c>
      <c r="N28" s="86" t="s">
        <v>1041</v>
      </c>
      <c r="O28" s="86" t="s">
        <v>1057</v>
      </c>
      <c r="P28" s="86" t="s">
        <v>1018</v>
      </c>
      <c r="Q28" s="86" t="s">
        <v>180</v>
      </c>
    </row>
    <row r="29" spans="2:17" x14ac:dyDescent="0.35">
      <c r="B29" s="257">
        <f>'EZ Data'!B97</f>
        <v>94</v>
      </c>
      <c r="C29" s="258" t="str">
        <f>'EZ Data'!C97</f>
        <v>Sirajganj Economic Zone</v>
      </c>
      <c r="D29" s="70">
        <f>'EZ Data'!AI97</f>
        <v>1035.93</v>
      </c>
      <c r="E29" s="70" t="str">
        <f>'EZ Data'!AJ97</f>
        <v>-</v>
      </c>
      <c r="F29" s="125" t="s">
        <v>1264</v>
      </c>
      <c r="G29" s="70">
        <v>450</v>
      </c>
      <c r="H29" s="71" t="s">
        <v>1247</v>
      </c>
      <c r="I29" s="86" t="s">
        <v>180</v>
      </c>
      <c r="J29" s="86" t="s">
        <v>180</v>
      </c>
      <c r="K29" s="86" t="s">
        <v>180</v>
      </c>
      <c r="L29" s="86" t="s">
        <v>180</v>
      </c>
      <c r="M29" s="86" t="s">
        <v>180</v>
      </c>
      <c r="N29" s="86" t="s">
        <v>180</v>
      </c>
      <c r="O29" s="86" t="s">
        <v>180</v>
      </c>
      <c r="P29" s="86" t="s">
        <v>180</v>
      </c>
      <c r="Q29" s="86" t="s">
        <v>180</v>
      </c>
    </row>
    <row r="30" spans="2:17" ht="43.5" x14ac:dyDescent="0.35">
      <c r="B30" s="257">
        <f>'EZ Data'!B98</f>
        <v>95</v>
      </c>
      <c r="C30" s="258" t="str">
        <f>'EZ Data'!C98</f>
        <v>Sonargaon Economic Zone</v>
      </c>
      <c r="D30" s="70" t="str">
        <f>'EZ Data'!AI98</f>
        <v>-</v>
      </c>
      <c r="E30" s="70" t="str">
        <f>'EZ Data'!AJ98</f>
        <v>-</v>
      </c>
      <c r="F30" s="125" t="s">
        <v>1265</v>
      </c>
      <c r="G30" s="70">
        <v>108</v>
      </c>
      <c r="H30" s="71" t="s">
        <v>1247</v>
      </c>
      <c r="I30" s="86" t="s">
        <v>180</v>
      </c>
      <c r="J30" s="86" t="s">
        <v>180</v>
      </c>
      <c r="K30" s="86" t="s">
        <v>180</v>
      </c>
      <c r="L30" s="86" t="s">
        <v>180</v>
      </c>
      <c r="M30" s="86" t="s">
        <v>180</v>
      </c>
      <c r="N30" s="86" t="s">
        <v>180</v>
      </c>
      <c r="O30" s="86" t="s">
        <v>180</v>
      </c>
      <c r="P30" s="86" t="s">
        <v>180</v>
      </c>
      <c r="Q30" s="86" t="s">
        <v>180</v>
      </c>
    </row>
    <row r="31" spans="2:17" ht="29" x14ac:dyDescent="0.35">
      <c r="B31" s="257">
        <f>'EZ Data'!B99</f>
        <v>96</v>
      </c>
      <c r="C31" s="258" t="str">
        <f>'EZ Data'!C99</f>
        <v>Standard Global Economic Zone</v>
      </c>
      <c r="D31" s="70" t="str">
        <f>'EZ Data'!AI99</f>
        <v>-</v>
      </c>
      <c r="E31" s="70" t="str">
        <f>'EZ Data'!AJ99</f>
        <v>-</v>
      </c>
      <c r="F31" s="125" t="s">
        <v>1266</v>
      </c>
      <c r="G31" s="70">
        <v>2.5</v>
      </c>
      <c r="H31" s="125" t="s">
        <v>1266</v>
      </c>
      <c r="I31" s="86" t="s">
        <v>1006</v>
      </c>
      <c r="J31" s="86" t="s">
        <v>180</v>
      </c>
      <c r="K31" s="86" t="s">
        <v>180</v>
      </c>
      <c r="L31" s="86" t="s">
        <v>180</v>
      </c>
      <c r="M31" s="86" t="s">
        <v>180</v>
      </c>
      <c r="N31" s="86" t="s">
        <v>180</v>
      </c>
      <c r="O31" s="86" t="s">
        <v>180</v>
      </c>
      <c r="P31" s="86" t="s">
        <v>180</v>
      </c>
      <c r="Q31" s="86" t="s">
        <v>180</v>
      </c>
    </row>
  </sheetData>
  <conditionalFormatting sqref="D3:E31">
    <cfRule type="cellIs" dxfId="564" priority="1" operator="equal">
      <formula>"-"</formula>
    </cfRule>
  </conditionalFormatting>
  <hyperlinks>
    <hyperlink ref="F4" r:id="rId1" xr:uid="{DA93486C-0BB3-4607-993B-76C24DDDAA79}"/>
    <hyperlink ref="F5" r:id="rId2" xr:uid="{F8779B55-81E2-40D4-BE2C-68A6E67E9B48}"/>
    <hyperlink ref="F7" r:id="rId3" xr:uid="{408F731B-57EC-4370-BD09-AE2821C0F266}"/>
    <hyperlink ref="F9" r:id="rId4" xr:uid="{D818A432-39A2-4FF1-9643-5E7259743BA5}"/>
    <hyperlink ref="F11" r:id="rId5" xr:uid="{3F1F4B10-ADAC-4C46-BCFB-D9EDB72C3083}"/>
    <hyperlink ref="F15" r:id="rId6" xr:uid="{831EEE4D-2612-47D9-B4CF-AEF47176DD25}"/>
    <hyperlink ref="F17" r:id="rId7" xr:uid="{AB8EA297-7483-4E8D-9E48-A1481140AC9F}"/>
    <hyperlink ref="F21" r:id="rId8" xr:uid="{27F8E85A-481E-4756-B1B0-24BBAB5A8324}"/>
    <hyperlink ref="F22" r:id="rId9" xr:uid="{3FE97888-F4D5-4379-820F-9382F2A7AF91}"/>
    <hyperlink ref="F23" r:id="rId10" xr:uid="{FDC6706E-F7C1-49E3-B85F-A03C27163703}"/>
    <hyperlink ref="F31" r:id="rId11" xr:uid="{B98F049A-0863-4D4C-8B9B-45034C73EB43}"/>
    <hyperlink ref="F19" r:id="rId12" xr:uid="{7BDA3BE7-437F-4A8A-A584-3C12EDD47A82}"/>
    <hyperlink ref="F30" r:id="rId13" xr:uid="{89F883A9-DE8C-4AC3-8026-C1D36BBA8E25}"/>
    <hyperlink ref="F29" r:id="rId14" xr:uid="{F9760F22-FBD2-466D-87AC-F54615415D44}"/>
    <hyperlink ref="F25" r:id="rId15" xr:uid="{DEAD5616-DA6C-4FC7-8CAB-FBBB19B334C9}"/>
    <hyperlink ref="F26" r:id="rId16" xr:uid="{72639F00-13E7-45F9-A949-F3AD1C41FD4D}"/>
    <hyperlink ref="F27" r:id="rId17" xr:uid="{D1D8FC99-7376-4B35-91F9-B3448B65844E}"/>
    <hyperlink ref="F28" r:id="rId18" xr:uid="{7F9001B2-91A1-4E18-AD26-6BE43CE08469}"/>
    <hyperlink ref="F13" r:id="rId19" xr:uid="{8E1DEFFE-F80C-4F34-81DC-36310E90996E}"/>
    <hyperlink ref="F3" r:id="rId20" xr:uid="{9F958848-3538-4061-B75D-4CC0CC1C5B3A}"/>
    <hyperlink ref="H4" r:id="rId21" xr:uid="{168CEA14-6C74-4381-A971-52A9A6C53826}"/>
    <hyperlink ref="H5" r:id="rId22" xr:uid="{937F04E7-E338-4C04-A94E-4B499A336A2A}"/>
    <hyperlink ref="H7" r:id="rId23" xr:uid="{9F2B8661-B4F6-4DB0-A3F1-5FFD75477C3B}"/>
    <hyperlink ref="H9" r:id="rId24" xr:uid="{EFB67779-B2C6-409A-A8B2-B0FE472C63C3}"/>
    <hyperlink ref="H11" r:id="rId25" xr:uid="{4D831F22-6C7B-4534-905F-7F9C7F475D7D}"/>
    <hyperlink ref="H15" r:id="rId26" xr:uid="{BE122DAD-363F-4D8C-9288-39D7B98211D9}"/>
    <hyperlink ref="H17" r:id="rId27" xr:uid="{FABE2E51-8BB9-4C9C-8D40-F3216017002A}"/>
    <hyperlink ref="H21" r:id="rId28" xr:uid="{943573F3-DBBC-4E04-82E2-5DDEB51554C0}"/>
    <hyperlink ref="H22" r:id="rId29" xr:uid="{59FCB92D-5CFE-448E-B089-DA046CC8D9D1}"/>
    <hyperlink ref="H23" r:id="rId30" xr:uid="{2A336252-F6B6-44B5-8A2E-E80DB371AB4A}"/>
    <hyperlink ref="H31" r:id="rId31" xr:uid="{0A3A3F3B-10BC-43E2-B9A8-ACCB63EFB69E}"/>
    <hyperlink ref="H19" r:id="rId32" xr:uid="{0B1E3980-1EFB-4BD1-9D99-134CEDCC9974}"/>
    <hyperlink ref="H25" r:id="rId33" xr:uid="{2DE3EEA5-ADDE-4840-B7E6-CB8D84F67A4C}"/>
    <hyperlink ref="H26" r:id="rId34" xr:uid="{6C339A7E-8D5A-40F2-878D-ADA766040619}"/>
    <hyperlink ref="H27" r:id="rId35" xr:uid="{D50D0638-5DC2-4AD1-9BA1-E9648C84C9FB}"/>
    <hyperlink ref="H28" r:id="rId36" xr:uid="{82AD09FA-B341-4491-AA76-35B1C6C6BB4C}"/>
    <hyperlink ref="H13" r:id="rId37" xr:uid="{3E653F93-89F2-443B-B533-2A72D06500DF}"/>
    <hyperlink ref="H3" r:id="rId38" xr:uid="{74A3A103-71C3-4A44-BE0C-D50DDBBFD2A0}"/>
  </hyperlinks>
  <pageMargins left="0.7" right="0.7" top="0.75" bottom="0.75" header="0.3" footer="0.3"/>
  <pageSetup orientation="portrait" r:id="rId39"/>
  <tableParts count="1">
    <tablePart r:id="rId40"/>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73129-F120-413D-BF80-08A490379296}">
  <dimension ref="B2:I21"/>
  <sheetViews>
    <sheetView workbookViewId="0"/>
  </sheetViews>
  <sheetFormatPr defaultColWidth="9.1796875" defaultRowHeight="13.5" x14ac:dyDescent="0.3"/>
  <cols>
    <col min="1" max="1" width="3.81640625" style="97" customWidth="1"/>
    <col min="2" max="2" width="8" style="97" bestFit="1" customWidth="1"/>
    <col min="3" max="3" width="28.1796875" style="97" customWidth="1"/>
    <col min="4" max="4" width="13.1796875" style="97" customWidth="1"/>
    <col min="5" max="5" width="16.453125" style="97" customWidth="1"/>
    <col min="6" max="6" width="23.81640625" style="97" bestFit="1" customWidth="1"/>
    <col min="7" max="7" width="30.81640625" style="97" bestFit="1" customWidth="1"/>
    <col min="8" max="8" width="19.54296875" style="97" bestFit="1" customWidth="1"/>
    <col min="9" max="9" width="16.1796875" style="97" bestFit="1" customWidth="1"/>
    <col min="10" max="16384" width="9.1796875" style="97"/>
  </cols>
  <sheetData>
    <row r="2" spans="2:9" ht="27.5" thickBot="1" x14ac:dyDescent="0.35">
      <c r="B2" s="259"/>
      <c r="C2" s="259"/>
      <c r="D2" s="259"/>
      <c r="E2" s="259"/>
      <c r="F2" s="259" t="s">
        <v>1139</v>
      </c>
      <c r="G2" s="259" t="s">
        <v>1267</v>
      </c>
      <c r="H2" s="260" t="s">
        <v>1268</v>
      </c>
      <c r="I2" s="259"/>
    </row>
    <row r="3" spans="2:9" x14ac:dyDescent="0.3">
      <c r="B3" s="69" t="s">
        <v>1269</v>
      </c>
      <c r="C3" s="127" t="s">
        <v>1270</v>
      </c>
      <c r="D3" s="108" t="s">
        <v>7</v>
      </c>
      <c r="E3" s="108" t="s">
        <v>8</v>
      </c>
      <c r="F3" s="108" t="s">
        <v>1271</v>
      </c>
      <c r="G3" s="108" t="s">
        <v>1272</v>
      </c>
      <c r="H3" s="69" t="s">
        <v>1273</v>
      </c>
      <c r="I3" s="69" t="s">
        <v>786</v>
      </c>
    </row>
    <row r="4" spans="2:9" ht="27" x14ac:dyDescent="0.3">
      <c r="B4" s="110">
        <v>1</v>
      </c>
      <c r="C4" s="130" t="s">
        <v>1274</v>
      </c>
      <c r="D4" s="110" t="s">
        <v>1275</v>
      </c>
      <c r="E4" s="110" t="s">
        <v>1276</v>
      </c>
      <c r="F4" s="110" t="s">
        <v>1002</v>
      </c>
      <c r="G4" s="110" t="s">
        <v>1002</v>
      </c>
      <c r="H4" s="110"/>
      <c r="I4" s="110"/>
    </row>
    <row r="5" spans="2:9" ht="27" x14ac:dyDescent="0.3">
      <c r="B5" s="110">
        <v>2</v>
      </c>
      <c r="C5" s="130" t="s">
        <v>52</v>
      </c>
      <c r="D5" s="110" t="s">
        <v>1277</v>
      </c>
      <c r="E5" s="110" t="s">
        <v>1278</v>
      </c>
      <c r="F5" s="110" t="s">
        <v>1007</v>
      </c>
      <c r="G5" s="110" t="s">
        <v>1007</v>
      </c>
      <c r="H5" s="110" t="s">
        <v>1007</v>
      </c>
      <c r="I5" s="110"/>
    </row>
    <row r="6" spans="2:9" ht="27" x14ac:dyDescent="0.3">
      <c r="B6" s="110">
        <v>3</v>
      </c>
      <c r="C6" s="130" t="s">
        <v>161</v>
      </c>
      <c r="D6" s="110" t="s">
        <v>104</v>
      </c>
      <c r="E6" s="110" t="s">
        <v>110</v>
      </c>
      <c r="F6" s="110" t="s">
        <v>1002</v>
      </c>
      <c r="G6" s="110" t="s">
        <v>1002</v>
      </c>
      <c r="H6" s="110"/>
      <c r="I6" s="110"/>
    </row>
    <row r="7" spans="2:9" x14ac:dyDescent="0.3">
      <c r="B7" s="110">
        <v>4</v>
      </c>
      <c r="C7" s="130" t="s">
        <v>33</v>
      </c>
      <c r="D7" s="110" t="s">
        <v>1279</v>
      </c>
      <c r="E7" s="110" t="s">
        <v>93</v>
      </c>
      <c r="F7" s="110" t="s">
        <v>1007</v>
      </c>
      <c r="G7" s="110" t="s">
        <v>1007</v>
      </c>
      <c r="H7" s="110" t="s">
        <v>1007</v>
      </c>
      <c r="I7" s="110"/>
    </row>
    <row r="8" spans="2:9" ht="27" x14ac:dyDescent="0.3">
      <c r="B8" s="110">
        <v>5</v>
      </c>
      <c r="C8" s="130" t="s">
        <v>143</v>
      </c>
      <c r="D8" s="110" t="s">
        <v>76</v>
      </c>
      <c r="E8" s="110" t="s">
        <v>1280</v>
      </c>
      <c r="F8" s="110" t="s">
        <v>1002</v>
      </c>
      <c r="G8" s="110" t="s">
        <v>1002</v>
      </c>
      <c r="H8" s="110"/>
      <c r="I8" s="110"/>
    </row>
    <row r="9" spans="2:9" ht="27" x14ac:dyDescent="0.3">
      <c r="B9" s="110">
        <v>6</v>
      </c>
      <c r="C9" s="130" t="s">
        <v>142</v>
      </c>
      <c r="D9" s="110" t="s">
        <v>76</v>
      </c>
      <c r="E9" s="110" t="s">
        <v>1281</v>
      </c>
      <c r="F9" s="110" t="s">
        <v>1002</v>
      </c>
      <c r="G9" s="110" t="s">
        <v>1002</v>
      </c>
      <c r="H9" s="110"/>
      <c r="I9" s="110"/>
    </row>
    <row r="10" spans="2:9" x14ac:dyDescent="0.3">
      <c r="B10" s="110">
        <v>7</v>
      </c>
      <c r="C10" s="130" t="s">
        <v>44</v>
      </c>
      <c r="D10" s="110" t="s">
        <v>107</v>
      </c>
      <c r="E10" s="110" t="s">
        <v>108</v>
      </c>
      <c r="F10" s="110" t="s">
        <v>1007</v>
      </c>
      <c r="G10" s="110" t="s">
        <v>1007</v>
      </c>
      <c r="H10" s="110" t="s">
        <v>1007</v>
      </c>
      <c r="I10" s="110"/>
    </row>
    <row r="11" spans="2:9" ht="27" x14ac:dyDescent="0.3">
      <c r="B11" s="110">
        <v>8</v>
      </c>
      <c r="C11" s="130" t="s">
        <v>38</v>
      </c>
      <c r="D11" s="110" t="s">
        <v>77</v>
      </c>
      <c r="E11" s="110" t="s">
        <v>99</v>
      </c>
      <c r="F11" s="110" t="s">
        <v>1002</v>
      </c>
      <c r="G11" s="110" t="s">
        <v>1007</v>
      </c>
      <c r="H11" s="110" t="s">
        <v>1007</v>
      </c>
      <c r="I11" s="110" t="s">
        <v>1282</v>
      </c>
    </row>
    <row r="12" spans="2:9" ht="27" x14ac:dyDescent="0.3">
      <c r="B12" s="110">
        <v>9</v>
      </c>
      <c r="C12" s="130" t="s">
        <v>1283</v>
      </c>
      <c r="D12" s="110" t="s">
        <v>1284</v>
      </c>
      <c r="E12" s="110" t="s">
        <v>101</v>
      </c>
      <c r="F12" s="110" t="s">
        <v>1002</v>
      </c>
      <c r="G12" s="110" t="s">
        <v>1002</v>
      </c>
      <c r="H12" s="110" t="s">
        <v>1007</v>
      </c>
      <c r="I12" s="110"/>
    </row>
    <row r="13" spans="2:9" ht="27" x14ac:dyDescent="0.3">
      <c r="B13" s="110">
        <v>10</v>
      </c>
      <c r="C13" s="130" t="s">
        <v>1285</v>
      </c>
      <c r="D13" s="110" t="s">
        <v>76</v>
      </c>
      <c r="E13" s="110" t="s">
        <v>1281</v>
      </c>
      <c r="F13" s="110" t="s">
        <v>1002</v>
      </c>
      <c r="G13" s="110" t="s">
        <v>1002</v>
      </c>
      <c r="H13" s="110" t="s">
        <v>1007</v>
      </c>
      <c r="I13" s="110"/>
    </row>
    <row r="14" spans="2:9" x14ac:dyDescent="0.3">
      <c r="B14" s="110">
        <v>11</v>
      </c>
      <c r="C14" s="130" t="s">
        <v>54</v>
      </c>
      <c r="D14" s="110"/>
      <c r="E14" s="110"/>
      <c r="F14" s="110"/>
      <c r="G14" s="110"/>
      <c r="H14" s="110" t="s">
        <v>1007</v>
      </c>
      <c r="I14" s="110"/>
    </row>
    <row r="15" spans="2:9" ht="27" x14ac:dyDescent="0.3">
      <c r="B15" s="110">
        <v>12</v>
      </c>
      <c r="C15" s="130" t="s">
        <v>1286</v>
      </c>
      <c r="D15" s="110" t="s">
        <v>1287</v>
      </c>
      <c r="E15" s="110" t="s">
        <v>68</v>
      </c>
      <c r="F15" s="110" t="s">
        <v>1002</v>
      </c>
      <c r="G15" s="110" t="s">
        <v>1002</v>
      </c>
      <c r="H15" s="110" t="s">
        <v>1007</v>
      </c>
      <c r="I15" s="110"/>
    </row>
    <row r="16" spans="2:9" ht="27" x14ac:dyDescent="0.3">
      <c r="B16" s="110">
        <v>13</v>
      </c>
      <c r="C16" s="130" t="s">
        <v>1241</v>
      </c>
      <c r="D16" s="110" t="s">
        <v>190</v>
      </c>
      <c r="E16" s="110" t="s">
        <v>189</v>
      </c>
      <c r="F16" s="110" t="s">
        <v>1002</v>
      </c>
      <c r="G16" s="110" t="s">
        <v>1002</v>
      </c>
      <c r="H16" s="110" t="s">
        <v>1007</v>
      </c>
      <c r="I16" s="110"/>
    </row>
    <row r="17" spans="2:9" x14ac:dyDescent="0.3">
      <c r="B17" s="110">
        <v>14</v>
      </c>
      <c r="C17" s="130" t="s">
        <v>39</v>
      </c>
      <c r="D17" s="110" t="s">
        <v>1279</v>
      </c>
      <c r="E17" s="110" t="s">
        <v>93</v>
      </c>
      <c r="F17" s="110" t="s">
        <v>1007</v>
      </c>
      <c r="G17" s="110" t="s">
        <v>1007</v>
      </c>
      <c r="H17" s="110" t="s">
        <v>1007</v>
      </c>
      <c r="I17" s="110"/>
    </row>
    <row r="18" spans="2:9" ht="27" x14ac:dyDescent="0.3">
      <c r="B18" s="110">
        <v>15</v>
      </c>
      <c r="C18" s="130" t="s">
        <v>35</v>
      </c>
      <c r="D18" s="110" t="s">
        <v>1279</v>
      </c>
      <c r="E18" s="110" t="s">
        <v>93</v>
      </c>
      <c r="F18" s="110" t="s">
        <v>1007</v>
      </c>
      <c r="G18" s="110" t="s">
        <v>1007</v>
      </c>
      <c r="H18" s="110" t="s">
        <v>1007</v>
      </c>
      <c r="I18" s="110"/>
    </row>
    <row r="19" spans="2:9" ht="27" x14ac:dyDescent="0.3">
      <c r="B19" s="110">
        <v>16</v>
      </c>
      <c r="C19" s="130" t="s">
        <v>145</v>
      </c>
      <c r="D19" s="110" t="s">
        <v>146</v>
      </c>
      <c r="E19" s="110" t="s">
        <v>1288</v>
      </c>
      <c r="F19" s="110" t="s">
        <v>1007</v>
      </c>
      <c r="G19" s="110" t="s">
        <v>1002</v>
      </c>
      <c r="H19" s="110" t="s">
        <v>1007</v>
      </c>
      <c r="I19" s="110" t="s">
        <v>1282</v>
      </c>
    </row>
    <row r="20" spans="2:9" ht="27" x14ac:dyDescent="0.3">
      <c r="B20" s="110">
        <v>17</v>
      </c>
      <c r="C20" s="130" t="s">
        <v>51</v>
      </c>
      <c r="D20" s="110" t="s">
        <v>1279</v>
      </c>
      <c r="E20" s="110" t="s">
        <v>93</v>
      </c>
      <c r="F20" s="110" t="s">
        <v>1002</v>
      </c>
      <c r="G20" s="110" t="s">
        <v>1002</v>
      </c>
      <c r="H20" s="110"/>
      <c r="I20" s="110"/>
    </row>
    <row r="21" spans="2:9" ht="27" x14ac:dyDescent="0.3">
      <c r="B21" s="110">
        <v>18</v>
      </c>
      <c r="C21" s="130" t="s">
        <v>1289</v>
      </c>
      <c r="D21" s="110" t="s">
        <v>76</v>
      </c>
      <c r="E21" s="110" t="s">
        <v>1290</v>
      </c>
      <c r="F21" s="110" t="s">
        <v>1002</v>
      </c>
      <c r="G21" s="110" t="s">
        <v>1002</v>
      </c>
      <c r="H21" s="110"/>
      <c r="I21" s="110"/>
    </row>
  </sheetData>
  <phoneticPr fontId="18" type="noConversion"/>
  <hyperlinks>
    <hyperlink ref="F2" r:id="rId1" xr:uid="{F8B2A2C0-3BEC-4632-BD38-8692334B162F}"/>
    <hyperlink ref="G2" r:id="rId2" display="Source: BEZA Brochure" xr:uid="{AB3F5FC1-D56B-4A72-AFE6-823CF3273838}"/>
    <hyperlink ref="H2" r:id="rId3" xr:uid="{4B4C597D-8711-48A9-B89F-8B10FDBF85A2}"/>
  </hyperlinks>
  <pageMargins left="0.7" right="0.7" top="0.75" bottom="0.75" header="0.3" footer="0.3"/>
  <pageSetup orientation="portrait" r:id="rId4"/>
  <tableParts count="1">
    <tablePart r:id="rId5"/>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B9E3E-D669-4807-B074-0012A06DAB19}">
  <dimension ref="B2:F71"/>
  <sheetViews>
    <sheetView workbookViewId="0"/>
  </sheetViews>
  <sheetFormatPr defaultRowHeight="14.5" x14ac:dyDescent="0.35"/>
  <cols>
    <col min="2" max="2" width="4.1796875" style="1" customWidth="1"/>
    <col min="3" max="5" width="18.453125" style="1" customWidth="1"/>
    <col min="6" max="6" width="8.81640625" style="1"/>
  </cols>
  <sheetData>
    <row r="2" spans="2:6" ht="15" thickBot="1" x14ac:dyDescent="0.4"/>
    <row r="3" spans="2:6" ht="15" thickBot="1" x14ac:dyDescent="0.4">
      <c r="B3" s="2" t="s">
        <v>1140</v>
      </c>
      <c r="C3" s="2" t="s">
        <v>1141</v>
      </c>
      <c r="D3" s="2" t="s">
        <v>7</v>
      </c>
      <c r="E3" s="2" t="s">
        <v>8</v>
      </c>
      <c r="F3" s="46"/>
    </row>
    <row r="4" spans="2:6" ht="15" thickBot="1" x14ac:dyDescent="0.4">
      <c r="B4" s="3">
        <v>17</v>
      </c>
      <c r="C4" s="44" t="s">
        <v>53</v>
      </c>
      <c r="D4" s="3" t="s">
        <v>119</v>
      </c>
      <c r="E4" s="3" t="s">
        <v>120</v>
      </c>
      <c r="F4" s="47"/>
    </row>
    <row r="5" spans="2:6" ht="15" thickBot="1" x14ac:dyDescent="0.4">
      <c r="B5" s="3">
        <v>1</v>
      </c>
      <c r="C5" s="44" t="s">
        <v>42</v>
      </c>
      <c r="D5" s="3" t="s">
        <v>68</v>
      </c>
      <c r="E5" s="3" t="s">
        <v>81</v>
      </c>
      <c r="F5" s="3"/>
    </row>
    <row r="6" spans="2:6" ht="15" thickBot="1" x14ac:dyDescent="0.4">
      <c r="B6" s="3">
        <v>2</v>
      </c>
      <c r="C6" s="44" t="s">
        <v>1107</v>
      </c>
      <c r="D6" s="3" t="s">
        <v>68</v>
      </c>
      <c r="E6" s="3" t="s">
        <v>81</v>
      </c>
      <c r="F6" s="3"/>
    </row>
    <row r="7" spans="2:6" ht="15" thickBot="1" x14ac:dyDescent="0.4">
      <c r="B7" s="3">
        <v>51</v>
      </c>
      <c r="C7" s="44" t="s">
        <v>845</v>
      </c>
      <c r="D7" s="3" t="s">
        <v>77</v>
      </c>
      <c r="E7" s="3" t="s">
        <v>78</v>
      </c>
      <c r="F7" s="3"/>
    </row>
    <row r="8" spans="2:6" ht="32" thickBot="1" x14ac:dyDescent="0.4">
      <c r="B8" s="3">
        <v>3</v>
      </c>
      <c r="C8" s="44" t="s">
        <v>1142</v>
      </c>
      <c r="D8" s="3" t="s">
        <v>68</v>
      </c>
      <c r="E8" s="3" t="s">
        <v>71</v>
      </c>
      <c r="F8" s="3"/>
    </row>
    <row r="9" spans="2:6" ht="15" thickBot="1" x14ac:dyDescent="0.4">
      <c r="B9" s="3">
        <v>11</v>
      </c>
      <c r="C9" s="44" t="s">
        <v>62</v>
      </c>
      <c r="D9" s="3" t="s">
        <v>134</v>
      </c>
      <c r="E9" s="3" t="s">
        <v>135</v>
      </c>
      <c r="F9" s="3"/>
    </row>
    <row r="10" spans="2:6" ht="15" thickBot="1" x14ac:dyDescent="0.4">
      <c r="B10" s="3">
        <v>41</v>
      </c>
      <c r="C10" s="44" t="s">
        <v>49</v>
      </c>
      <c r="D10" s="3" t="s">
        <v>114</v>
      </c>
      <c r="E10" s="3" t="s">
        <v>115</v>
      </c>
      <c r="F10" s="3"/>
    </row>
    <row r="11" spans="2:6" ht="21.5" thickBot="1" x14ac:dyDescent="0.4">
      <c r="B11" s="3">
        <v>58</v>
      </c>
      <c r="C11" s="44" t="s">
        <v>31</v>
      </c>
      <c r="D11" s="3" t="s">
        <v>90</v>
      </c>
      <c r="E11" s="3" t="s">
        <v>91</v>
      </c>
      <c r="F11" s="3"/>
    </row>
    <row r="12" spans="2:6" ht="15" thickBot="1" x14ac:dyDescent="0.4">
      <c r="B12" s="3">
        <v>8</v>
      </c>
      <c r="C12" s="44" t="s">
        <v>26</v>
      </c>
      <c r="D12" s="3" t="s">
        <v>76</v>
      </c>
      <c r="E12" s="3" t="s">
        <v>87</v>
      </c>
      <c r="F12" s="3"/>
    </row>
    <row r="13" spans="2:6" ht="15" thickBot="1" x14ac:dyDescent="0.4">
      <c r="B13" s="3">
        <v>35</v>
      </c>
      <c r="C13" s="44" t="s">
        <v>18</v>
      </c>
      <c r="D13" s="3" t="s">
        <v>72</v>
      </c>
      <c r="E13" s="3" t="s">
        <v>73</v>
      </c>
      <c r="F13" s="3"/>
    </row>
    <row r="14" spans="2:6" ht="21.5" thickBot="1" x14ac:dyDescent="0.4">
      <c r="B14" s="3">
        <v>37</v>
      </c>
      <c r="C14" s="44" t="s">
        <v>218</v>
      </c>
      <c r="D14" s="3" t="s">
        <v>82</v>
      </c>
      <c r="E14" s="3" t="s">
        <v>219</v>
      </c>
      <c r="F14" s="3"/>
    </row>
    <row r="15" spans="2:6" ht="15" thickBot="1" x14ac:dyDescent="0.4">
      <c r="B15" s="3">
        <v>9</v>
      </c>
      <c r="C15" s="44" t="s">
        <v>43</v>
      </c>
      <c r="D15" s="3" t="s">
        <v>105</v>
      </c>
      <c r="E15" s="3" t="s">
        <v>106</v>
      </c>
      <c r="F15" s="3"/>
    </row>
    <row r="16" spans="2:6" ht="32" thickBot="1" x14ac:dyDescent="0.4">
      <c r="B16" s="3">
        <v>18</v>
      </c>
      <c r="C16" s="44" t="s">
        <v>892</v>
      </c>
      <c r="D16" s="3" t="s">
        <v>124</v>
      </c>
      <c r="E16" s="3" t="s">
        <v>125</v>
      </c>
      <c r="F16" s="3"/>
    </row>
    <row r="17" spans="2:6" ht="21.5" thickBot="1" x14ac:dyDescent="0.4">
      <c r="B17" s="3">
        <v>25</v>
      </c>
      <c r="C17" s="44" t="s">
        <v>56</v>
      </c>
      <c r="D17" s="3" t="s">
        <v>74</v>
      </c>
      <c r="E17" s="3" t="s">
        <v>88</v>
      </c>
      <c r="F17" s="3"/>
    </row>
    <row r="18" spans="2:6" ht="21.5" thickBot="1" x14ac:dyDescent="0.4">
      <c r="B18" s="3">
        <v>27</v>
      </c>
      <c r="C18" s="44" t="s">
        <v>27</v>
      </c>
      <c r="D18" s="3" t="s">
        <v>74</v>
      </c>
      <c r="E18" s="3" t="s">
        <v>88</v>
      </c>
      <c r="F18" s="3"/>
    </row>
    <row r="19" spans="2:6" ht="32" thickBot="1" x14ac:dyDescent="0.4">
      <c r="B19" s="3">
        <v>39</v>
      </c>
      <c r="C19" s="44" t="s">
        <v>1103</v>
      </c>
      <c r="D19" s="3" t="s">
        <v>74</v>
      </c>
      <c r="E19" s="3" t="s">
        <v>88</v>
      </c>
      <c r="F19" s="3"/>
    </row>
    <row r="20" spans="2:6" ht="15" thickBot="1" x14ac:dyDescent="0.4">
      <c r="B20" s="3">
        <v>5</v>
      </c>
      <c r="C20" s="44" t="s">
        <v>37</v>
      </c>
      <c r="D20" s="3" t="s">
        <v>97</v>
      </c>
      <c r="E20" s="3" t="s">
        <v>98</v>
      </c>
      <c r="F20" s="3"/>
    </row>
    <row r="21" spans="2:6" ht="15" thickBot="1" x14ac:dyDescent="0.4">
      <c r="B21" s="3">
        <v>23</v>
      </c>
      <c r="C21" s="44" t="s">
        <v>28</v>
      </c>
      <c r="D21" s="3" t="s">
        <v>74</v>
      </c>
      <c r="E21" s="3" t="s">
        <v>75</v>
      </c>
      <c r="F21" s="3"/>
    </row>
    <row r="22" spans="2:6" ht="21.5" thickBot="1" x14ac:dyDescent="0.4">
      <c r="B22" s="3">
        <v>60</v>
      </c>
      <c r="C22" s="44" t="s">
        <v>1152</v>
      </c>
      <c r="D22" s="3" t="s">
        <v>76</v>
      </c>
      <c r="E22" s="3" t="s">
        <v>80</v>
      </c>
      <c r="F22" s="3"/>
    </row>
    <row r="23" spans="2:6" ht="21.5" thickBot="1" x14ac:dyDescent="0.4">
      <c r="B23" s="3">
        <v>46</v>
      </c>
      <c r="C23" s="44" t="s">
        <v>58</v>
      </c>
      <c r="D23" s="3" t="s">
        <v>126</v>
      </c>
      <c r="E23" s="3" t="s">
        <v>127</v>
      </c>
      <c r="F23" s="3"/>
    </row>
    <row r="24" spans="2:6" ht="15" thickBot="1" x14ac:dyDescent="0.4">
      <c r="B24" s="3">
        <v>15</v>
      </c>
      <c r="C24" s="44" t="s">
        <v>59</v>
      </c>
      <c r="D24" s="3" t="s">
        <v>128</v>
      </c>
      <c r="E24" s="3" t="s">
        <v>129</v>
      </c>
      <c r="F24" s="3"/>
    </row>
    <row r="25" spans="2:6" ht="15" thickBot="1" x14ac:dyDescent="0.4">
      <c r="B25" s="3">
        <v>13</v>
      </c>
      <c r="C25" s="44" t="s">
        <v>55</v>
      </c>
      <c r="D25" s="3" t="s">
        <v>122</v>
      </c>
      <c r="E25" s="3" t="s">
        <v>123</v>
      </c>
      <c r="F25" s="3"/>
    </row>
    <row r="26" spans="2:6" ht="21.5" thickBot="1" x14ac:dyDescent="0.4">
      <c r="B26" s="3">
        <v>21</v>
      </c>
      <c r="C26" s="44" t="s">
        <v>61</v>
      </c>
      <c r="D26" s="3" t="s">
        <v>132</v>
      </c>
      <c r="E26" s="3" t="s">
        <v>133</v>
      </c>
      <c r="F26" s="3"/>
    </row>
    <row r="27" spans="2:6" ht="21.5" thickBot="1" x14ac:dyDescent="0.4">
      <c r="B27" s="3">
        <v>34</v>
      </c>
      <c r="C27" s="44" t="s">
        <v>1146</v>
      </c>
      <c r="D27" s="3" t="s">
        <v>1147</v>
      </c>
      <c r="E27" s="3" t="s">
        <v>1148</v>
      </c>
      <c r="F27" s="3"/>
    </row>
    <row r="28" spans="2:6" ht="15" thickBot="1" x14ac:dyDescent="0.4">
      <c r="B28" s="3">
        <v>57</v>
      </c>
      <c r="C28" s="44" t="s">
        <v>1291</v>
      </c>
      <c r="D28" s="3" t="s">
        <v>68</v>
      </c>
      <c r="E28" s="3" t="s">
        <v>69</v>
      </c>
      <c r="F28" s="3"/>
    </row>
    <row r="29" spans="2:6" ht="21.5" thickBot="1" x14ac:dyDescent="0.4">
      <c r="B29" s="3">
        <v>44</v>
      </c>
      <c r="C29" s="44" t="s">
        <v>50</v>
      </c>
      <c r="D29" s="3" t="s">
        <v>94</v>
      </c>
      <c r="E29" s="3" t="s">
        <v>1149</v>
      </c>
      <c r="F29" s="3"/>
    </row>
    <row r="30" spans="2:6" ht="15" thickBot="1" x14ac:dyDescent="0.4">
      <c r="B30" s="3">
        <v>61</v>
      </c>
      <c r="C30" s="44" t="s">
        <v>41</v>
      </c>
      <c r="D30" s="3" t="s">
        <v>102</v>
      </c>
      <c r="E30" s="3" t="s">
        <v>103</v>
      </c>
      <c r="F30" s="3"/>
    </row>
    <row r="31" spans="2:6" ht="15" thickBot="1" x14ac:dyDescent="0.4">
      <c r="B31" s="3">
        <v>50</v>
      </c>
      <c r="C31" s="3" t="s">
        <v>220</v>
      </c>
      <c r="D31" s="3" t="s">
        <v>221</v>
      </c>
      <c r="E31" s="3" t="s">
        <v>222</v>
      </c>
      <c r="F31" s="3"/>
    </row>
    <row r="32" spans="2:6" ht="15" thickBot="1" x14ac:dyDescent="0.4">
      <c r="B32" s="3">
        <v>31</v>
      </c>
      <c r="C32" s="3" t="s">
        <v>1292</v>
      </c>
      <c r="D32" s="3" t="s">
        <v>68</v>
      </c>
      <c r="E32" s="3" t="s">
        <v>1144</v>
      </c>
      <c r="F32" s="3"/>
    </row>
    <row r="33" spans="2:6" ht="15" thickBot="1" x14ac:dyDescent="0.4">
      <c r="B33" s="3">
        <v>12</v>
      </c>
      <c r="C33" s="3" t="s">
        <v>242</v>
      </c>
      <c r="D33" s="3" t="s">
        <v>243</v>
      </c>
      <c r="E33" s="3" t="s">
        <v>244</v>
      </c>
      <c r="F33" s="3"/>
    </row>
    <row r="34" spans="2:6" ht="21.5" thickBot="1" x14ac:dyDescent="0.4">
      <c r="B34" s="3">
        <v>59</v>
      </c>
      <c r="C34" s="3" t="s">
        <v>140</v>
      </c>
      <c r="D34" s="3" t="s">
        <v>90</v>
      </c>
      <c r="E34" s="3" t="s">
        <v>141</v>
      </c>
      <c r="F34" s="3"/>
    </row>
    <row r="35" spans="2:6" ht="15" thickBot="1" x14ac:dyDescent="0.4">
      <c r="B35" s="3">
        <v>67</v>
      </c>
      <c r="C35" s="3" t="s">
        <v>162</v>
      </c>
      <c r="D35" s="3" t="s">
        <v>1153</v>
      </c>
      <c r="E35" s="3" t="s">
        <v>163</v>
      </c>
      <c r="F35" s="3"/>
    </row>
    <row r="36" spans="2:6" ht="21.5" thickBot="1" x14ac:dyDescent="0.4">
      <c r="B36" s="3">
        <v>24</v>
      </c>
      <c r="C36" s="3" t="s">
        <v>157</v>
      </c>
      <c r="D36" s="3" t="s">
        <v>74</v>
      </c>
      <c r="E36" s="3" t="s">
        <v>88</v>
      </c>
      <c r="F36" s="3"/>
    </row>
    <row r="37" spans="2:6" ht="21.5" thickBot="1" x14ac:dyDescent="0.4">
      <c r="B37" s="3">
        <v>19</v>
      </c>
      <c r="C37" s="3" t="s">
        <v>45</v>
      </c>
      <c r="D37" s="3" t="s">
        <v>76</v>
      </c>
      <c r="E37" s="3" t="s">
        <v>109</v>
      </c>
      <c r="F37" s="3"/>
    </row>
    <row r="38" spans="2:6" ht="15" thickBot="1" x14ac:dyDescent="0.4">
      <c r="B38" s="3">
        <v>65</v>
      </c>
      <c r="C38" s="3" t="s">
        <v>207</v>
      </c>
      <c r="D38" s="3" t="s">
        <v>208</v>
      </c>
      <c r="E38" s="3" t="s">
        <v>208</v>
      </c>
      <c r="F38" s="3"/>
    </row>
    <row r="39" spans="2:6" ht="15" thickBot="1" x14ac:dyDescent="0.4">
      <c r="B39" s="3">
        <v>56</v>
      </c>
      <c r="C39" s="3" t="s">
        <v>210</v>
      </c>
      <c r="D39" s="3" t="s">
        <v>211</v>
      </c>
      <c r="E39" s="3" t="s">
        <v>212</v>
      </c>
      <c r="F39" s="3"/>
    </row>
    <row r="40" spans="2:6" ht="15" thickBot="1" x14ac:dyDescent="0.4">
      <c r="B40" s="3">
        <v>54</v>
      </c>
      <c r="C40" s="3" t="s">
        <v>234</v>
      </c>
      <c r="D40" s="3" t="s">
        <v>117</v>
      </c>
      <c r="E40" s="3" t="s">
        <v>118</v>
      </c>
      <c r="F40" s="3"/>
    </row>
    <row r="41" spans="2:6" ht="15" thickBot="1" x14ac:dyDescent="0.4">
      <c r="B41" s="3">
        <v>30</v>
      </c>
      <c r="C41" s="3" t="s">
        <v>24</v>
      </c>
      <c r="D41" s="3" t="s">
        <v>82</v>
      </c>
      <c r="E41" s="3" t="s">
        <v>83</v>
      </c>
      <c r="F41" s="3"/>
    </row>
    <row r="42" spans="2:6" ht="15" thickBot="1" x14ac:dyDescent="0.4">
      <c r="B42" s="3">
        <v>20</v>
      </c>
      <c r="C42" s="3" t="s">
        <v>151</v>
      </c>
      <c r="D42" s="3" t="s">
        <v>152</v>
      </c>
      <c r="E42" s="3" t="s">
        <v>153</v>
      </c>
      <c r="F42" s="3"/>
    </row>
    <row r="43" spans="2:6" ht="15" thickBot="1" x14ac:dyDescent="0.4">
      <c r="B43" s="3">
        <v>42</v>
      </c>
      <c r="C43" s="3" t="s">
        <v>149</v>
      </c>
      <c r="D43" s="3" t="s">
        <v>84</v>
      </c>
      <c r="E43" s="3" t="s">
        <v>150</v>
      </c>
      <c r="F43" s="3"/>
    </row>
    <row r="44" spans="2:6" ht="15" thickBot="1" x14ac:dyDescent="0.4">
      <c r="B44" s="3">
        <v>43</v>
      </c>
      <c r="C44" s="3" t="s">
        <v>186</v>
      </c>
      <c r="D44" s="3" t="s">
        <v>84</v>
      </c>
      <c r="E44" s="3" t="s">
        <v>187</v>
      </c>
      <c r="F44" s="3"/>
    </row>
    <row r="45" spans="2:6" ht="15" thickBot="1" x14ac:dyDescent="0.4">
      <c r="B45" s="3">
        <v>45</v>
      </c>
      <c r="C45" s="3" t="s">
        <v>172</v>
      </c>
      <c r="D45" s="3" t="s">
        <v>173</v>
      </c>
      <c r="E45" s="3" t="s">
        <v>174</v>
      </c>
      <c r="F45" s="3"/>
    </row>
    <row r="46" spans="2:6" ht="15" thickBot="1" x14ac:dyDescent="0.4">
      <c r="B46" s="3">
        <v>16</v>
      </c>
      <c r="C46" s="3" t="s">
        <v>25</v>
      </c>
      <c r="D46" s="3" t="s">
        <v>85</v>
      </c>
      <c r="E46" s="3" t="s">
        <v>86</v>
      </c>
      <c r="F46" s="3"/>
    </row>
    <row r="47" spans="2:6" ht="15" thickBot="1" x14ac:dyDescent="0.4">
      <c r="B47" s="3">
        <v>55</v>
      </c>
      <c r="C47" s="3" t="s">
        <v>204</v>
      </c>
      <c r="D47" s="3" t="s">
        <v>205</v>
      </c>
      <c r="E47" s="3" t="s">
        <v>206</v>
      </c>
      <c r="F47" s="3"/>
    </row>
    <row r="48" spans="2:6" ht="32" thickBot="1" x14ac:dyDescent="0.4">
      <c r="B48" s="3">
        <v>26</v>
      </c>
      <c r="C48" s="45" t="s">
        <v>215</v>
      </c>
      <c r="D48" s="3" t="s">
        <v>74</v>
      </c>
      <c r="E48" s="3" t="s">
        <v>88</v>
      </c>
      <c r="F48" s="3"/>
    </row>
    <row r="49" spans="2:6" ht="21.5" thickBot="1" x14ac:dyDescent="0.4">
      <c r="B49" s="3">
        <v>47</v>
      </c>
      <c r="C49" s="3" t="s">
        <v>216</v>
      </c>
      <c r="D49" s="3" t="s">
        <v>74</v>
      </c>
      <c r="E49" s="3" t="s">
        <v>217</v>
      </c>
      <c r="F49" s="3"/>
    </row>
    <row r="50" spans="2:6" ht="21.5" thickBot="1" x14ac:dyDescent="0.4">
      <c r="B50" s="3">
        <v>32</v>
      </c>
      <c r="C50" s="3" t="s">
        <v>158</v>
      </c>
      <c r="D50" s="3" t="s">
        <v>74</v>
      </c>
      <c r="E50" s="3" t="s">
        <v>88</v>
      </c>
      <c r="F50" s="3"/>
    </row>
    <row r="51" spans="2:6" ht="21.5" thickBot="1" x14ac:dyDescent="0.4">
      <c r="B51" s="3">
        <v>36</v>
      </c>
      <c r="C51" s="3" t="s">
        <v>64</v>
      </c>
      <c r="D51" s="3" t="s">
        <v>97</v>
      </c>
      <c r="E51" s="3" t="s">
        <v>98</v>
      </c>
      <c r="F51" s="3"/>
    </row>
    <row r="52" spans="2:6" ht="15" thickBot="1" x14ac:dyDescent="0.4">
      <c r="B52" s="3">
        <v>49</v>
      </c>
      <c r="C52" s="3" t="s">
        <v>167</v>
      </c>
      <c r="D52" s="3" t="s">
        <v>104</v>
      </c>
      <c r="E52" s="3" t="s">
        <v>168</v>
      </c>
      <c r="F52" s="3"/>
    </row>
    <row r="53" spans="2:6" ht="21.5" thickBot="1" x14ac:dyDescent="0.4">
      <c r="B53" s="3">
        <v>48</v>
      </c>
      <c r="C53" s="3" t="s">
        <v>195</v>
      </c>
      <c r="D53" s="3" t="s">
        <v>104</v>
      </c>
      <c r="E53" s="3" t="s">
        <v>196</v>
      </c>
      <c r="F53" s="3"/>
    </row>
    <row r="54" spans="2:6" ht="15" thickBot="1" x14ac:dyDescent="0.4">
      <c r="B54" s="3">
        <v>10</v>
      </c>
      <c r="C54" s="3" t="s">
        <v>29</v>
      </c>
      <c r="D54" s="3" t="s">
        <v>77</v>
      </c>
      <c r="E54" s="3" t="s">
        <v>89</v>
      </c>
      <c r="F54" s="3"/>
    </row>
    <row r="55" spans="2:6" ht="21.5" thickBot="1" x14ac:dyDescent="0.4">
      <c r="B55" s="3">
        <v>28</v>
      </c>
      <c r="C55" s="3" t="s">
        <v>164</v>
      </c>
      <c r="D55" s="3" t="s">
        <v>77</v>
      </c>
      <c r="E55" s="3" t="s">
        <v>93</v>
      </c>
      <c r="F55" s="3"/>
    </row>
    <row r="56" spans="2:6" ht="15" thickBot="1" x14ac:dyDescent="0.4">
      <c r="B56" s="3">
        <v>52</v>
      </c>
      <c r="C56" s="3" t="s">
        <v>1150</v>
      </c>
      <c r="D56" s="3" t="s">
        <v>1151</v>
      </c>
      <c r="E56" s="3" t="s">
        <v>183</v>
      </c>
      <c r="F56" s="3"/>
    </row>
    <row r="57" spans="2:6" ht="15" thickBot="1" x14ac:dyDescent="0.4">
      <c r="B57" s="3">
        <v>29</v>
      </c>
      <c r="C57" s="3" t="s">
        <v>60</v>
      </c>
      <c r="D57" s="3" t="s">
        <v>130</v>
      </c>
      <c r="E57" s="3" t="s">
        <v>131</v>
      </c>
      <c r="F57" s="3"/>
    </row>
    <row r="58" spans="2:6" ht="21.5" thickBot="1" x14ac:dyDescent="0.4">
      <c r="B58" s="3">
        <v>63</v>
      </c>
      <c r="C58" s="3" t="s">
        <v>154</v>
      </c>
      <c r="D58" s="3" t="s">
        <v>155</v>
      </c>
      <c r="E58" s="3" t="s">
        <v>156</v>
      </c>
      <c r="F58" s="3"/>
    </row>
    <row r="59" spans="2:6" ht="15" thickBot="1" x14ac:dyDescent="0.4">
      <c r="B59" s="3">
        <v>14</v>
      </c>
      <c r="C59" s="3" t="s">
        <v>1111</v>
      </c>
      <c r="D59" s="3" t="s">
        <v>1112</v>
      </c>
      <c r="E59" s="3" t="s">
        <v>1113</v>
      </c>
      <c r="F59" s="46"/>
    </row>
    <row r="60" spans="2:6" ht="15" thickBot="1" x14ac:dyDescent="0.4">
      <c r="B60" s="3">
        <v>66</v>
      </c>
      <c r="C60" s="3" t="s">
        <v>235</v>
      </c>
      <c r="D60" s="3" t="s">
        <v>236</v>
      </c>
      <c r="E60" s="3" t="s">
        <v>237</v>
      </c>
      <c r="F60" s="46"/>
    </row>
    <row r="61" spans="2:6" ht="15" thickBot="1" x14ac:dyDescent="0.4">
      <c r="B61" s="3">
        <v>38</v>
      </c>
      <c r="C61" s="3" t="s">
        <v>199</v>
      </c>
      <c r="D61" s="3" t="s">
        <v>68</v>
      </c>
      <c r="E61" s="3" t="s">
        <v>200</v>
      </c>
      <c r="F61" s="46"/>
    </row>
    <row r="62" spans="2:6" ht="15" thickBot="1" x14ac:dyDescent="0.4">
      <c r="B62" s="3">
        <v>33</v>
      </c>
      <c r="C62" s="3" t="s">
        <v>248</v>
      </c>
      <c r="D62" s="3" t="s">
        <v>113</v>
      </c>
      <c r="E62" s="3" t="s">
        <v>1145</v>
      </c>
      <c r="F62" s="46"/>
    </row>
    <row r="63" spans="2:6" ht="15" thickBot="1" x14ac:dyDescent="0.4">
      <c r="B63" s="3">
        <v>53</v>
      </c>
      <c r="C63" s="3" t="s">
        <v>238</v>
      </c>
      <c r="D63" s="3" t="s">
        <v>97</v>
      </c>
      <c r="E63" s="3" t="s">
        <v>214</v>
      </c>
      <c r="F63" s="46"/>
    </row>
    <row r="64" spans="2:6" ht="15" thickBot="1" x14ac:dyDescent="0.4">
      <c r="B64" s="3">
        <v>7</v>
      </c>
      <c r="C64" s="3" t="s">
        <v>20</v>
      </c>
      <c r="D64" s="3" t="s">
        <v>74</v>
      </c>
      <c r="E64" s="3" t="s">
        <v>75</v>
      </c>
      <c r="F64" s="46"/>
    </row>
    <row r="65" spans="2:6" ht="15" thickBot="1" x14ac:dyDescent="0.4">
      <c r="B65" s="3">
        <v>68</v>
      </c>
      <c r="C65" s="3" t="s">
        <v>197</v>
      </c>
      <c r="D65" s="3" t="s">
        <v>1114</v>
      </c>
      <c r="E65" s="3" t="s">
        <v>198</v>
      </c>
      <c r="F65" s="46"/>
    </row>
    <row r="66" spans="2:6" ht="21.5" thickBot="1" x14ac:dyDescent="0.4">
      <c r="B66" s="3">
        <v>62</v>
      </c>
      <c r="C66" s="3" t="s">
        <v>239</v>
      </c>
      <c r="D66" s="3" t="s">
        <v>240</v>
      </c>
      <c r="E66" s="3" t="s">
        <v>241</v>
      </c>
      <c r="F66" s="46"/>
    </row>
    <row r="67" spans="2:6" ht="21.5" thickBot="1" x14ac:dyDescent="0.4">
      <c r="B67" s="3">
        <v>22</v>
      </c>
      <c r="C67" s="3" t="s">
        <v>138</v>
      </c>
      <c r="D67" s="3" t="s">
        <v>132</v>
      </c>
      <c r="E67" s="3" t="s">
        <v>139</v>
      </c>
      <c r="F67" s="46"/>
    </row>
    <row r="68" spans="2:6" ht="15" thickBot="1" x14ac:dyDescent="0.4">
      <c r="B68" s="3">
        <v>4</v>
      </c>
      <c r="C68" s="3" t="s">
        <v>36</v>
      </c>
      <c r="D68" s="3" t="s">
        <v>95</v>
      </c>
      <c r="E68" s="3" t="s">
        <v>96</v>
      </c>
      <c r="F68" s="46"/>
    </row>
    <row r="69" spans="2:6" ht="15" thickBot="1" x14ac:dyDescent="0.4">
      <c r="B69" s="3">
        <v>6</v>
      </c>
      <c r="C69" s="3" t="s">
        <v>175</v>
      </c>
      <c r="D69" s="3" t="s">
        <v>107</v>
      </c>
      <c r="E69" s="3" t="s">
        <v>176</v>
      </c>
      <c r="F69" s="46"/>
    </row>
    <row r="70" spans="2:6" ht="21.5" thickBot="1" x14ac:dyDescent="0.4">
      <c r="B70" s="3">
        <v>64</v>
      </c>
      <c r="C70" s="3" t="s">
        <v>223</v>
      </c>
      <c r="D70" s="3" t="s">
        <v>202</v>
      </c>
      <c r="E70" s="3" t="s">
        <v>224</v>
      </c>
      <c r="F70" s="46"/>
    </row>
    <row r="71" spans="2:6" ht="15" thickBot="1" x14ac:dyDescent="0.4">
      <c r="B71" s="4">
        <v>40</v>
      </c>
      <c r="C71" s="4" t="s">
        <v>227</v>
      </c>
      <c r="D71" s="4" t="s">
        <v>97</v>
      </c>
      <c r="E71" s="4" t="s">
        <v>228</v>
      </c>
      <c r="F71" s="48"/>
    </row>
  </sheetData>
  <autoFilter ref="B3:E71" xr:uid="{BB0B9E3E-D669-4807-B074-0012A06DAB19}">
    <sortState xmlns:xlrd2="http://schemas.microsoft.com/office/spreadsheetml/2017/richdata2" ref="B4:E71">
      <sortCondition sortBy="cellColor" ref="C3:C71" dxfId="534"/>
    </sortState>
  </autoFilter>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33075-A300-4173-94F2-05CBEE1EFEDD}">
  <dimension ref="A1:F70"/>
  <sheetViews>
    <sheetView workbookViewId="0"/>
  </sheetViews>
  <sheetFormatPr defaultRowHeight="14.5" x14ac:dyDescent="0.35"/>
  <cols>
    <col min="2" max="2" width="62.81640625" bestFit="1" customWidth="1"/>
  </cols>
  <sheetData>
    <row r="1" spans="1:6" ht="15" thickBot="1" x14ac:dyDescent="0.4"/>
    <row r="2" spans="1:6" ht="23.5" thickBot="1" x14ac:dyDescent="0.4">
      <c r="A2" s="49" t="s">
        <v>1293</v>
      </c>
      <c r="B2" s="50" t="s">
        <v>5</v>
      </c>
      <c r="C2" s="50" t="s">
        <v>7</v>
      </c>
      <c r="D2" s="50" t="s">
        <v>1294</v>
      </c>
      <c r="E2" s="51" t="s">
        <v>497</v>
      </c>
      <c r="F2" s="51" t="s">
        <v>569</v>
      </c>
    </row>
    <row r="3" spans="1:6" ht="15" thickBot="1" x14ac:dyDescent="0.4">
      <c r="A3" s="52" t="s">
        <v>1295</v>
      </c>
      <c r="B3" s="53" t="s">
        <v>53</v>
      </c>
      <c r="C3" s="53" t="s">
        <v>119</v>
      </c>
      <c r="D3" s="53" t="s">
        <v>120</v>
      </c>
      <c r="E3" s="54">
        <v>329.43</v>
      </c>
      <c r="F3" s="55" t="s">
        <v>1296</v>
      </c>
    </row>
    <row r="4" spans="1:6" ht="35" thickBot="1" x14ac:dyDescent="0.4">
      <c r="A4" s="52" t="s">
        <v>1297</v>
      </c>
      <c r="B4" s="53" t="s">
        <v>42</v>
      </c>
      <c r="C4" s="53" t="s">
        <v>68</v>
      </c>
      <c r="D4" s="53" t="s">
        <v>81</v>
      </c>
      <c r="E4" s="54">
        <v>1389.5</v>
      </c>
      <c r="F4" s="55" t="s">
        <v>410</v>
      </c>
    </row>
    <row r="5" spans="1:6" ht="15" thickBot="1" x14ac:dyDescent="0.4">
      <c r="A5" s="52" t="s">
        <v>1298</v>
      </c>
      <c r="B5" s="53" t="s">
        <v>27</v>
      </c>
      <c r="C5" s="53" t="s">
        <v>74</v>
      </c>
      <c r="D5" s="53" t="s">
        <v>88</v>
      </c>
      <c r="E5" s="54">
        <v>1240</v>
      </c>
      <c r="F5" s="55" t="s">
        <v>1296</v>
      </c>
    </row>
    <row r="6" spans="1:6" ht="35" thickBot="1" x14ac:dyDescent="0.4">
      <c r="A6" s="52" t="s">
        <v>1299</v>
      </c>
      <c r="B6" s="53" t="s">
        <v>1103</v>
      </c>
      <c r="C6" s="53" t="s">
        <v>74</v>
      </c>
      <c r="D6" s="53" t="s">
        <v>88</v>
      </c>
      <c r="E6" s="53" t="s">
        <v>1300</v>
      </c>
      <c r="F6" s="55" t="s">
        <v>410</v>
      </c>
    </row>
    <row r="7" spans="1:6" ht="35" thickBot="1" x14ac:dyDescent="0.4">
      <c r="A7" s="52" t="s">
        <v>1301</v>
      </c>
      <c r="B7" s="53" t="s">
        <v>37</v>
      </c>
      <c r="C7" s="53" t="s">
        <v>97</v>
      </c>
      <c r="D7" s="53" t="s">
        <v>98</v>
      </c>
      <c r="E7" s="54">
        <v>205.1</v>
      </c>
      <c r="F7" s="55" t="s">
        <v>410</v>
      </c>
    </row>
    <row r="8" spans="1:6" ht="15" thickBot="1" x14ac:dyDescent="0.4">
      <c r="A8" s="52" t="s">
        <v>1302</v>
      </c>
      <c r="B8" s="53" t="s">
        <v>58</v>
      </c>
      <c r="C8" s="53" t="s">
        <v>126</v>
      </c>
      <c r="D8" s="53" t="s">
        <v>127</v>
      </c>
      <c r="E8" s="54">
        <v>500</v>
      </c>
      <c r="F8" s="55" t="s">
        <v>1296</v>
      </c>
    </row>
    <row r="9" spans="1:6" ht="15" thickBot="1" x14ac:dyDescent="0.4">
      <c r="A9" s="52" t="s">
        <v>1303</v>
      </c>
      <c r="B9" s="53" t="s">
        <v>487</v>
      </c>
      <c r="C9" s="53" t="s">
        <v>136</v>
      </c>
      <c r="D9" s="53" t="s">
        <v>137</v>
      </c>
      <c r="E9" s="54">
        <v>353.53</v>
      </c>
      <c r="F9" s="55" t="s">
        <v>1296</v>
      </c>
    </row>
    <row r="10" spans="1:6" ht="35" thickBot="1" x14ac:dyDescent="0.4">
      <c r="A10" s="52" t="s">
        <v>1304</v>
      </c>
      <c r="B10" s="53" t="s">
        <v>1142</v>
      </c>
      <c r="C10" s="53" t="s">
        <v>68</v>
      </c>
      <c r="D10" s="53" t="s">
        <v>71</v>
      </c>
      <c r="E10" s="56">
        <v>17000</v>
      </c>
      <c r="F10" s="55" t="s">
        <v>410</v>
      </c>
    </row>
    <row r="11" spans="1:6" ht="15" thickBot="1" x14ac:dyDescent="0.4">
      <c r="A11" s="52" t="s">
        <v>1305</v>
      </c>
      <c r="B11" s="53" t="s">
        <v>49</v>
      </c>
      <c r="C11" s="53" t="s">
        <v>114</v>
      </c>
      <c r="D11" s="53" t="s">
        <v>115</v>
      </c>
      <c r="E11" s="54">
        <v>251.43</v>
      </c>
      <c r="F11" s="55" t="s">
        <v>1296</v>
      </c>
    </row>
    <row r="12" spans="1:6" ht="35" thickBot="1" x14ac:dyDescent="0.4">
      <c r="A12" s="52" t="s">
        <v>1306</v>
      </c>
      <c r="B12" s="53" t="s">
        <v>43</v>
      </c>
      <c r="C12" s="53" t="s">
        <v>105</v>
      </c>
      <c r="D12" s="53" t="s">
        <v>106</v>
      </c>
      <c r="E12" s="54">
        <v>436.92</v>
      </c>
      <c r="F12" s="55" t="s">
        <v>410</v>
      </c>
    </row>
    <row r="13" spans="1:6" ht="15" thickBot="1" x14ac:dyDescent="0.4">
      <c r="A13" s="52" t="s">
        <v>1307</v>
      </c>
      <c r="B13" s="53" t="s">
        <v>1107</v>
      </c>
      <c r="C13" s="53" t="s">
        <v>68</v>
      </c>
      <c r="D13" s="53" t="s">
        <v>81</v>
      </c>
      <c r="E13" s="54">
        <v>774.43</v>
      </c>
      <c r="F13" s="55" t="s">
        <v>1296</v>
      </c>
    </row>
    <row r="14" spans="1:6" ht="35" thickBot="1" x14ac:dyDescent="0.4">
      <c r="A14" s="52" t="s">
        <v>1308</v>
      </c>
      <c r="B14" s="53" t="s">
        <v>845</v>
      </c>
      <c r="C14" s="53" t="s">
        <v>77</v>
      </c>
      <c r="D14" s="53" t="s">
        <v>78</v>
      </c>
      <c r="E14" s="54">
        <v>413</v>
      </c>
      <c r="F14" s="55" t="s">
        <v>410</v>
      </c>
    </row>
    <row r="15" spans="1:6" ht="15" thickBot="1" x14ac:dyDescent="0.4">
      <c r="A15" s="52" t="s">
        <v>1309</v>
      </c>
      <c r="B15" s="53" t="s">
        <v>62</v>
      </c>
      <c r="C15" s="53" t="s">
        <v>134</v>
      </c>
      <c r="D15" s="53" t="s">
        <v>135</v>
      </c>
      <c r="E15" s="54">
        <v>304</v>
      </c>
      <c r="F15" s="55" t="s">
        <v>1296</v>
      </c>
    </row>
    <row r="16" spans="1:6" ht="15" thickBot="1" x14ac:dyDescent="0.4">
      <c r="A16" s="52" t="s">
        <v>1310</v>
      </c>
      <c r="B16" s="53" t="s">
        <v>31</v>
      </c>
      <c r="C16" s="53" t="s">
        <v>90</v>
      </c>
      <c r="D16" s="53" t="s">
        <v>91</v>
      </c>
      <c r="E16" s="54">
        <v>3067.18</v>
      </c>
      <c r="F16" s="55" t="s">
        <v>1296</v>
      </c>
    </row>
    <row r="17" spans="1:6" ht="15" thickBot="1" x14ac:dyDescent="0.4">
      <c r="A17" s="52" t="s">
        <v>1311</v>
      </c>
      <c r="B17" s="53" t="s">
        <v>26</v>
      </c>
      <c r="C17" s="53" t="s">
        <v>76</v>
      </c>
      <c r="D17" s="53" t="s">
        <v>87</v>
      </c>
      <c r="E17" s="54">
        <v>104.985</v>
      </c>
      <c r="F17" s="55" t="s">
        <v>1296</v>
      </c>
    </row>
    <row r="18" spans="1:6" ht="15" thickBot="1" x14ac:dyDescent="0.4">
      <c r="A18" s="52" t="s">
        <v>1312</v>
      </c>
      <c r="B18" s="53" t="s">
        <v>18</v>
      </c>
      <c r="C18" s="53" t="s">
        <v>72</v>
      </c>
      <c r="D18" s="53" t="s">
        <v>73</v>
      </c>
      <c r="E18" s="54">
        <v>7000</v>
      </c>
      <c r="F18" s="55" t="s">
        <v>1296</v>
      </c>
    </row>
    <row r="19" spans="1:6" ht="35" thickBot="1" x14ac:dyDescent="0.4">
      <c r="A19" s="52" t="s">
        <v>1313</v>
      </c>
      <c r="B19" s="53" t="s">
        <v>24</v>
      </c>
      <c r="C19" s="53" t="s">
        <v>82</v>
      </c>
      <c r="D19" s="53" t="s">
        <v>83</v>
      </c>
      <c r="E19" s="54">
        <v>200.1</v>
      </c>
      <c r="F19" s="55" t="s">
        <v>1314</v>
      </c>
    </row>
    <row r="20" spans="1:6" ht="15" thickBot="1" x14ac:dyDescent="0.4">
      <c r="A20" s="52" t="s">
        <v>1315</v>
      </c>
      <c r="B20" s="53" t="s">
        <v>218</v>
      </c>
      <c r="C20" s="53" t="s">
        <v>82</v>
      </c>
      <c r="D20" s="53" t="s">
        <v>219</v>
      </c>
      <c r="E20" s="54">
        <v>200.01</v>
      </c>
      <c r="F20" s="55" t="s">
        <v>1296</v>
      </c>
    </row>
    <row r="21" spans="1:6" ht="15" thickBot="1" x14ac:dyDescent="0.4">
      <c r="A21" s="52" t="s">
        <v>1316</v>
      </c>
      <c r="B21" s="53" t="s">
        <v>892</v>
      </c>
      <c r="C21" s="53" t="s">
        <v>124</v>
      </c>
      <c r="D21" s="53" t="s">
        <v>125</v>
      </c>
      <c r="E21" s="54">
        <v>320.37</v>
      </c>
      <c r="F21" s="55" t="s">
        <v>1296</v>
      </c>
    </row>
    <row r="22" spans="1:6" ht="35" thickBot="1" x14ac:dyDescent="0.4">
      <c r="A22" s="52" t="s">
        <v>1317</v>
      </c>
      <c r="B22" s="53" t="s">
        <v>216</v>
      </c>
      <c r="C22" s="53" t="s">
        <v>74</v>
      </c>
      <c r="D22" s="53" t="s">
        <v>217</v>
      </c>
      <c r="E22" s="53" t="s">
        <v>1318</v>
      </c>
      <c r="F22" s="55" t="s">
        <v>1314</v>
      </c>
    </row>
    <row r="23" spans="1:6" ht="35" thickBot="1" x14ac:dyDescent="0.4">
      <c r="A23" s="52" t="s">
        <v>1319</v>
      </c>
      <c r="B23" s="53" t="s">
        <v>28</v>
      </c>
      <c r="C23" s="53" t="s">
        <v>74</v>
      </c>
      <c r="D23" s="53" t="s">
        <v>75</v>
      </c>
      <c r="E23" s="54" t="s">
        <v>1318</v>
      </c>
      <c r="F23" s="55" t="s">
        <v>410</v>
      </c>
    </row>
    <row r="24" spans="1:6" ht="35" thickBot="1" x14ac:dyDescent="0.4">
      <c r="A24" s="52" t="s">
        <v>1320</v>
      </c>
      <c r="B24" s="53" t="s">
        <v>60</v>
      </c>
      <c r="C24" s="53" t="s">
        <v>130</v>
      </c>
      <c r="D24" s="53" t="s">
        <v>131</v>
      </c>
      <c r="E24" s="54">
        <v>242.34</v>
      </c>
      <c r="F24" s="55" t="s">
        <v>1314</v>
      </c>
    </row>
    <row r="25" spans="1:6" ht="15" thickBot="1" x14ac:dyDescent="0.4">
      <c r="A25" s="52" t="s">
        <v>1321</v>
      </c>
      <c r="B25" s="53" t="s">
        <v>1152</v>
      </c>
      <c r="C25" s="53" t="s">
        <v>76</v>
      </c>
      <c r="D25" s="53" t="s">
        <v>80</v>
      </c>
      <c r="E25" s="54">
        <v>873.94</v>
      </c>
      <c r="F25" s="55" t="s">
        <v>1296</v>
      </c>
    </row>
    <row r="26" spans="1:6" ht="15" thickBot="1" x14ac:dyDescent="0.4">
      <c r="A26" s="52" t="s">
        <v>1322</v>
      </c>
      <c r="B26" s="53" t="s">
        <v>59</v>
      </c>
      <c r="C26" s="53" t="s">
        <v>128</v>
      </c>
      <c r="D26" s="53" t="s">
        <v>129</v>
      </c>
      <c r="E26" s="54">
        <v>357.76</v>
      </c>
      <c r="F26" s="55" t="s">
        <v>1296</v>
      </c>
    </row>
    <row r="27" spans="1:6" ht="15" thickBot="1" x14ac:dyDescent="0.4">
      <c r="A27" s="52" t="s">
        <v>1323</v>
      </c>
      <c r="B27" s="53" t="s">
        <v>55</v>
      </c>
      <c r="C27" s="53" t="s">
        <v>122</v>
      </c>
      <c r="D27" s="53" t="s">
        <v>123</v>
      </c>
      <c r="E27" s="54">
        <v>535</v>
      </c>
      <c r="F27" s="55" t="s">
        <v>1296</v>
      </c>
    </row>
    <row r="28" spans="1:6" ht="35" thickBot="1" x14ac:dyDescent="0.4">
      <c r="A28" s="52" t="s">
        <v>1324</v>
      </c>
      <c r="B28" s="53" t="s">
        <v>20</v>
      </c>
      <c r="C28" s="53" t="s">
        <v>74</v>
      </c>
      <c r="D28" s="53" t="s">
        <v>75</v>
      </c>
      <c r="E28" s="54">
        <v>965.36</v>
      </c>
      <c r="F28" s="55" t="s">
        <v>410</v>
      </c>
    </row>
    <row r="29" spans="1:6" ht="15" thickBot="1" x14ac:dyDescent="0.4">
      <c r="A29" s="52" t="s">
        <v>1325</v>
      </c>
      <c r="B29" s="53" t="s">
        <v>61</v>
      </c>
      <c r="C29" s="53" t="s">
        <v>132</v>
      </c>
      <c r="D29" s="53" t="s">
        <v>133</v>
      </c>
      <c r="E29" s="54">
        <v>529.61</v>
      </c>
      <c r="F29" s="55" t="s">
        <v>1296</v>
      </c>
    </row>
    <row r="30" spans="1:6" ht="15" thickBot="1" x14ac:dyDescent="0.4">
      <c r="A30" s="52" t="s">
        <v>1326</v>
      </c>
      <c r="B30" s="53" t="s">
        <v>1291</v>
      </c>
      <c r="C30" s="53" t="s">
        <v>68</v>
      </c>
      <c r="D30" s="53" t="s">
        <v>69</v>
      </c>
      <c r="E30" s="54">
        <v>2368.5700000000002</v>
      </c>
      <c r="F30" s="55" t="s">
        <v>1296</v>
      </c>
    </row>
    <row r="31" spans="1:6" ht="15" thickBot="1" x14ac:dyDescent="0.4">
      <c r="A31" s="52" t="s">
        <v>1327</v>
      </c>
      <c r="B31" s="53" t="s">
        <v>50</v>
      </c>
      <c r="C31" s="53" t="s">
        <v>94</v>
      </c>
      <c r="D31" s="53" t="s">
        <v>1149</v>
      </c>
      <c r="E31" s="54">
        <v>169.7</v>
      </c>
      <c r="F31" s="55" t="s">
        <v>1296</v>
      </c>
    </row>
    <row r="32" spans="1:6" ht="15" thickBot="1" x14ac:dyDescent="0.4">
      <c r="A32" s="52" t="s">
        <v>1328</v>
      </c>
      <c r="B32" s="53" t="s">
        <v>41</v>
      </c>
      <c r="C32" s="53" t="s">
        <v>102</v>
      </c>
      <c r="D32" s="53" t="s">
        <v>103</v>
      </c>
      <c r="E32" s="54">
        <v>176.85</v>
      </c>
      <c r="F32" s="55" t="s">
        <v>1296</v>
      </c>
    </row>
    <row r="33" spans="1:6" ht="23.5" thickBot="1" x14ac:dyDescent="0.4">
      <c r="A33" s="52" t="s">
        <v>1329</v>
      </c>
      <c r="B33" s="53" t="s">
        <v>140</v>
      </c>
      <c r="C33" s="53" t="s">
        <v>90</v>
      </c>
      <c r="D33" s="53" t="s">
        <v>141</v>
      </c>
      <c r="E33" s="54">
        <v>8402.0499999999993</v>
      </c>
      <c r="F33" s="55" t="s">
        <v>1330</v>
      </c>
    </row>
    <row r="34" spans="1:6" ht="23.5" thickBot="1" x14ac:dyDescent="0.4">
      <c r="A34" s="52" t="s">
        <v>1331</v>
      </c>
      <c r="B34" s="53" t="s">
        <v>162</v>
      </c>
      <c r="C34" s="53" t="s">
        <v>1153</v>
      </c>
      <c r="D34" s="53" t="s">
        <v>163</v>
      </c>
      <c r="E34" s="54">
        <v>1729.2</v>
      </c>
      <c r="F34" s="55" t="s">
        <v>1330</v>
      </c>
    </row>
    <row r="35" spans="1:6" ht="23.5" thickBot="1" x14ac:dyDescent="0.4">
      <c r="A35" s="52" t="s">
        <v>1332</v>
      </c>
      <c r="B35" s="53" t="s">
        <v>45</v>
      </c>
      <c r="C35" s="53" t="s">
        <v>76</v>
      </c>
      <c r="D35" s="53" t="s">
        <v>109</v>
      </c>
      <c r="E35" s="54">
        <v>312.10000000000002</v>
      </c>
      <c r="F35" s="55" t="s">
        <v>1330</v>
      </c>
    </row>
    <row r="36" spans="1:6" ht="23.5" thickBot="1" x14ac:dyDescent="0.4">
      <c r="A36" s="52" t="s">
        <v>1333</v>
      </c>
      <c r="B36" s="53" t="s">
        <v>149</v>
      </c>
      <c r="C36" s="53" t="s">
        <v>84</v>
      </c>
      <c r="D36" s="53" t="s">
        <v>150</v>
      </c>
      <c r="E36" s="54">
        <v>208.63</v>
      </c>
      <c r="F36" s="55" t="s">
        <v>1330</v>
      </c>
    </row>
    <row r="37" spans="1:6" ht="23.5" thickBot="1" x14ac:dyDescent="0.4">
      <c r="A37" s="52" t="s">
        <v>1334</v>
      </c>
      <c r="B37" s="53" t="s">
        <v>25</v>
      </c>
      <c r="C37" s="53" t="s">
        <v>85</v>
      </c>
      <c r="D37" s="53" t="s">
        <v>86</v>
      </c>
      <c r="E37" s="54">
        <v>382.072</v>
      </c>
      <c r="F37" s="55" t="s">
        <v>1330</v>
      </c>
    </row>
    <row r="38" spans="1:6" ht="23.5" thickBot="1" x14ac:dyDescent="0.4">
      <c r="A38" s="52" t="s">
        <v>1335</v>
      </c>
      <c r="B38" s="53" t="s">
        <v>204</v>
      </c>
      <c r="C38" s="53" t="s">
        <v>205</v>
      </c>
      <c r="D38" s="53" t="s">
        <v>206</v>
      </c>
      <c r="E38" s="54">
        <v>1125</v>
      </c>
      <c r="F38" s="55" t="s">
        <v>1330</v>
      </c>
    </row>
    <row r="39" spans="1:6" ht="23.5" thickBot="1" x14ac:dyDescent="0.4">
      <c r="A39" s="52" t="s">
        <v>1336</v>
      </c>
      <c r="B39" s="53" t="s">
        <v>167</v>
      </c>
      <c r="C39" s="53" t="s">
        <v>104</v>
      </c>
      <c r="D39" s="53" t="s">
        <v>168</v>
      </c>
      <c r="E39" s="54">
        <v>468.99</v>
      </c>
      <c r="F39" s="55" t="s">
        <v>1330</v>
      </c>
    </row>
    <row r="40" spans="1:6" ht="23.5" thickBot="1" x14ac:dyDescent="0.4">
      <c r="A40" s="52" t="s">
        <v>1337</v>
      </c>
      <c r="B40" s="53" t="s">
        <v>29</v>
      </c>
      <c r="C40" s="53" t="s">
        <v>77</v>
      </c>
      <c r="D40" s="53" t="s">
        <v>89</v>
      </c>
      <c r="E40" s="54">
        <v>875.68600000000004</v>
      </c>
      <c r="F40" s="55" t="s">
        <v>1330</v>
      </c>
    </row>
    <row r="41" spans="1:6" ht="35" thickBot="1" x14ac:dyDescent="0.4">
      <c r="A41" s="52" t="s">
        <v>1338</v>
      </c>
      <c r="B41" s="53" t="s">
        <v>164</v>
      </c>
      <c r="C41" s="53" t="s">
        <v>77</v>
      </c>
      <c r="D41" s="53" t="s">
        <v>93</v>
      </c>
      <c r="E41" s="54">
        <v>1000</v>
      </c>
      <c r="F41" s="55" t="s">
        <v>1314</v>
      </c>
    </row>
    <row r="42" spans="1:6" ht="23.5" thickBot="1" x14ac:dyDescent="0.4">
      <c r="A42" s="52" t="s">
        <v>1339</v>
      </c>
      <c r="B42" s="53" t="s">
        <v>154</v>
      </c>
      <c r="C42" s="53" t="s">
        <v>155</v>
      </c>
      <c r="D42" s="53" t="s">
        <v>156</v>
      </c>
      <c r="E42" s="54">
        <v>4835.91</v>
      </c>
      <c r="F42" s="55" t="s">
        <v>1330</v>
      </c>
    </row>
    <row r="43" spans="1:6" ht="23.5" thickBot="1" x14ac:dyDescent="0.4">
      <c r="A43" s="52" t="s">
        <v>1340</v>
      </c>
      <c r="B43" s="53" t="s">
        <v>138</v>
      </c>
      <c r="C43" s="53" t="s">
        <v>132</v>
      </c>
      <c r="D43" s="53" t="s">
        <v>139</v>
      </c>
      <c r="E43" s="54">
        <v>686</v>
      </c>
      <c r="F43" s="55" t="s">
        <v>1330</v>
      </c>
    </row>
    <row r="44" spans="1:6" ht="35" thickBot="1" x14ac:dyDescent="0.4">
      <c r="A44" s="52" t="s">
        <v>1341</v>
      </c>
      <c r="B44" s="53" t="s">
        <v>220</v>
      </c>
      <c r="C44" s="53" t="s">
        <v>221</v>
      </c>
      <c r="D44" s="53" t="s">
        <v>222</v>
      </c>
      <c r="E44" s="53" t="s">
        <v>1318</v>
      </c>
      <c r="F44" s="55" t="s">
        <v>1314</v>
      </c>
    </row>
    <row r="45" spans="1:6" ht="35" thickBot="1" x14ac:dyDescent="0.4">
      <c r="A45" s="52" t="s">
        <v>1342</v>
      </c>
      <c r="B45" s="53" t="s">
        <v>1292</v>
      </c>
      <c r="C45" s="53" t="s">
        <v>77</v>
      </c>
      <c r="D45" s="53" t="s">
        <v>1144</v>
      </c>
      <c r="E45" s="54" t="s">
        <v>1318</v>
      </c>
      <c r="F45" s="55" t="s">
        <v>1314</v>
      </c>
    </row>
    <row r="46" spans="1:6" ht="35" thickBot="1" x14ac:dyDescent="0.4">
      <c r="A46" s="52" t="s">
        <v>1343</v>
      </c>
      <c r="B46" s="53" t="s">
        <v>242</v>
      </c>
      <c r="C46" s="53" t="s">
        <v>243</v>
      </c>
      <c r="D46" s="53" t="s">
        <v>244</v>
      </c>
      <c r="E46" s="54">
        <v>328.61</v>
      </c>
      <c r="F46" s="55" t="s">
        <v>1314</v>
      </c>
    </row>
    <row r="47" spans="1:6" ht="35" thickBot="1" x14ac:dyDescent="0.4">
      <c r="A47" s="52" t="s">
        <v>1344</v>
      </c>
      <c r="B47" s="53" t="s">
        <v>157</v>
      </c>
      <c r="C47" s="53" t="s">
        <v>74</v>
      </c>
      <c r="D47" s="53" t="s">
        <v>88</v>
      </c>
      <c r="E47" s="54">
        <v>8784.77</v>
      </c>
      <c r="F47" s="55" t="s">
        <v>1314</v>
      </c>
    </row>
    <row r="48" spans="1:6" ht="35" thickBot="1" x14ac:dyDescent="0.4">
      <c r="A48" s="52" t="s">
        <v>1345</v>
      </c>
      <c r="B48" s="53" t="s">
        <v>207</v>
      </c>
      <c r="C48" s="53" t="s">
        <v>208</v>
      </c>
      <c r="D48" s="53" t="s">
        <v>208</v>
      </c>
      <c r="E48" s="54">
        <v>344.16</v>
      </c>
      <c r="F48" s="55" t="s">
        <v>1314</v>
      </c>
    </row>
    <row r="49" spans="1:6" ht="35" thickBot="1" x14ac:dyDescent="0.4">
      <c r="A49" s="52" t="s">
        <v>1346</v>
      </c>
      <c r="B49" s="53" t="s">
        <v>210</v>
      </c>
      <c r="C49" s="53" t="s">
        <v>211</v>
      </c>
      <c r="D49" s="53" t="s">
        <v>212</v>
      </c>
      <c r="E49" s="54">
        <v>888.28</v>
      </c>
      <c r="F49" s="55" t="s">
        <v>1314</v>
      </c>
    </row>
    <row r="50" spans="1:6" ht="35" thickBot="1" x14ac:dyDescent="0.4">
      <c r="A50" s="52" t="s">
        <v>1347</v>
      </c>
      <c r="B50" s="53" t="s">
        <v>234</v>
      </c>
      <c r="C50" s="53" t="s">
        <v>117</v>
      </c>
      <c r="D50" s="53" t="s">
        <v>118</v>
      </c>
      <c r="E50" s="54">
        <v>97.98</v>
      </c>
      <c r="F50" s="55" t="s">
        <v>1314</v>
      </c>
    </row>
    <row r="51" spans="1:6" ht="35" thickBot="1" x14ac:dyDescent="0.4">
      <c r="A51" s="52" t="s">
        <v>1348</v>
      </c>
      <c r="B51" s="53" t="s">
        <v>151</v>
      </c>
      <c r="C51" s="53" t="s">
        <v>152</v>
      </c>
      <c r="D51" s="53" t="s">
        <v>153</v>
      </c>
      <c r="E51" s="54">
        <v>511.83</v>
      </c>
      <c r="F51" s="55" t="s">
        <v>1314</v>
      </c>
    </row>
    <row r="52" spans="1:6" ht="35" thickBot="1" x14ac:dyDescent="0.4">
      <c r="A52" s="52" t="s">
        <v>1349</v>
      </c>
      <c r="B52" s="53" t="s">
        <v>186</v>
      </c>
      <c r="C52" s="53" t="s">
        <v>84</v>
      </c>
      <c r="D52" s="53" t="s">
        <v>187</v>
      </c>
      <c r="E52" s="54">
        <v>509.64</v>
      </c>
      <c r="F52" s="55" t="s">
        <v>1314</v>
      </c>
    </row>
    <row r="53" spans="1:6" ht="35" thickBot="1" x14ac:dyDescent="0.4">
      <c r="A53" s="52" t="s">
        <v>1350</v>
      </c>
      <c r="B53" s="53" t="s">
        <v>172</v>
      </c>
      <c r="C53" s="53" t="s">
        <v>173</v>
      </c>
      <c r="D53" s="53" t="s">
        <v>174</v>
      </c>
      <c r="E53" s="54">
        <v>133.91999999999999</v>
      </c>
      <c r="F53" s="55" t="s">
        <v>1314</v>
      </c>
    </row>
    <row r="54" spans="1:6" ht="15" thickBot="1" x14ac:dyDescent="0.4">
      <c r="A54" s="52" t="s">
        <v>1351</v>
      </c>
      <c r="B54" s="53" t="s">
        <v>56</v>
      </c>
      <c r="C54" s="53" t="s">
        <v>74</v>
      </c>
      <c r="D54" s="53" t="s">
        <v>88</v>
      </c>
      <c r="E54" s="54">
        <v>2846.61</v>
      </c>
      <c r="F54" s="55" t="s">
        <v>1296</v>
      </c>
    </row>
    <row r="55" spans="1:6" ht="35" thickBot="1" x14ac:dyDescent="0.4">
      <c r="A55" s="52" t="s">
        <v>1352</v>
      </c>
      <c r="B55" s="53" t="s">
        <v>215</v>
      </c>
      <c r="C55" s="53" t="s">
        <v>74</v>
      </c>
      <c r="D55" s="53" t="s">
        <v>88</v>
      </c>
      <c r="E55" s="54" t="s">
        <v>1318</v>
      </c>
      <c r="F55" s="55" t="s">
        <v>1314</v>
      </c>
    </row>
    <row r="56" spans="1:6" ht="35" thickBot="1" x14ac:dyDescent="0.4">
      <c r="A56" s="52" t="s">
        <v>1353</v>
      </c>
      <c r="B56" s="53" t="s">
        <v>158</v>
      </c>
      <c r="C56" s="53" t="s">
        <v>74</v>
      </c>
      <c r="D56" s="53" t="s">
        <v>88</v>
      </c>
      <c r="E56" s="54">
        <v>20315.8</v>
      </c>
      <c r="F56" s="55" t="s">
        <v>1314</v>
      </c>
    </row>
    <row r="57" spans="1:6" ht="35" thickBot="1" x14ac:dyDescent="0.4">
      <c r="A57" s="52" t="s">
        <v>1354</v>
      </c>
      <c r="B57" s="53" t="s">
        <v>64</v>
      </c>
      <c r="C57" s="53" t="s">
        <v>97</v>
      </c>
      <c r="D57" s="53" t="s">
        <v>98</v>
      </c>
      <c r="E57" s="54">
        <v>110.15</v>
      </c>
      <c r="F57" s="55" t="s">
        <v>410</v>
      </c>
    </row>
    <row r="58" spans="1:6" ht="35" thickBot="1" x14ac:dyDescent="0.4">
      <c r="A58" s="52" t="s">
        <v>1355</v>
      </c>
      <c r="B58" s="53" t="s">
        <v>195</v>
      </c>
      <c r="C58" s="53" t="s">
        <v>104</v>
      </c>
      <c r="D58" s="53" t="s">
        <v>196</v>
      </c>
      <c r="E58" s="54">
        <v>476.73</v>
      </c>
      <c r="F58" s="55" t="s">
        <v>1314</v>
      </c>
    </row>
    <row r="59" spans="1:6" ht="35" thickBot="1" x14ac:dyDescent="0.4">
      <c r="A59" s="52" t="s">
        <v>1356</v>
      </c>
      <c r="B59" s="53" t="s">
        <v>1150</v>
      </c>
      <c r="C59" s="53" t="s">
        <v>1151</v>
      </c>
      <c r="D59" s="53" t="s">
        <v>183</v>
      </c>
      <c r="E59" s="54">
        <v>300</v>
      </c>
      <c r="F59" s="55" t="s">
        <v>1314</v>
      </c>
    </row>
    <row r="60" spans="1:6" ht="35" thickBot="1" x14ac:dyDescent="0.4">
      <c r="A60" s="52" t="s">
        <v>1357</v>
      </c>
      <c r="B60" s="53" t="s">
        <v>1111</v>
      </c>
      <c r="C60" s="53" t="s">
        <v>1112</v>
      </c>
      <c r="D60" s="53" t="s">
        <v>1113</v>
      </c>
      <c r="E60" s="54">
        <v>690.2</v>
      </c>
      <c r="F60" s="55" t="s">
        <v>1314</v>
      </c>
    </row>
    <row r="61" spans="1:6" ht="35" thickBot="1" x14ac:dyDescent="0.4">
      <c r="A61" s="52" t="s">
        <v>1358</v>
      </c>
      <c r="B61" s="53" t="s">
        <v>235</v>
      </c>
      <c r="C61" s="53" t="s">
        <v>236</v>
      </c>
      <c r="D61" s="53" t="s">
        <v>237</v>
      </c>
      <c r="E61" s="54">
        <v>719</v>
      </c>
      <c r="F61" s="55" t="s">
        <v>1314</v>
      </c>
    </row>
    <row r="62" spans="1:6" ht="35" thickBot="1" x14ac:dyDescent="0.4">
      <c r="A62" s="52" t="s">
        <v>1359</v>
      </c>
      <c r="B62" s="53" t="s">
        <v>199</v>
      </c>
      <c r="C62" s="53" t="s">
        <v>68</v>
      </c>
      <c r="D62" s="53" t="s">
        <v>200</v>
      </c>
      <c r="E62" s="54">
        <v>774.48</v>
      </c>
      <c r="F62" s="55" t="s">
        <v>1314</v>
      </c>
    </row>
    <row r="63" spans="1:6" ht="35" thickBot="1" x14ac:dyDescent="0.4">
      <c r="A63" s="52" t="s">
        <v>1360</v>
      </c>
      <c r="B63" s="53" t="s">
        <v>248</v>
      </c>
      <c r="C63" s="53" t="s">
        <v>113</v>
      </c>
      <c r="D63" s="53" t="s">
        <v>1145</v>
      </c>
      <c r="E63" s="54">
        <v>360.37</v>
      </c>
      <c r="F63" s="55" t="s">
        <v>1314</v>
      </c>
    </row>
    <row r="64" spans="1:6" ht="35" thickBot="1" x14ac:dyDescent="0.4">
      <c r="A64" s="52" t="s">
        <v>1361</v>
      </c>
      <c r="B64" s="53" t="s">
        <v>238</v>
      </c>
      <c r="C64" s="53" t="s">
        <v>97</v>
      </c>
      <c r="D64" s="53" t="s">
        <v>214</v>
      </c>
      <c r="E64" s="54">
        <v>300</v>
      </c>
      <c r="F64" s="55" t="s">
        <v>1314</v>
      </c>
    </row>
    <row r="65" spans="1:6" ht="35" thickBot="1" x14ac:dyDescent="0.4">
      <c r="A65" s="52" t="s">
        <v>1362</v>
      </c>
      <c r="B65" s="53" t="s">
        <v>197</v>
      </c>
      <c r="C65" s="53" t="s">
        <v>1114</v>
      </c>
      <c r="D65" s="53" t="s">
        <v>198</v>
      </c>
      <c r="E65" s="53" t="s">
        <v>1300</v>
      </c>
      <c r="F65" s="55" t="s">
        <v>1314</v>
      </c>
    </row>
    <row r="66" spans="1:6" ht="35" thickBot="1" x14ac:dyDescent="0.4">
      <c r="A66" s="52" t="s">
        <v>1363</v>
      </c>
      <c r="B66" s="53" t="s">
        <v>239</v>
      </c>
      <c r="C66" s="53" t="s">
        <v>240</v>
      </c>
      <c r="D66" s="53" t="s">
        <v>241</v>
      </c>
      <c r="E66" s="54">
        <v>241.77</v>
      </c>
      <c r="F66" s="55" t="s">
        <v>1314</v>
      </c>
    </row>
    <row r="67" spans="1:6" ht="35" thickBot="1" x14ac:dyDescent="0.4">
      <c r="A67" s="52" t="s">
        <v>1364</v>
      </c>
      <c r="B67" s="53" t="s">
        <v>36</v>
      </c>
      <c r="C67" s="53" t="s">
        <v>95</v>
      </c>
      <c r="D67" s="53" t="s">
        <v>96</v>
      </c>
      <c r="E67" s="54">
        <v>352.12</v>
      </c>
      <c r="F67" s="55" t="s">
        <v>410</v>
      </c>
    </row>
    <row r="68" spans="1:6" ht="35" thickBot="1" x14ac:dyDescent="0.4">
      <c r="A68" s="52" t="s">
        <v>1365</v>
      </c>
      <c r="B68" s="53" t="s">
        <v>175</v>
      </c>
      <c r="C68" s="53" t="s">
        <v>107</v>
      </c>
      <c r="D68" s="53" t="s">
        <v>176</v>
      </c>
      <c r="E68" s="53" t="s">
        <v>1318</v>
      </c>
      <c r="F68" s="55" t="s">
        <v>1314</v>
      </c>
    </row>
    <row r="69" spans="1:6" ht="35" thickBot="1" x14ac:dyDescent="0.4">
      <c r="A69" s="52" t="s">
        <v>1366</v>
      </c>
      <c r="B69" s="53" t="s">
        <v>223</v>
      </c>
      <c r="C69" s="53" t="s">
        <v>202</v>
      </c>
      <c r="D69" s="53" t="s">
        <v>224</v>
      </c>
      <c r="E69" s="53" t="s">
        <v>1318</v>
      </c>
      <c r="F69" s="55" t="s">
        <v>1314</v>
      </c>
    </row>
    <row r="70" spans="1:6" ht="35" thickBot="1" x14ac:dyDescent="0.4">
      <c r="A70" s="52" t="s">
        <v>1367</v>
      </c>
      <c r="B70" s="53" t="s">
        <v>227</v>
      </c>
      <c r="C70" s="53" t="s">
        <v>97</v>
      </c>
      <c r="D70" s="53" t="s">
        <v>228</v>
      </c>
      <c r="E70" s="54">
        <v>1546.35</v>
      </c>
      <c r="F70" s="55" t="s">
        <v>1314</v>
      </c>
    </row>
  </sheetData>
  <autoFilter ref="A2:F70" xr:uid="{00833075-A300-4173-94F2-05CBEE1EFEDD}"/>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F8DB1-AE2F-4895-9522-B49ECB4077AB}">
  <dimension ref="A1:U496"/>
  <sheetViews>
    <sheetView workbookViewId="0">
      <selection sqref="A1:A2"/>
    </sheetView>
  </sheetViews>
  <sheetFormatPr defaultRowHeight="14.5" x14ac:dyDescent="0.35"/>
  <cols>
    <col min="1" max="1" width="3.453125" bestFit="1" customWidth="1"/>
    <col min="2" max="2" width="36.54296875" bestFit="1" customWidth="1"/>
    <col min="3" max="3" width="32.54296875" style="17" customWidth="1"/>
    <col min="4" max="4" width="12.453125" bestFit="1" customWidth="1"/>
    <col min="5" max="5" width="8.453125" bestFit="1" customWidth="1"/>
    <col min="6" max="6" width="10" bestFit="1" customWidth="1"/>
    <col min="7" max="7" width="9.453125" bestFit="1" customWidth="1"/>
    <col min="8" max="8" width="11.1796875" bestFit="1" customWidth="1"/>
    <col min="9" max="10" width="9.453125" bestFit="1" customWidth="1"/>
    <col min="11" max="11" width="10" bestFit="1" customWidth="1"/>
    <col min="12" max="12" width="11.1796875" bestFit="1" customWidth="1"/>
    <col min="13" max="13" width="12.1796875" bestFit="1" customWidth="1"/>
    <col min="14" max="14" width="13.453125" customWidth="1"/>
    <col min="15" max="15" width="11" customWidth="1"/>
    <col min="16" max="16" width="13.453125" customWidth="1"/>
    <col min="17" max="17" width="2.54296875" customWidth="1"/>
    <col min="18" max="18" width="16" customWidth="1"/>
    <col min="20" max="20" width="12.81640625" bestFit="1" customWidth="1"/>
    <col min="21" max="21" width="18.54296875" bestFit="1" customWidth="1"/>
  </cols>
  <sheetData>
    <row r="1" spans="1:21" x14ac:dyDescent="0.35">
      <c r="A1" s="844" t="s">
        <v>4</v>
      </c>
      <c r="B1" s="844" t="s">
        <v>5</v>
      </c>
      <c r="C1" s="844" t="s">
        <v>1368</v>
      </c>
      <c r="D1" s="847" t="s">
        <v>1369</v>
      </c>
      <c r="E1" s="844" t="s">
        <v>1370</v>
      </c>
      <c r="F1" s="844"/>
      <c r="G1" s="844"/>
      <c r="H1" s="844" t="s">
        <v>1371</v>
      </c>
      <c r="I1" s="844"/>
      <c r="J1" s="844"/>
      <c r="K1" s="844" t="s">
        <v>1372</v>
      </c>
      <c r="L1" s="844"/>
      <c r="M1" s="844"/>
      <c r="N1" s="845" t="s">
        <v>1373</v>
      </c>
      <c r="O1" s="844"/>
      <c r="P1" s="844"/>
      <c r="R1" s="846" t="s">
        <v>1374</v>
      </c>
      <c r="S1" s="846"/>
      <c r="T1" s="846"/>
      <c r="U1" s="846"/>
    </row>
    <row r="2" spans="1:21" x14ac:dyDescent="0.35">
      <c r="A2" s="844"/>
      <c r="B2" s="844"/>
      <c r="C2" s="844"/>
      <c r="D2" s="847"/>
      <c r="E2" s="5">
        <v>2025</v>
      </c>
      <c r="F2" s="5">
        <v>2030</v>
      </c>
      <c r="G2" s="5">
        <v>2035</v>
      </c>
      <c r="H2" s="5">
        <v>2025</v>
      </c>
      <c r="I2" s="5">
        <v>2030</v>
      </c>
      <c r="J2" s="5">
        <v>2035</v>
      </c>
      <c r="K2" s="5">
        <v>2025</v>
      </c>
      <c r="L2" s="5">
        <v>2030</v>
      </c>
      <c r="M2" s="5">
        <v>2035</v>
      </c>
      <c r="N2" s="7">
        <v>2025</v>
      </c>
      <c r="O2" s="5">
        <v>2030</v>
      </c>
      <c r="P2" s="5">
        <v>2035</v>
      </c>
    </row>
    <row r="3" spans="1:21" x14ac:dyDescent="0.35">
      <c r="A3">
        <v>1</v>
      </c>
      <c r="B3" t="str">
        <f>'To be deleted'!B3</f>
        <v>Agoiljhara Economic Zone</v>
      </c>
      <c r="C3" s="8" t="str">
        <f>'To be deleted'!AM3</f>
        <v>Textiles and RMG</v>
      </c>
      <c r="D3" s="9" t="s">
        <v>1375</v>
      </c>
      <c r="E3" s="10">
        <v>1.06</v>
      </c>
      <c r="F3" s="11">
        <v>7.21</v>
      </c>
      <c r="G3" s="12">
        <v>18.04</v>
      </c>
      <c r="H3" s="13">
        <f>142*E3</f>
        <v>150.52000000000001</v>
      </c>
      <c r="I3" s="14">
        <f t="shared" ref="I3:J5" si="0">142*F3</f>
        <v>1023.82</v>
      </c>
      <c r="J3" s="15">
        <f t="shared" si="0"/>
        <v>2561.6799999999998</v>
      </c>
      <c r="K3" s="10">
        <f>34.8*E3</f>
        <v>36.887999999999998</v>
      </c>
      <c r="L3" s="11">
        <f t="shared" ref="L3:M5" si="1">34.8*F3</f>
        <v>250.90799999999999</v>
      </c>
      <c r="M3" s="12">
        <f t="shared" si="1"/>
        <v>627.79199999999992</v>
      </c>
      <c r="N3" s="9"/>
      <c r="O3" s="9"/>
      <c r="P3" s="16"/>
      <c r="R3" t="s">
        <v>1376</v>
      </c>
    </row>
    <row r="4" spans="1:21" x14ac:dyDescent="0.35">
      <c r="D4" t="s">
        <v>1377</v>
      </c>
      <c r="E4" s="18">
        <v>1.66</v>
      </c>
      <c r="F4" s="19">
        <v>10.77</v>
      </c>
      <c r="G4" s="20">
        <v>26.83</v>
      </c>
      <c r="H4" s="21">
        <f t="shared" ref="H4:H5" si="2">142*E4</f>
        <v>235.72</v>
      </c>
      <c r="I4" s="22">
        <f t="shared" si="0"/>
        <v>1529.34</v>
      </c>
      <c r="J4" s="23">
        <f t="shared" si="0"/>
        <v>3809.8599999999997</v>
      </c>
      <c r="K4" s="18">
        <f t="shared" ref="K4:K5" si="3">34.8*E4</f>
        <v>57.767999999999994</v>
      </c>
      <c r="L4" s="19">
        <f t="shared" si="1"/>
        <v>374.79599999999994</v>
      </c>
      <c r="M4" s="20">
        <f t="shared" si="1"/>
        <v>933.68399999999986</v>
      </c>
      <c r="P4" s="24"/>
    </row>
    <row r="5" spans="1:21" x14ac:dyDescent="0.35">
      <c r="C5" s="25"/>
      <c r="D5" s="26" t="s">
        <v>1378</v>
      </c>
      <c r="E5" s="27">
        <v>2.4</v>
      </c>
      <c r="F5" s="28">
        <v>15.14</v>
      </c>
      <c r="G5" s="29">
        <v>28.93</v>
      </c>
      <c r="H5" s="30">
        <f t="shared" si="2"/>
        <v>340.8</v>
      </c>
      <c r="I5" s="31">
        <f t="shared" si="0"/>
        <v>2149.88</v>
      </c>
      <c r="J5" s="32">
        <f t="shared" si="0"/>
        <v>4108.0600000000004</v>
      </c>
      <c r="K5" s="27">
        <f t="shared" si="3"/>
        <v>83.52</v>
      </c>
      <c r="L5" s="28">
        <f t="shared" si="1"/>
        <v>526.87199999999996</v>
      </c>
      <c r="M5" s="29">
        <f t="shared" si="1"/>
        <v>1006.7639999999999</v>
      </c>
      <c r="N5" s="26"/>
      <c r="O5" s="26"/>
      <c r="P5" s="33"/>
    </row>
    <row r="6" spans="1:21" x14ac:dyDescent="0.35">
      <c r="C6" s="8" t="str">
        <f>'To be deleted'!AN3</f>
        <v>Wood products and furniture</v>
      </c>
      <c r="D6" s="9" t="s">
        <v>1375</v>
      </c>
      <c r="E6" s="34">
        <v>2.76</v>
      </c>
      <c r="F6" s="35">
        <v>22.85</v>
      </c>
      <c r="G6" s="36">
        <v>76.489999999999995</v>
      </c>
      <c r="H6" s="13">
        <f>171*E6</f>
        <v>471.96</v>
      </c>
      <c r="I6" s="14">
        <f t="shared" ref="I6:J8" si="4">171*F6</f>
        <v>3907.3500000000004</v>
      </c>
      <c r="J6" s="15">
        <f t="shared" si="4"/>
        <v>13079.789999999999</v>
      </c>
      <c r="K6" s="10">
        <f>198.86*E6</f>
        <v>548.85360000000003</v>
      </c>
      <c r="L6" s="11">
        <f t="shared" ref="L6:M8" si="5">198.86*F6</f>
        <v>4543.9510000000009</v>
      </c>
      <c r="M6" s="12">
        <f t="shared" si="5"/>
        <v>15210.8014</v>
      </c>
      <c r="N6" s="9"/>
      <c r="O6" s="9"/>
      <c r="P6" s="16"/>
    </row>
    <row r="7" spans="1:21" x14ac:dyDescent="0.35">
      <c r="D7" t="s">
        <v>1377</v>
      </c>
      <c r="E7" s="37">
        <v>4.32</v>
      </c>
      <c r="F7" s="38">
        <v>34.17</v>
      </c>
      <c r="G7" s="39">
        <v>113.79</v>
      </c>
      <c r="H7" s="21">
        <f t="shared" ref="H7:H8" si="6">171*E7</f>
        <v>738.72</v>
      </c>
      <c r="I7" s="22">
        <f t="shared" si="4"/>
        <v>5843.0700000000006</v>
      </c>
      <c r="J7" s="23">
        <f t="shared" si="4"/>
        <v>19458.09</v>
      </c>
      <c r="K7" s="18">
        <f t="shared" ref="K7:K8" si="7">198.86*E7</f>
        <v>859.07520000000011</v>
      </c>
      <c r="L7" s="19">
        <f t="shared" si="5"/>
        <v>6795.0462000000007</v>
      </c>
      <c r="M7" s="20">
        <f t="shared" si="5"/>
        <v>22628.279400000003</v>
      </c>
      <c r="P7" s="24"/>
    </row>
    <row r="8" spans="1:21" x14ac:dyDescent="0.35">
      <c r="C8" s="25"/>
      <c r="D8" s="26" t="s">
        <v>1378</v>
      </c>
      <c r="E8" s="40">
        <v>6.24</v>
      </c>
      <c r="F8" s="41">
        <v>48.1</v>
      </c>
      <c r="G8" s="42">
        <v>110.64</v>
      </c>
      <c r="H8" s="30">
        <f t="shared" si="6"/>
        <v>1067.04</v>
      </c>
      <c r="I8" s="31">
        <f t="shared" si="4"/>
        <v>8225.1</v>
      </c>
      <c r="J8" s="32">
        <f t="shared" si="4"/>
        <v>18919.439999999999</v>
      </c>
      <c r="K8" s="27">
        <f t="shared" si="7"/>
        <v>1240.8864000000001</v>
      </c>
      <c r="L8" s="28">
        <f t="shared" si="5"/>
        <v>9565.1660000000011</v>
      </c>
      <c r="M8" s="29">
        <f t="shared" si="5"/>
        <v>22001.870400000003</v>
      </c>
      <c r="N8" s="26"/>
      <c r="O8" s="26"/>
      <c r="P8" s="33"/>
    </row>
    <row r="9" spans="1:21" x14ac:dyDescent="0.35">
      <c r="C9" s="8" t="str">
        <f>'To be deleted'!AO3</f>
        <v>Food and beverages</v>
      </c>
      <c r="D9" s="9" t="s">
        <v>1375</v>
      </c>
      <c r="E9" s="34">
        <v>2.96</v>
      </c>
      <c r="F9" s="35">
        <v>20.75</v>
      </c>
      <c r="G9" s="36">
        <v>54.87</v>
      </c>
      <c r="H9" s="13">
        <f>24*E9</f>
        <v>71.039999999999992</v>
      </c>
      <c r="I9" s="14">
        <f t="shared" ref="I9:J11" si="8">24*F9</f>
        <v>498</v>
      </c>
      <c r="J9" s="15">
        <f t="shared" si="8"/>
        <v>1316.8799999999999</v>
      </c>
      <c r="K9" s="10">
        <f>36.76*E9</f>
        <v>108.80959999999999</v>
      </c>
      <c r="L9" s="11">
        <f t="shared" ref="L9:M11" si="9">36.76*F9</f>
        <v>762.77</v>
      </c>
      <c r="M9" s="12">
        <f t="shared" si="9"/>
        <v>2017.0211999999999</v>
      </c>
      <c r="N9" s="9"/>
      <c r="O9" s="9"/>
      <c r="P9" s="16"/>
    </row>
    <row r="10" spans="1:21" x14ac:dyDescent="0.35">
      <c r="D10" t="s">
        <v>1377</v>
      </c>
      <c r="E10" s="37">
        <v>4.62</v>
      </c>
      <c r="F10" s="38">
        <v>30.99</v>
      </c>
      <c r="G10" s="39">
        <v>81.62</v>
      </c>
      <c r="H10" s="21">
        <f t="shared" ref="H10:H11" si="10">24*E10</f>
        <v>110.88</v>
      </c>
      <c r="I10" s="22">
        <f t="shared" si="8"/>
        <v>743.76</v>
      </c>
      <c r="J10" s="23">
        <f t="shared" si="8"/>
        <v>1958.88</v>
      </c>
      <c r="K10" s="18">
        <f t="shared" ref="K10:K11" si="11">36.76*E10</f>
        <v>169.8312</v>
      </c>
      <c r="L10" s="19">
        <f t="shared" si="9"/>
        <v>1139.1923999999999</v>
      </c>
      <c r="M10" s="20">
        <f t="shared" si="9"/>
        <v>3000.3512000000001</v>
      </c>
      <c r="P10" s="24"/>
    </row>
    <row r="11" spans="1:21" x14ac:dyDescent="0.35">
      <c r="C11" s="25"/>
      <c r="D11" s="26" t="s">
        <v>1378</v>
      </c>
      <c r="E11" s="40">
        <v>6.67</v>
      </c>
      <c r="F11" s="41">
        <v>43.58</v>
      </c>
      <c r="G11" s="42">
        <v>86.28</v>
      </c>
      <c r="H11" s="30">
        <f t="shared" si="10"/>
        <v>160.07999999999998</v>
      </c>
      <c r="I11" s="31">
        <f t="shared" si="8"/>
        <v>1045.92</v>
      </c>
      <c r="J11" s="32">
        <f t="shared" si="8"/>
        <v>2070.7200000000003</v>
      </c>
      <c r="K11" s="27">
        <f t="shared" si="11"/>
        <v>245.18919999999997</v>
      </c>
      <c r="L11" s="28">
        <f t="shared" si="9"/>
        <v>1602.0007999999998</v>
      </c>
      <c r="M11" s="29">
        <f t="shared" si="9"/>
        <v>3171.6527999999998</v>
      </c>
      <c r="N11" s="26"/>
      <c r="O11" s="26"/>
      <c r="P11" s="33"/>
    </row>
    <row r="12" spans="1:21" x14ac:dyDescent="0.35">
      <c r="C12" s="8" t="str">
        <f>'To be deleted'!AP3</f>
        <v>Agro based</v>
      </c>
      <c r="D12" s="9" t="s">
        <v>1375</v>
      </c>
      <c r="E12" s="10">
        <v>0.53</v>
      </c>
      <c r="F12" s="11">
        <v>3.68</v>
      </c>
      <c r="G12" s="12">
        <v>9.74</v>
      </c>
      <c r="H12" s="13">
        <f>120*E12</f>
        <v>63.6</v>
      </c>
      <c r="I12" s="14">
        <f t="shared" ref="I12:J14" si="12">120*F12</f>
        <v>441.6</v>
      </c>
      <c r="J12" s="15">
        <f t="shared" si="12"/>
        <v>1168.8</v>
      </c>
      <c r="K12" s="10">
        <f>51.37*E12</f>
        <v>27.226099999999999</v>
      </c>
      <c r="L12" s="11">
        <f t="shared" ref="L12:M14" si="13">51.37*F12</f>
        <v>189.04159999999999</v>
      </c>
      <c r="M12" s="12">
        <f t="shared" si="13"/>
        <v>500.34379999999999</v>
      </c>
      <c r="N12" s="9"/>
      <c r="O12" s="9"/>
      <c r="P12" s="16"/>
    </row>
    <row r="13" spans="1:21" x14ac:dyDescent="0.35">
      <c r="C13" s="17" t="s">
        <v>904</v>
      </c>
      <c r="D13" t="s">
        <v>1377</v>
      </c>
      <c r="E13" s="18">
        <v>0.3</v>
      </c>
      <c r="F13" s="19">
        <v>1.64</v>
      </c>
      <c r="G13" s="20">
        <v>3.29</v>
      </c>
      <c r="H13" s="21">
        <f t="shared" ref="H13:H14" si="14">120*E13</f>
        <v>36</v>
      </c>
      <c r="I13" s="22">
        <f t="shared" si="12"/>
        <v>196.79999999999998</v>
      </c>
      <c r="J13" s="23">
        <f t="shared" si="12"/>
        <v>394.8</v>
      </c>
      <c r="K13" s="18">
        <f t="shared" ref="K13:K14" si="15">51.37*E13</f>
        <v>15.410999999999998</v>
      </c>
      <c r="L13" s="19">
        <f t="shared" si="13"/>
        <v>84.246799999999993</v>
      </c>
      <c r="M13" s="20">
        <f t="shared" si="13"/>
        <v>169.00729999999999</v>
      </c>
      <c r="P13" s="24"/>
    </row>
    <row r="14" spans="1:21" x14ac:dyDescent="0.35">
      <c r="C14" s="25"/>
      <c r="D14" s="26" t="s">
        <v>1378</v>
      </c>
      <c r="E14" s="40">
        <v>1.19</v>
      </c>
      <c r="F14" s="41">
        <v>7.74</v>
      </c>
      <c r="G14" s="42">
        <v>15.32</v>
      </c>
      <c r="H14" s="30">
        <f t="shared" si="14"/>
        <v>142.79999999999998</v>
      </c>
      <c r="I14" s="31">
        <f t="shared" si="12"/>
        <v>928.80000000000007</v>
      </c>
      <c r="J14" s="32">
        <f t="shared" si="12"/>
        <v>1838.4</v>
      </c>
      <c r="K14" s="27">
        <f t="shared" si="15"/>
        <v>61.130299999999991</v>
      </c>
      <c r="L14" s="28">
        <f t="shared" si="13"/>
        <v>397.60379999999998</v>
      </c>
      <c r="M14" s="29">
        <f t="shared" si="13"/>
        <v>786.98839999999996</v>
      </c>
      <c r="N14" s="26"/>
      <c r="O14" s="26"/>
      <c r="P14" s="33"/>
    </row>
    <row r="15" spans="1:21" x14ac:dyDescent="0.35">
      <c r="C15" s="8" t="str">
        <f>'To be deleted'!AQ3</f>
        <v>Paper and packaging</v>
      </c>
      <c r="D15" s="9" t="s">
        <v>1375</v>
      </c>
      <c r="E15" s="10">
        <v>0.04</v>
      </c>
      <c r="F15" s="11">
        <v>0.31</v>
      </c>
      <c r="G15" s="12">
        <v>0.82</v>
      </c>
      <c r="H15" s="13">
        <f>246*E15</f>
        <v>9.84</v>
      </c>
      <c r="I15" s="14">
        <f t="shared" ref="I15:J17" si="16">246*F15</f>
        <v>76.260000000000005</v>
      </c>
      <c r="J15" s="15">
        <f t="shared" si="16"/>
        <v>201.72</v>
      </c>
      <c r="K15" s="10">
        <f>119.32*E15</f>
        <v>4.7728000000000002</v>
      </c>
      <c r="L15" s="11">
        <f t="shared" ref="L15:M17" si="17">119.32*F15</f>
        <v>36.989199999999997</v>
      </c>
      <c r="M15" s="12">
        <f t="shared" si="17"/>
        <v>97.842399999999984</v>
      </c>
      <c r="N15" s="9"/>
      <c r="O15" s="9"/>
      <c r="P15" s="16"/>
    </row>
    <row r="16" spans="1:21" x14ac:dyDescent="0.35">
      <c r="D16" t="s">
        <v>1377</v>
      </c>
      <c r="E16" s="18">
        <v>7.0000000000000007E-2</v>
      </c>
      <c r="F16" s="19">
        <v>0.46</v>
      </c>
      <c r="G16" s="20">
        <v>1.22</v>
      </c>
      <c r="H16" s="21">
        <f t="shared" ref="H16:H17" si="18">246*E16</f>
        <v>17.220000000000002</v>
      </c>
      <c r="I16" s="22">
        <f t="shared" si="16"/>
        <v>113.16000000000001</v>
      </c>
      <c r="J16" s="23">
        <f t="shared" si="16"/>
        <v>300.12</v>
      </c>
      <c r="K16" s="18">
        <f t="shared" ref="K16:K17" si="19">119.32*E16</f>
        <v>8.3524000000000012</v>
      </c>
      <c r="L16" s="19">
        <f t="shared" si="17"/>
        <v>54.8872</v>
      </c>
      <c r="M16" s="20">
        <f t="shared" si="17"/>
        <v>145.57039999999998</v>
      </c>
      <c r="P16" s="24"/>
    </row>
    <row r="17" spans="1:16" x14ac:dyDescent="0.35">
      <c r="C17" s="25"/>
      <c r="D17" s="26" t="s">
        <v>1378</v>
      </c>
      <c r="E17" s="27">
        <v>0.1</v>
      </c>
      <c r="F17" s="28">
        <v>0.65</v>
      </c>
      <c r="G17" s="29">
        <v>1.29</v>
      </c>
      <c r="H17" s="30">
        <f t="shared" si="18"/>
        <v>24.6</v>
      </c>
      <c r="I17" s="31">
        <f t="shared" si="16"/>
        <v>159.9</v>
      </c>
      <c r="J17" s="32">
        <f t="shared" si="16"/>
        <v>317.34000000000003</v>
      </c>
      <c r="K17" s="27">
        <f t="shared" si="19"/>
        <v>11.932</v>
      </c>
      <c r="L17" s="28">
        <f t="shared" si="17"/>
        <v>77.557999999999993</v>
      </c>
      <c r="M17" s="29">
        <f t="shared" si="17"/>
        <v>153.9228</v>
      </c>
      <c r="N17" s="26"/>
      <c r="O17" s="26"/>
      <c r="P17" s="33"/>
    </row>
    <row r="18" spans="1:16" x14ac:dyDescent="0.35">
      <c r="C18" s="8" t="str">
        <f>'To be deleted'!AR3</f>
        <v>Light engineering</v>
      </c>
      <c r="D18" s="9" t="s">
        <v>1375</v>
      </c>
      <c r="E18" s="10">
        <v>0</v>
      </c>
      <c r="F18" s="11">
        <v>0.04</v>
      </c>
      <c r="G18" s="12">
        <v>0.12</v>
      </c>
      <c r="H18" s="13">
        <f>153*E18</f>
        <v>0</v>
      </c>
      <c r="I18" s="14">
        <f t="shared" ref="I18:J20" si="20">153*F18</f>
        <v>6.12</v>
      </c>
      <c r="J18" s="15">
        <f t="shared" si="20"/>
        <v>18.36</v>
      </c>
      <c r="K18" s="10">
        <f>198.86*E18</f>
        <v>0</v>
      </c>
      <c r="L18" s="11">
        <f t="shared" ref="L18:M20" si="21">198.86*F18</f>
        <v>7.9544000000000006</v>
      </c>
      <c r="M18" s="12">
        <f t="shared" si="21"/>
        <v>23.863199999999999</v>
      </c>
      <c r="N18" s="9"/>
      <c r="O18" s="9"/>
      <c r="P18" s="16"/>
    </row>
    <row r="19" spans="1:16" x14ac:dyDescent="0.35">
      <c r="D19" t="s">
        <v>1377</v>
      </c>
      <c r="E19" s="18">
        <v>0.01</v>
      </c>
      <c r="F19" s="19">
        <v>0.05</v>
      </c>
      <c r="G19" s="20">
        <v>0.18</v>
      </c>
      <c r="H19" s="21">
        <f t="shared" ref="H19:H20" si="22">153*E19</f>
        <v>1.53</v>
      </c>
      <c r="I19" s="22">
        <f t="shared" si="20"/>
        <v>7.65</v>
      </c>
      <c r="J19" s="23">
        <f t="shared" si="20"/>
        <v>27.54</v>
      </c>
      <c r="K19" s="18">
        <f t="shared" ref="K19:K20" si="23">198.86*E19</f>
        <v>1.9886000000000001</v>
      </c>
      <c r="L19" s="19">
        <f t="shared" si="21"/>
        <v>9.9430000000000014</v>
      </c>
      <c r="M19" s="20">
        <f t="shared" si="21"/>
        <v>35.794800000000002</v>
      </c>
      <c r="P19" s="24"/>
    </row>
    <row r="20" spans="1:16" x14ac:dyDescent="0.35">
      <c r="C20" s="25"/>
      <c r="D20" s="26" t="s">
        <v>1378</v>
      </c>
      <c r="E20" s="27">
        <v>0.01</v>
      </c>
      <c r="F20" s="28">
        <v>0.08</v>
      </c>
      <c r="G20" s="29">
        <v>0.17</v>
      </c>
      <c r="H20" s="30">
        <f t="shared" si="22"/>
        <v>1.53</v>
      </c>
      <c r="I20" s="31">
        <f t="shared" si="20"/>
        <v>12.24</v>
      </c>
      <c r="J20" s="32">
        <f t="shared" si="20"/>
        <v>26.01</v>
      </c>
      <c r="K20" s="27">
        <f t="shared" si="23"/>
        <v>1.9886000000000001</v>
      </c>
      <c r="L20" s="28">
        <f t="shared" si="21"/>
        <v>15.908800000000001</v>
      </c>
      <c r="M20" s="29">
        <f t="shared" si="21"/>
        <v>33.806200000000004</v>
      </c>
      <c r="N20" s="26"/>
      <c r="O20" s="26"/>
      <c r="P20" s="33"/>
    </row>
    <row r="21" spans="1:16" x14ac:dyDescent="0.35">
      <c r="E21" s="19"/>
      <c r="F21" s="19"/>
      <c r="G21" s="20"/>
      <c r="H21" s="22"/>
      <c r="I21" s="22"/>
      <c r="J21" s="22"/>
      <c r="K21" s="19"/>
      <c r="L21" s="19"/>
      <c r="M21" s="19"/>
    </row>
    <row r="22" spans="1:16" x14ac:dyDescent="0.35">
      <c r="A22">
        <v>3</v>
      </c>
      <c r="B22" t="str">
        <f>'To be deleted'!B5</f>
        <v>Jamalpur Economic Zone</v>
      </c>
      <c r="C22" s="17" t="str">
        <f>'To be deleted'!AM5</f>
        <v>Food and Beverage</v>
      </c>
      <c r="D22" s="9" t="s">
        <v>1375</v>
      </c>
      <c r="E22" s="10">
        <v>13</v>
      </c>
      <c r="F22" s="11">
        <v>44</v>
      </c>
      <c r="G22" s="12">
        <v>116</v>
      </c>
      <c r="H22" s="13">
        <v>304</v>
      </c>
      <c r="I22" s="14">
        <v>1007</v>
      </c>
      <c r="J22" s="15">
        <v>2680</v>
      </c>
      <c r="K22" s="10">
        <f>36.76*E22</f>
        <v>477.88</v>
      </c>
      <c r="L22" s="11">
        <f t="shared" ref="L22:M24" si="24">36.76*F22</f>
        <v>1617.4399999999998</v>
      </c>
      <c r="M22" s="12">
        <f t="shared" si="24"/>
        <v>4264.16</v>
      </c>
      <c r="N22" s="9"/>
      <c r="O22" s="9"/>
      <c r="P22" s="16"/>
    </row>
    <row r="23" spans="1:16" x14ac:dyDescent="0.35">
      <c r="D23" t="s">
        <v>1377</v>
      </c>
      <c r="E23" s="18">
        <v>16</v>
      </c>
      <c r="F23" s="19">
        <v>55</v>
      </c>
      <c r="G23" s="20">
        <v>148</v>
      </c>
      <c r="H23" s="21">
        <v>367</v>
      </c>
      <c r="I23" s="22">
        <v>1283</v>
      </c>
      <c r="J23" s="23">
        <v>3417</v>
      </c>
      <c r="K23" s="18">
        <f t="shared" ref="K23:K24" si="25">36.76*E23</f>
        <v>588.16</v>
      </c>
      <c r="L23" s="19">
        <f t="shared" si="24"/>
        <v>2021.8</v>
      </c>
      <c r="M23" s="20">
        <f t="shared" si="24"/>
        <v>5440.48</v>
      </c>
      <c r="P23" s="24"/>
    </row>
    <row r="24" spans="1:16" x14ac:dyDescent="0.35">
      <c r="D24" s="26" t="s">
        <v>1378</v>
      </c>
      <c r="E24" s="27">
        <v>19</v>
      </c>
      <c r="F24" s="28">
        <v>68</v>
      </c>
      <c r="G24" s="29">
        <v>182</v>
      </c>
      <c r="H24" s="30">
        <v>433</v>
      </c>
      <c r="I24" s="31">
        <v>1575</v>
      </c>
      <c r="J24" s="32">
        <v>4197</v>
      </c>
      <c r="K24" s="27">
        <f t="shared" si="25"/>
        <v>698.43999999999994</v>
      </c>
      <c r="L24" s="28">
        <f t="shared" si="24"/>
        <v>2499.6799999999998</v>
      </c>
      <c r="M24" s="29">
        <f t="shared" si="24"/>
        <v>6690.32</v>
      </c>
      <c r="N24" s="26"/>
      <c r="O24" s="26"/>
      <c r="P24" s="33"/>
    </row>
    <row r="25" spans="1:16" x14ac:dyDescent="0.35">
      <c r="C25" s="17" t="str">
        <f>'To be deleted'!AN5</f>
        <v>Agro based</v>
      </c>
      <c r="D25" s="9" t="s">
        <v>1375</v>
      </c>
      <c r="E25" s="10">
        <v>1</v>
      </c>
      <c r="F25" s="11">
        <v>2</v>
      </c>
      <c r="G25" s="12">
        <v>5</v>
      </c>
      <c r="H25" s="13">
        <v>70</v>
      </c>
      <c r="I25" s="14">
        <v>239</v>
      </c>
      <c r="J25" s="15">
        <v>588</v>
      </c>
      <c r="K25" s="10">
        <f>52.87*E25</f>
        <v>52.87</v>
      </c>
      <c r="L25" s="11">
        <f t="shared" ref="L25:M27" si="26">52.87*F25</f>
        <v>105.74</v>
      </c>
      <c r="M25" s="12">
        <f t="shared" si="26"/>
        <v>264.34999999999997</v>
      </c>
      <c r="N25" s="9"/>
      <c r="O25" s="9"/>
      <c r="P25" s="16"/>
    </row>
    <row r="26" spans="1:16" x14ac:dyDescent="0.35">
      <c r="D26" t="s">
        <v>1377</v>
      </c>
      <c r="E26" s="18">
        <v>1</v>
      </c>
      <c r="F26" s="19">
        <v>3</v>
      </c>
      <c r="G26" s="20">
        <v>6</v>
      </c>
      <c r="H26" s="21">
        <v>85</v>
      </c>
      <c r="I26" s="22">
        <v>304</v>
      </c>
      <c r="J26" s="23">
        <v>750</v>
      </c>
      <c r="K26" s="18">
        <f t="shared" ref="K26:K27" si="27">52.87*E26</f>
        <v>52.87</v>
      </c>
      <c r="L26" s="19">
        <f t="shared" si="26"/>
        <v>158.60999999999999</v>
      </c>
      <c r="M26" s="20">
        <f t="shared" si="26"/>
        <v>317.21999999999997</v>
      </c>
      <c r="P26" s="24"/>
    </row>
    <row r="27" spans="1:16" x14ac:dyDescent="0.35">
      <c r="D27" s="26" t="s">
        <v>1378</v>
      </c>
      <c r="E27" s="27">
        <v>1</v>
      </c>
      <c r="F27" s="28">
        <v>3</v>
      </c>
      <c r="G27" s="29">
        <v>8</v>
      </c>
      <c r="H27" s="30">
        <v>100</v>
      </c>
      <c r="I27" s="31">
        <v>373</v>
      </c>
      <c r="J27" s="32">
        <v>921</v>
      </c>
      <c r="K27" s="27">
        <f t="shared" si="27"/>
        <v>52.87</v>
      </c>
      <c r="L27" s="28">
        <f t="shared" si="26"/>
        <v>158.60999999999999</v>
      </c>
      <c r="M27" s="29">
        <f t="shared" si="26"/>
        <v>422.96</v>
      </c>
      <c r="N27" s="26"/>
      <c r="O27" s="26"/>
      <c r="P27" s="33"/>
    </row>
    <row r="28" spans="1:16" x14ac:dyDescent="0.35">
      <c r="C28" s="17" t="str">
        <f>'To be deleted'!AO5</f>
        <v>Leather Goods</v>
      </c>
      <c r="D28" s="9" t="s">
        <v>1375</v>
      </c>
      <c r="E28" s="10">
        <v>1</v>
      </c>
      <c r="F28" s="11">
        <v>4</v>
      </c>
      <c r="G28" s="12">
        <v>9</v>
      </c>
      <c r="H28" s="13">
        <v>63</v>
      </c>
      <c r="I28" s="14">
        <v>192</v>
      </c>
      <c r="J28" s="15">
        <v>472</v>
      </c>
      <c r="K28" s="10">
        <f>48.3*E28</f>
        <v>48.3</v>
      </c>
      <c r="L28" s="11">
        <f t="shared" ref="L28:M30" si="28">48.3*F28</f>
        <v>193.2</v>
      </c>
      <c r="M28" s="12">
        <f t="shared" si="28"/>
        <v>434.7</v>
      </c>
      <c r="N28" s="9"/>
      <c r="O28" s="9"/>
      <c r="P28" s="16"/>
    </row>
    <row r="29" spans="1:16" x14ac:dyDescent="0.35">
      <c r="D29" t="s">
        <v>1377</v>
      </c>
      <c r="E29" s="18">
        <v>1</v>
      </c>
      <c r="F29" s="19">
        <v>5</v>
      </c>
      <c r="G29" s="20">
        <v>11</v>
      </c>
      <c r="H29" s="21">
        <v>75</v>
      </c>
      <c r="I29" s="22">
        <v>245</v>
      </c>
      <c r="J29" s="23">
        <v>601</v>
      </c>
      <c r="K29" s="18">
        <f t="shared" ref="K29:K30" si="29">48.3*E29</f>
        <v>48.3</v>
      </c>
      <c r="L29" s="19">
        <f t="shared" si="28"/>
        <v>241.5</v>
      </c>
      <c r="M29" s="20">
        <f t="shared" si="28"/>
        <v>531.29999999999995</v>
      </c>
      <c r="P29" s="24"/>
    </row>
    <row r="30" spans="1:16" x14ac:dyDescent="0.35">
      <c r="D30" s="26" t="s">
        <v>1378</v>
      </c>
      <c r="E30" s="27">
        <v>2</v>
      </c>
      <c r="F30" s="28">
        <v>6</v>
      </c>
      <c r="G30" s="29">
        <v>14</v>
      </c>
      <c r="H30" s="30">
        <v>89</v>
      </c>
      <c r="I30" s="31">
        <v>300</v>
      </c>
      <c r="J30" s="32">
        <v>738</v>
      </c>
      <c r="K30" s="27">
        <f t="shared" si="29"/>
        <v>96.6</v>
      </c>
      <c r="L30" s="28">
        <f t="shared" si="28"/>
        <v>289.79999999999995</v>
      </c>
      <c r="M30" s="29">
        <f t="shared" si="28"/>
        <v>676.19999999999993</v>
      </c>
      <c r="N30" s="26"/>
      <c r="O30" s="26"/>
      <c r="P30" s="33"/>
    </row>
    <row r="31" spans="1:16" x14ac:dyDescent="0.35">
      <c r="C31" s="17" t="str">
        <f>'To be deleted'!AP5</f>
        <v>Chemicals</v>
      </c>
      <c r="D31" s="9" t="s">
        <v>1375</v>
      </c>
      <c r="E31" s="10">
        <v>0</v>
      </c>
      <c r="F31" s="11">
        <v>2</v>
      </c>
      <c r="G31" s="12">
        <v>4</v>
      </c>
      <c r="H31" s="13">
        <v>82</v>
      </c>
      <c r="I31" s="14">
        <v>251</v>
      </c>
      <c r="J31" s="15">
        <v>677</v>
      </c>
      <c r="K31" s="10">
        <f>223.17*E31</f>
        <v>0</v>
      </c>
      <c r="L31" s="11">
        <f t="shared" ref="L31:M33" si="30">223.17*F31</f>
        <v>446.34</v>
      </c>
      <c r="M31" s="12">
        <f t="shared" si="30"/>
        <v>892.68</v>
      </c>
      <c r="N31" s="9"/>
      <c r="O31" s="9"/>
      <c r="P31" s="16"/>
    </row>
    <row r="32" spans="1:16" x14ac:dyDescent="0.35">
      <c r="D32" t="s">
        <v>1377</v>
      </c>
      <c r="E32" s="18">
        <v>1</v>
      </c>
      <c r="F32" s="19">
        <v>2</v>
      </c>
      <c r="G32" s="20">
        <v>5</v>
      </c>
      <c r="H32" s="21">
        <v>99</v>
      </c>
      <c r="I32" s="22">
        <v>320</v>
      </c>
      <c r="J32" s="23">
        <v>863</v>
      </c>
      <c r="K32" s="18">
        <f t="shared" ref="K32:K33" si="31">223.17*E32</f>
        <v>223.17</v>
      </c>
      <c r="L32" s="19">
        <f t="shared" si="30"/>
        <v>446.34</v>
      </c>
      <c r="M32" s="20">
        <f t="shared" si="30"/>
        <v>1115.8499999999999</v>
      </c>
      <c r="P32" s="24"/>
    </row>
    <row r="33" spans="1:18" x14ac:dyDescent="0.35">
      <c r="D33" s="26" t="s">
        <v>1378</v>
      </c>
      <c r="E33" s="27">
        <v>1</v>
      </c>
      <c r="F33" s="28">
        <v>2</v>
      </c>
      <c r="G33" s="29">
        <v>6</v>
      </c>
      <c r="H33" s="30">
        <v>116</v>
      </c>
      <c r="I33" s="31">
        <v>392</v>
      </c>
      <c r="J33" s="32">
        <v>1059</v>
      </c>
      <c r="K33" s="27">
        <f t="shared" si="31"/>
        <v>223.17</v>
      </c>
      <c r="L33" s="28">
        <f t="shared" si="30"/>
        <v>446.34</v>
      </c>
      <c r="M33" s="29">
        <f t="shared" si="30"/>
        <v>1339.02</v>
      </c>
      <c r="N33" s="26"/>
      <c r="O33" s="26"/>
      <c r="P33" s="33"/>
    </row>
    <row r="34" spans="1:18" x14ac:dyDescent="0.35">
      <c r="C34" s="17" t="str">
        <f>'To be deleted'!AQ5</f>
        <v>Electrical and Electronics</v>
      </c>
      <c r="D34" s="9" t="s">
        <v>1375</v>
      </c>
      <c r="E34" s="10">
        <v>1</v>
      </c>
      <c r="F34" s="11">
        <v>2</v>
      </c>
      <c r="G34" s="12">
        <v>7</v>
      </c>
      <c r="H34" s="13">
        <v>189</v>
      </c>
      <c r="I34" s="14">
        <v>696</v>
      </c>
      <c r="J34" s="15">
        <v>1852</v>
      </c>
      <c r="K34" s="10">
        <f>176.13*E34</f>
        <v>176.13</v>
      </c>
      <c r="L34" s="11">
        <f t="shared" ref="L34:M36" si="32">176.13*F34</f>
        <v>352.26</v>
      </c>
      <c r="M34" s="12">
        <f t="shared" si="32"/>
        <v>1232.9099999999999</v>
      </c>
      <c r="N34" s="9"/>
      <c r="O34" s="9"/>
      <c r="P34" s="16"/>
    </row>
    <row r="35" spans="1:18" x14ac:dyDescent="0.35">
      <c r="D35" t="s">
        <v>1377</v>
      </c>
      <c r="E35" s="18">
        <v>1</v>
      </c>
      <c r="F35" s="19">
        <v>3</v>
      </c>
      <c r="G35" s="20">
        <v>9</v>
      </c>
      <c r="H35" s="21">
        <v>228</v>
      </c>
      <c r="I35" s="22">
        <v>784</v>
      </c>
      <c r="J35" s="23">
        <v>2362</v>
      </c>
      <c r="K35" s="18">
        <f t="shared" ref="K35:K36" si="33">176.13*E35</f>
        <v>176.13</v>
      </c>
      <c r="L35" s="19">
        <f t="shared" si="32"/>
        <v>528.39</v>
      </c>
      <c r="M35" s="20">
        <f t="shared" si="32"/>
        <v>1585.17</v>
      </c>
      <c r="P35" s="24"/>
    </row>
    <row r="36" spans="1:18" x14ac:dyDescent="0.35">
      <c r="D36" s="26" t="s">
        <v>1378</v>
      </c>
      <c r="E36" s="27">
        <v>1</v>
      </c>
      <c r="F36" s="28">
        <v>4</v>
      </c>
      <c r="G36" s="29">
        <v>11</v>
      </c>
      <c r="H36" s="30">
        <v>269</v>
      </c>
      <c r="I36" s="31">
        <v>962</v>
      </c>
      <c r="J36" s="32">
        <v>2902</v>
      </c>
      <c r="K36" s="27">
        <f t="shared" si="33"/>
        <v>176.13</v>
      </c>
      <c r="L36" s="28">
        <f t="shared" si="32"/>
        <v>704.52</v>
      </c>
      <c r="M36" s="29">
        <f t="shared" si="32"/>
        <v>1937.4299999999998</v>
      </c>
      <c r="N36" s="26"/>
      <c r="O36" s="26"/>
      <c r="P36" s="33"/>
    </row>
    <row r="37" spans="1:18" x14ac:dyDescent="0.35">
      <c r="C37" s="17" t="str">
        <f>'To be deleted'!AR5</f>
        <v>Pharmaceuticals</v>
      </c>
      <c r="D37" s="9" t="s">
        <v>1375</v>
      </c>
      <c r="E37" s="10">
        <v>2</v>
      </c>
      <c r="F37" s="11">
        <v>7</v>
      </c>
      <c r="G37" s="12">
        <v>19</v>
      </c>
      <c r="H37" s="13">
        <v>317</v>
      </c>
      <c r="I37" s="14">
        <v>1005</v>
      </c>
      <c r="J37" s="15">
        <v>2774</v>
      </c>
      <c r="K37" s="10">
        <f>153.13*E37</f>
        <v>306.26</v>
      </c>
      <c r="L37" s="11">
        <f t="shared" ref="L37:M39" si="34">153.13*F37</f>
        <v>1071.9099999999999</v>
      </c>
      <c r="M37" s="12">
        <f t="shared" si="34"/>
        <v>2909.47</v>
      </c>
      <c r="N37" s="9"/>
      <c r="O37" s="9"/>
      <c r="P37" s="16"/>
    </row>
    <row r="38" spans="1:18" x14ac:dyDescent="0.35">
      <c r="D38" t="s">
        <v>1377</v>
      </c>
      <c r="E38" s="18">
        <v>3</v>
      </c>
      <c r="F38" s="19">
        <v>9</v>
      </c>
      <c r="G38" s="20">
        <v>24</v>
      </c>
      <c r="H38" s="21">
        <v>382</v>
      </c>
      <c r="I38" s="22">
        <v>1280</v>
      </c>
      <c r="J38" s="23">
        <v>3537</v>
      </c>
      <c r="K38" s="18">
        <f t="shared" ref="K38:K39" si="35">153.13*E38</f>
        <v>459.39</v>
      </c>
      <c r="L38" s="19">
        <f t="shared" si="34"/>
        <v>1378.17</v>
      </c>
      <c r="M38" s="20">
        <f t="shared" si="34"/>
        <v>3675.12</v>
      </c>
      <c r="P38" s="24"/>
    </row>
    <row r="39" spans="1:18" x14ac:dyDescent="0.35">
      <c r="D39" s="26" t="s">
        <v>1378</v>
      </c>
      <c r="E39" s="27">
        <v>3</v>
      </c>
      <c r="F39" s="28">
        <v>11</v>
      </c>
      <c r="G39" s="29">
        <v>29</v>
      </c>
      <c r="H39" s="30">
        <v>452</v>
      </c>
      <c r="I39" s="31">
        <v>1571</v>
      </c>
      <c r="J39" s="32">
        <v>4344</v>
      </c>
      <c r="K39" s="27">
        <f t="shared" si="35"/>
        <v>459.39</v>
      </c>
      <c r="L39" s="28">
        <f t="shared" si="34"/>
        <v>1684.4299999999998</v>
      </c>
      <c r="M39" s="29">
        <f t="shared" si="34"/>
        <v>4440.7699999999995</v>
      </c>
      <c r="N39" s="26"/>
      <c r="O39" s="26"/>
      <c r="P39" s="33"/>
    </row>
    <row r="40" spans="1:18" x14ac:dyDescent="0.35">
      <c r="E40" s="19"/>
      <c r="F40" s="19"/>
      <c r="G40" s="20"/>
      <c r="H40" s="22"/>
      <c r="I40" s="22"/>
      <c r="J40" s="22"/>
      <c r="K40" s="19"/>
      <c r="L40" s="19"/>
      <c r="M40" s="19"/>
    </row>
    <row r="41" spans="1:18" x14ac:dyDescent="0.35">
      <c r="A41">
        <v>4</v>
      </c>
      <c r="B41" t="str">
        <f>'To be deleted'!B6</f>
        <v>Sherpur Economic Zone</v>
      </c>
      <c r="C41" s="8" t="str">
        <f>'To be deleted'!AM6</f>
        <v>Integrated Textiles</v>
      </c>
      <c r="D41" s="9" t="s">
        <v>1375</v>
      </c>
      <c r="E41" s="10"/>
      <c r="F41" s="11"/>
      <c r="G41" s="12"/>
      <c r="H41" s="13"/>
      <c r="I41" s="14"/>
      <c r="J41" s="15"/>
      <c r="K41" s="10"/>
      <c r="L41" s="11"/>
      <c r="M41" s="12"/>
      <c r="N41" s="8"/>
      <c r="O41" s="9"/>
      <c r="P41" s="16"/>
      <c r="R41" t="s">
        <v>1379</v>
      </c>
    </row>
    <row r="42" spans="1:18" x14ac:dyDescent="0.35">
      <c r="D42" t="s">
        <v>1377</v>
      </c>
      <c r="E42" s="18">
        <f>2.47105*R42</f>
        <v>42.749164999999998</v>
      </c>
      <c r="F42" s="19"/>
      <c r="G42" s="20"/>
      <c r="H42" s="21"/>
      <c r="I42" s="22"/>
      <c r="J42" s="23"/>
      <c r="K42" s="18"/>
      <c r="L42" s="19"/>
      <c r="M42" s="20"/>
      <c r="N42" s="17"/>
      <c r="P42" s="24"/>
      <c r="R42">
        <v>17.3</v>
      </c>
    </row>
    <row r="43" spans="1:18" x14ac:dyDescent="0.35">
      <c r="C43" s="25"/>
      <c r="D43" s="26" t="s">
        <v>1378</v>
      </c>
      <c r="E43" s="27"/>
      <c r="F43" s="28"/>
      <c r="G43" s="29"/>
      <c r="H43" s="30"/>
      <c r="I43" s="31"/>
      <c r="J43" s="32"/>
      <c r="K43" s="27"/>
      <c r="L43" s="28"/>
      <c r="M43" s="29"/>
      <c r="N43" s="25"/>
      <c r="O43" s="26"/>
      <c r="P43" s="33"/>
    </row>
    <row r="44" spans="1:18" x14ac:dyDescent="0.35">
      <c r="C44" s="8" t="str">
        <f>'To be deleted'!AN6</f>
        <v>Ceramics</v>
      </c>
      <c r="D44" s="9" t="s">
        <v>1375</v>
      </c>
      <c r="E44" s="34"/>
      <c r="F44" s="35"/>
      <c r="G44" s="36"/>
      <c r="H44" s="13"/>
      <c r="I44" s="14"/>
      <c r="J44" s="15"/>
      <c r="K44" s="10"/>
      <c r="L44" s="11"/>
      <c r="M44" s="12"/>
      <c r="N44" s="8"/>
      <c r="O44" s="9"/>
      <c r="P44" s="16"/>
    </row>
    <row r="45" spans="1:18" x14ac:dyDescent="0.35">
      <c r="D45" t="s">
        <v>1377</v>
      </c>
      <c r="E45" s="18">
        <f>2.47105*R45</f>
        <v>36.695092500000001</v>
      </c>
      <c r="F45" s="38"/>
      <c r="G45" s="39"/>
      <c r="H45" s="21"/>
      <c r="I45" s="22"/>
      <c r="J45" s="23"/>
      <c r="K45" s="18"/>
      <c r="L45" s="19"/>
      <c r="M45" s="20"/>
      <c r="N45" s="17"/>
      <c r="P45" s="24"/>
      <c r="R45">
        <v>14.85</v>
      </c>
    </row>
    <row r="46" spans="1:18" x14ac:dyDescent="0.35">
      <c r="C46" s="25"/>
      <c r="D46" s="26" t="s">
        <v>1378</v>
      </c>
      <c r="E46" s="40"/>
      <c r="F46" s="41"/>
      <c r="G46" s="42"/>
      <c r="H46" s="30"/>
      <c r="I46" s="31"/>
      <c r="J46" s="32"/>
      <c r="K46" s="27"/>
      <c r="L46" s="28"/>
      <c r="M46" s="29"/>
      <c r="N46" s="25"/>
      <c r="O46" s="26"/>
      <c r="P46" s="33"/>
    </row>
    <row r="47" spans="1:18" x14ac:dyDescent="0.35">
      <c r="C47" s="8" t="str">
        <f>'To be deleted'!AO6</f>
        <v>Food processing</v>
      </c>
      <c r="D47" s="9" t="s">
        <v>1375</v>
      </c>
      <c r="E47" s="34"/>
      <c r="F47" s="35"/>
      <c r="G47" s="36"/>
      <c r="H47" s="13"/>
      <c r="I47" s="14"/>
      <c r="J47" s="15"/>
      <c r="K47" s="10"/>
      <c r="L47" s="11"/>
      <c r="M47" s="12"/>
      <c r="N47" s="8"/>
      <c r="O47" s="9"/>
      <c r="P47" s="16"/>
    </row>
    <row r="48" spans="1:18" x14ac:dyDescent="0.35">
      <c r="D48" t="s">
        <v>1377</v>
      </c>
      <c r="E48" s="18">
        <f>2.47105*R48</f>
        <v>43.9105585</v>
      </c>
      <c r="F48" s="38"/>
      <c r="G48" s="39"/>
      <c r="H48" s="21"/>
      <c r="I48" s="22"/>
      <c r="J48" s="23"/>
      <c r="K48" s="18"/>
      <c r="L48" s="19"/>
      <c r="M48" s="20"/>
      <c r="N48" s="17"/>
      <c r="P48" s="24"/>
      <c r="R48">
        <v>17.77</v>
      </c>
    </row>
    <row r="49" spans="3:18" x14ac:dyDescent="0.35">
      <c r="C49" s="25"/>
      <c r="D49" s="26" t="s">
        <v>1378</v>
      </c>
      <c r="E49" s="40"/>
      <c r="F49" s="41"/>
      <c r="G49" s="42"/>
      <c r="H49" s="30"/>
      <c r="I49" s="31"/>
      <c r="J49" s="32"/>
      <c r="K49" s="27"/>
      <c r="L49" s="28"/>
      <c r="M49" s="29"/>
      <c r="N49" s="25"/>
      <c r="O49" s="26"/>
      <c r="P49" s="33"/>
    </row>
    <row r="50" spans="3:18" x14ac:dyDescent="0.35">
      <c r="C50" s="8" t="str">
        <f>'To be deleted'!AP6</f>
        <v>Machinery</v>
      </c>
      <c r="D50" s="9" t="s">
        <v>1375</v>
      </c>
      <c r="E50" s="10"/>
      <c r="F50" s="11"/>
      <c r="G50" s="12"/>
      <c r="H50" s="13"/>
      <c r="I50" s="14"/>
      <c r="J50" s="15"/>
      <c r="K50" s="10"/>
      <c r="L50" s="11"/>
      <c r="M50" s="12"/>
      <c r="N50" s="8"/>
      <c r="O50" s="9"/>
      <c r="P50" s="16"/>
    </row>
    <row r="51" spans="3:18" x14ac:dyDescent="0.35">
      <c r="D51" t="s">
        <v>1377</v>
      </c>
      <c r="E51" s="18"/>
      <c r="F51" s="19"/>
      <c r="G51" s="20"/>
      <c r="H51" s="21"/>
      <c r="I51" s="22"/>
      <c r="J51" s="23"/>
      <c r="K51" s="18"/>
      <c r="L51" s="19"/>
      <c r="M51" s="20"/>
      <c r="N51" s="17"/>
      <c r="P51" s="24"/>
    </row>
    <row r="52" spans="3:18" x14ac:dyDescent="0.35">
      <c r="C52" s="25"/>
      <c r="D52" s="26" t="s">
        <v>1378</v>
      </c>
      <c r="E52" s="40"/>
      <c r="F52" s="41"/>
      <c r="G52" s="42"/>
      <c r="H52" s="30"/>
      <c r="I52" s="31"/>
      <c r="J52" s="32"/>
      <c r="K52" s="27"/>
      <c r="L52" s="28"/>
      <c r="M52" s="29"/>
      <c r="N52" s="25"/>
      <c r="O52" s="26"/>
      <c r="P52" s="33"/>
    </row>
    <row r="53" spans="3:18" x14ac:dyDescent="0.35">
      <c r="C53" s="8" t="str">
        <f>'To be deleted'!AQ6</f>
        <v>Pharmaceuticals</v>
      </c>
      <c r="D53" s="9" t="s">
        <v>1375</v>
      </c>
      <c r="E53" s="10"/>
      <c r="F53" s="11"/>
      <c r="G53" s="12"/>
      <c r="H53" s="13"/>
      <c r="I53" s="14"/>
      <c r="J53" s="15"/>
      <c r="K53" s="10"/>
      <c r="L53" s="11"/>
      <c r="M53" s="12"/>
      <c r="N53" s="8"/>
      <c r="O53" s="9"/>
      <c r="P53" s="16"/>
    </row>
    <row r="54" spans="3:18" x14ac:dyDescent="0.35">
      <c r="D54" t="s">
        <v>1377</v>
      </c>
      <c r="E54" s="18">
        <f>2.47105*R54</f>
        <v>76.553128999999998</v>
      </c>
      <c r="F54" s="19"/>
      <c r="G54" s="20"/>
      <c r="H54" s="21"/>
      <c r="I54" s="22"/>
      <c r="J54" s="23"/>
      <c r="K54" s="18"/>
      <c r="L54" s="19"/>
      <c r="M54" s="20"/>
      <c r="N54" s="17"/>
      <c r="P54" s="24"/>
      <c r="R54">
        <v>30.98</v>
      </c>
    </row>
    <row r="55" spans="3:18" x14ac:dyDescent="0.35">
      <c r="C55" s="25"/>
      <c r="D55" s="26" t="s">
        <v>1378</v>
      </c>
      <c r="E55" s="27"/>
      <c r="F55" s="28"/>
      <c r="G55" s="29"/>
      <c r="H55" s="30"/>
      <c r="I55" s="31"/>
      <c r="J55" s="32"/>
      <c r="K55" s="27"/>
      <c r="L55" s="28"/>
      <c r="M55" s="29"/>
      <c r="N55" s="25"/>
      <c r="O55" s="26"/>
      <c r="P55" s="33"/>
    </row>
    <row r="56" spans="3:18" x14ac:dyDescent="0.35">
      <c r="C56" s="8" t="str">
        <f>'To be deleted'!AR6</f>
        <v>ICT BPO</v>
      </c>
      <c r="D56" s="9" t="s">
        <v>1375</v>
      </c>
      <c r="E56" s="10"/>
      <c r="F56" s="11"/>
      <c r="G56" s="12"/>
      <c r="H56" s="13"/>
      <c r="I56" s="14"/>
      <c r="J56" s="15"/>
      <c r="K56" s="10"/>
      <c r="L56" s="11"/>
      <c r="M56" s="12"/>
      <c r="N56" s="8"/>
      <c r="O56" s="9"/>
      <c r="P56" s="16"/>
    </row>
    <row r="57" spans="3:18" x14ac:dyDescent="0.35">
      <c r="D57" t="s">
        <v>1377</v>
      </c>
      <c r="E57" s="18"/>
      <c r="F57" s="19"/>
      <c r="G57" s="20"/>
      <c r="H57" s="21"/>
      <c r="I57" s="22"/>
      <c r="J57" s="23"/>
      <c r="K57" s="18"/>
      <c r="L57" s="19"/>
      <c r="M57" s="20"/>
      <c r="N57" s="17"/>
      <c r="P57" s="24"/>
    </row>
    <row r="58" spans="3:18" x14ac:dyDescent="0.35">
      <c r="C58" s="25"/>
      <c r="D58" s="26" t="s">
        <v>1378</v>
      </c>
      <c r="E58" s="27"/>
      <c r="F58" s="28"/>
      <c r="G58" s="29"/>
      <c r="H58" s="30"/>
      <c r="I58" s="31"/>
      <c r="J58" s="32"/>
      <c r="K58" s="27"/>
      <c r="L58" s="28"/>
      <c r="M58" s="29"/>
      <c r="N58" s="25"/>
      <c r="O58" s="26"/>
      <c r="P58" s="33"/>
    </row>
    <row r="59" spans="3:18" x14ac:dyDescent="0.35">
      <c r="C59" s="8" t="str">
        <f>'To be deleted'!AS6</f>
        <v>Leather Goods</v>
      </c>
      <c r="D59" s="9" t="s">
        <v>1375</v>
      </c>
      <c r="E59" s="10"/>
      <c r="F59" s="11"/>
      <c r="G59" s="12"/>
      <c r="H59" s="13"/>
      <c r="I59" s="14"/>
      <c r="J59" s="15"/>
      <c r="K59" s="10"/>
      <c r="L59" s="11"/>
      <c r="M59" s="12"/>
      <c r="N59" s="8"/>
      <c r="O59" s="9"/>
      <c r="P59" s="16"/>
    </row>
    <row r="60" spans="3:18" x14ac:dyDescent="0.35">
      <c r="D60" t="s">
        <v>1377</v>
      </c>
      <c r="E60" s="18"/>
      <c r="F60" s="19"/>
      <c r="G60" s="20"/>
      <c r="H60" s="21"/>
      <c r="I60" s="22"/>
      <c r="J60" s="23"/>
      <c r="K60" s="18"/>
      <c r="L60" s="19"/>
      <c r="M60" s="20"/>
      <c r="N60" s="17"/>
      <c r="P60" s="24"/>
    </row>
    <row r="61" spans="3:18" x14ac:dyDescent="0.35">
      <c r="C61" s="25"/>
      <c r="D61" s="26" t="s">
        <v>1378</v>
      </c>
      <c r="E61" s="27"/>
      <c r="F61" s="28"/>
      <c r="G61" s="29"/>
      <c r="H61" s="30"/>
      <c r="I61" s="31"/>
      <c r="J61" s="32"/>
      <c r="K61" s="27"/>
      <c r="L61" s="28"/>
      <c r="M61" s="29"/>
      <c r="N61" s="25"/>
      <c r="O61" s="26"/>
      <c r="P61" s="33"/>
    </row>
    <row r="62" spans="3:18" x14ac:dyDescent="0.35">
      <c r="C62" s="8" t="str">
        <f>'To be deleted'!AT6</f>
        <v>Paint and Chemical</v>
      </c>
      <c r="D62" s="9" t="s">
        <v>1375</v>
      </c>
      <c r="E62" s="10"/>
      <c r="F62" s="11"/>
      <c r="G62" s="12"/>
      <c r="H62" s="13"/>
      <c r="I62" s="14"/>
      <c r="J62" s="15"/>
      <c r="K62" s="10"/>
      <c r="L62" s="11"/>
      <c r="M62" s="12"/>
      <c r="N62" s="8"/>
      <c r="O62" s="9"/>
      <c r="P62" s="16"/>
    </row>
    <row r="63" spans="3:18" x14ac:dyDescent="0.35">
      <c r="D63" t="s">
        <v>1377</v>
      </c>
      <c r="E63" s="18">
        <f>2.47105*R63</f>
        <v>11.762198</v>
      </c>
      <c r="F63" s="19"/>
      <c r="G63" s="20"/>
      <c r="H63" s="21"/>
      <c r="I63" s="22"/>
      <c r="J63" s="23"/>
      <c r="K63" s="18"/>
      <c r="L63" s="19"/>
      <c r="M63" s="20"/>
      <c r="N63" s="17"/>
      <c r="P63" s="24"/>
      <c r="R63">
        <v>4.76</v>
      </c>
    </row>
    <row r="64" spans="3:18" x14ac:dyDescent="0.35">
      <c r="C64" s="25"/>
      <c r="D64" s="26" t="s">
        <v>1378</v>
      </c>
      <c r="E64" s="27"/>
      <c r="F64" s="28"/>
      <c r="G64" s="29"/>
      <c r="H64" s="30"/>
      <c r="I64" s="31"/>
      <c r="J64" s="32"/>
      <c r="K64" s="27"/>
      <c r="L64" s="28"/>
      <c r="M64" s="29"/>
      <c r="N64" s="25"/>
      <c r="O64" s="26"/>
      <c r="P64" s="33"/>
    </row>
    <row r="65" spans="1:18" x14ac:dyDescent="0.35">
      <c r="E65" s="19"/>
      <c r="F65" s="19"/>
      <c r="G65" s="20"/>
      <c r="H65" s="22"/>
      <c r="I65" s="22"/>
      <c r="J65" s="22"/>
      <c r="K65" s="19"/>
      <c r="L65" s="19"/>
      <c r="M65" s="19"/>
      <c r="P65" s="24"/>
    </row>
    <row r="66" spans="1:18" x14ac:dyDescent="0.35">
      <c r="E66" s="19"/>
      <c r="F66" s="19"/>
      <c r="G66" s="20"/>
      <c r="H66" s="22"/>
      <c r="I66" s="22"/>
      <c r="J66" s="22"/>
      <c r="K66" s="19"/>
      <c r="L66" s="19"/>
      <c r="M66" s="19"/>
      <c r="P66" s="24"/>
    </row>
    <row r="67" spans="1:18" x14ac:dyDescent="0.35">
      <c r="E67" s="19"/>
      <c r="F67" s="19"/>
      <c r="G67" s="20"/>
      <c r="H67" s="22"/>
      <c r="I67" s="22"/>
      <c r="J67" s="22"/>
      <c r="K67" s="19"/>
      <c r="L67" s="19"/>
      <c r="M67" s="19"/>
      <c r="P67" s="24"/>
    </row>
    <row r="68" spans="1:18" x14ac:dyDescent="0.35">
      <c r="A68">
        <v>5</v>
      </c>
      <c r="B68" t="str">
        <f>'To be deleted'!B7</f>
        <v>Moheshkhali Economic Zone – 3, Dhalghata, Cox’s Bazar</v>
      </c>
      <c r="C68" s="8" t="str">
        <f>'To be deleted'!AM7</f>
        <v>Oil Refinery and Petrochemicals</v>
      </c>
      <c r="D68" s="9" t="s">
        <v>1375</v>
      </c>
      <c r="E68" s="10">
        <v>20</v>
      </c>
      <c r="F68" s="11">
        <v>75</v>
      </c>
      <c r="G68" s="12">
        <v>90</v>
      </c>
      <c r="H68" s="13"/>
      <c r="I68" s="14"/>
      <c r="J68" s="15"/>
      <c r="K68" s="10"/>
      <c r="L68" s="11"/>
      <c r="M68" s="12"/>
      <c r="N68" s="9"/>
      <c r="O68" s="9"/>
      <c r="P68" s="16"/>
      <c r="R68" t="s">
        <v>1376</v>
      </c>
    </row>
    <row r="69" spans="1:18" x14ac:dyDescent="0.35">
      <c r="D69" t="s">
        <v>1377</v>
      </c>
      <c r="E69" s="18">
        <v>20</v>
      </c>
      <c r="F69" s="19">
        <v>80</v>
      </c>
      <c r="G69" s="20">
        <v>95</v>
      </c>
      <c r="H69" s="21"/>
      <c r="I69" s="22"/>
      <c r="J69" s="23"/>
      <c r="K69" s="18"/>
      <c r="L69" s="19"/>
      <c r="M69" s="20"/>
      <c r="P69" s="24"/>
    </row>
    <row r="70" spans="1:18" x14ac:dyDescent="0.35">
      <c r="C70" s="25"/>
      <c r="D70" s="26" t="s">
        <v>1378</v>
      </c>
      <c r="E70" s="27">
        <v>25</v>
      </c>
      <c r="F70" s="28">
        <v>85</v>
      </c>
      <c r="G70" s="29">
        <v>100</v>
      </c>
      <c r="H70" s="30"/>
      <c r="I70" s="31"/>
      <c r="J70" s="32"/>
      <c r="K70" s="27"/>
      <c r="L70" s="28"/>
      <c r="M70" s="29"/>
      <c r="N70" s="26"/>
      <c r="O70" s="26"/>
      <c r="P70" s="33"/>
    </row>
    <row r="71" spans="1:18" x14ac:dyDescent="0.35">
      <c r="C71" s="8" t="str">
        <f>'To be deleted'!AN7</f>
        <v>Marine Fish Processing</v>
      </c>
      <c r="D71" s="9" t="s">
        <v>1375</v>
      </c>
      <c r="E71" s="34">
        <v>15</v>
      </c>
      <c r="F71" s="35">
        <v>65</v>
      </c>
      <c r="G71" s="36">
        <v>90</v>
      </c>
      <c r="H71" s="13"/>
      <c r="I71" s="14"/>
      <c r="J71" s="15"/>
      <c r="K71" s="10"/>
      <c r="L71" s="11"/>
      <c r="M71" s="12"/>
      <c r="N71" s="9"/>
      <c r="O71" s="9"/>
      <c r="P71" s="16"/>
    </row>
    <row r="72" spans="1:18" x14ac:dyDescent="0.35">
      <c r="D72" t="s">
        <v>1377</v>
      </c>
      <c r="E72" s="37">
        <v>20</v>
      </c>
      <c r="F72" s="38">
        <v>70</v>
      </c>
      <c r="G72" s="39">
        <v>95</v>
      </c>
      <c r="H72" s="21"/>
      <c r="I72" s="22"/>
      <c r="J72" s="23"/>
      <c r="K72" s="18"/>
      <c r="L72" s="19"/>
      <c r="M72" s="20"/>
      <c r="P72" s="24"/>
    </row>
    <row r="73" spans="1:18" x14ac:dyDescent="0.35">
      <c r="C73" s="25"/>
      <c r="D73" s="26" t="s">
        <v>1378</v>
      </c>
      <c r="E73" s="40">
        <v>25</v>
      </c>
      <c r="F73" s="41">
        <v>75</v>
      </c>
      <c r="G73" s="42">
        <v>100</v>
      </c>
      <c r="H73" s="30"/>
      <c r="I73" s="31"/>
      <c r="J73" s="32"/>
      <c r="K73" s="27"/>
      <c r="L73" s="28"/>
      <c r="M73" s="29"/>
      <c r="N73" s="26"/>
      <c r="O73" s="26"/>
      <c r="P73" s="33"/>
    </row>
    <row r="74" spans="1:18" x14ac:dyDescent="0.35">
      <c r="C74" s="8" t="str">
        <f>'To be deleted'!AO7</f>
        <v>Shipbuilding</v>
      </c>
      <c r="D74" s="9" t="s">
        <v>1375</v>
      </c>
      <c r="E74" s="34">
        <v>5</v>
      </c>
      <c r="F74" s="35">
        <v>65</v>
      </c>
      <c r="G74" s="36">
        <v>90</v>
      </c>
      <c r="H74" s="13"/>
      <c r="I74" s="14"/>
      <c r="J74" s="15"/>
      <c r="K74" s="10"/>
      <c r="L74" s="11"/>
      <c r="M74" s="12"/>
      <c r="N74" s="9"/>
      <c r="O74" s="9"/>
      <c r="P74" s="16"/>
    </row>
    <row r="75" spans="1:18" x14ac:dyDescent="0.35">
      <c r="D75" t="s">
        <v>1377</v>
      </c>
      <c r="E75" s="37">
        <v>10</v>
      </c>
      <c r="F75" s="38">
        <v>70</v>
      </c>
      <c r="G75" s="39">
        <v>95</v>
      </c>
      <c r="H75" s="21"/>
      <c r="I75" s="22"/>
      <c r="J75" s="23"/>
      <c r="K75" s="18"/>
      <c r="L75" s="19"/>
      <c r="M75" s="20"/>
      <c r="P75" s="24"/>
    </row>
    <row r="76" spans="1:18" x14ac:dyDescent="0.35">
      <c r="C76" s="25"/>
      <c r="D76" s="26" t="s">
        <v>1378</v>
      </c>
      <c r="E76" s="40">
        <v>15</v>
      </c>
      <c r="F76" s="41">
        <v>75</v>
      </c>
      <c r="G76" s="42">
        <v>100</v>
      </c>
      <c r="H76" s="30"/>
      <c r="I76" s="31"/>
      <c r="J76" s="32"/>
      <c r="K76" s="27"/>
      <c r="L76" s="28"/>
      <c r="M76" s="29"/>
      <c r="N76" s="26"/>
      <c r="O76" s="26"/>
      <c r="P76" s="33"/>
    </row>
    <row r="77" spans="1:18" x14ac:dyDescent="0.35">
      <c r="C77" s="8" t="str">
        <f>'To be deleted'!AP7</f>
        <v>Steel Manufacturing</v>
      </c>
      <c r="D77" s="9" t="s">
        <v>1375</v>
      </c>
      <c r="E77" s="10">
        <v>15</v>
      </c>
      <c r="F77" s="11">
        <v>90</v>
      </c>
      <c r="G77" s="12">
        <v>90</v>
      </c>
      <c r="H77" s="13"/>
      <c r="I77" s="14"/>
      <c r="J77" s="15"/>
      <c r="K77" s="10"/>
      <c r="L77" s="11"/>
      <c r="M77" s="12"/>
      <c r="N77" s="9"/>
      <c r="O77" s="9"/>
      <c r="P77" s="16"/>
    </row>
    <row r="78" spans="1:18" x14ac:dyDescent="0.35">
      <c r="D78" t="s">
        <v>1377</v>
      </c>
      <c r="E78" s="18">
        <v>20</v>
      </c>
      <c r="F78" s="19">
        <v>95</v>
      </c>
      <c r="G78" s="20">
        <v>95</v>
      </c>
      <c r="H78" s="21"/>
      <c r="I78" s="22"/>
      <c r="J78" s="23"/>
      <c r="K78" s="18"/>
      <c r="L78" s="19"/>
      <c r="M78" s="20"/>
      <c r="P78" s="24"/>
    </row>
    <row r="79" spans="1:18" x14ac:dyDescent="0.35">
      <c r="C79" s="25"/>
      <c r="D79" s="26" t="s">
        <v>1378</v>
      </c>
      <c r="E79" s="40">
        <v>25</v>
      </c>
      <c r="F79" s="41">
        <v>100</v>
      </c>
      <c r="G79" s="42">
        <v>100</v>
      </c>
      <c r="H79" s="30"/>
      <c r="I79" s="31"/>
      <c r="J79" s="32"/>
      <c r="K79" s="27"/>
      <c r="L79" s="28"/>
      <c r="M79" s="29"/>
      <c r="N79" s="26"/>
      <c r="O79" s="26"/>
      <c r="P79" s="33"/>
    </row>
    <row r="80" spans="1:18" x14ac:dyDescent="0.35">
      <c r="C80" s="8" t="str">
        <f>'To be deleted'!AQ7</f>
        <v>Steel Rerolling</v>
      </c>
      <c r="D80" s="9" t="s">
        <v>1375</v>
      </c>
      <c r="E80" s="10">
        <v>15</v>
      </c>
      <c r="F80" s="11">
        <v>70</v>
      </c>
      <c r="G80" s="12">
        <v>90</v>
      </c>
      <c r="H80" s="13"/>
      <c r="I80" s="14"/>
      <c r="J80" s="15"/>
      <c r="K80" s="10"/>
      <c r="L80" s="11"/>
      <c r="M80" s="12"/>
      <c r="N80" s="9"/>
      <c r="O80" s="9"/>
      <c r="P80" s="16"/>
    </row>
    <row r="81" spans="1:21" x14ac:dyDescent="0.35">
      <c r="D81" t="s">
        <v>1377</v>
      </c>
      <c r="E81" s="18">
        <v>20</v>
      </c>
      <c r="F81" s="19">
        <v>95</v>
      </c>
      <c r="G81" s="20">
        <v>95</v>
      </c>
      <c r="H81" s="21"/>
      <c r="I81" s="22"/>
      <c r="J81" s="23"/>
      <c r="K81" s="18"/>
      <c r="L81" s="19"/>
      <c r="M81" s="20"/>
      <c r="P81" s="24"/>
    </row>
    <row r="82" spans="1:21" x14ac:dyDescent="0.35">
      <c r="C82" s="25"/>
      <c r="D82" s="26" t="s">
        <v>1378</v>
      </c>
      <c r="E82" s="27">
        <v>25</v>
      </c>
      <c r="F82" s="28">
        <v>100</v>
      </c>
      <c r="G82" s="29">
        <v>100</v>
      </c>
      <c r="H82" s="30"/>
      <c r="I82" s="31"/>
      <c r="J82" s="32"/>
      <c r="K82" s="27"/>
      <c r="L82" s="28"/>
      <c r="M82" s="29"/>
      <c r="N82" s="26"/>
      <c r="O82" s="26"/>
      <c r="P82" s="33"/>
    </row>
    <row r="83" spans="1:21" x14ac:dyDescent="0.35">
      <c r="C83" s="8" t="str">
        <f>'To be deleted'!AR7</f>
        <v>Logistics Hub/Gas Bottling</v>
      </c>
      <c r="D83" s="9" t="s">
        <v>1375</v>
      </c>
      <c r="E83" s="10">
        <v>15</v>
      </c>
      <c r="F83" s="11">
        <v>70</v>
      </c>
      <c r="G83" s="12">
        <v>90</v>
      </c>
      <c r="H83" s="13"/>
      <c r="I83" s="14"/>
      <c r="J83" s="15"/>
      <c r="K83" s="10"/>
      <c r="L83" s="11"/>
      <c r="M83" s="12"/>
      <c r="N83" s="9"/>
      <c r="O83" s="9"/>
      <c r="P83" s="16"/>
    </row>
    <row r="84" spans="1:21" x14ac:dyDescent="0.35">
      <c r="D84" t="s">
        <v>1377</v>
      </c>
      <c r="E84" s="18">
        <v>20</v>
      </c>
      <c r="F84" s="19">
        <v>75</v>
      </c>
      <c r="G84" s="20">
        <v>95</v>
      </c>
      <c r="H84" s="21"/>
      <c r="I84" s="22"/>
      <c r="J84" s="23"/>
      <c r="K84" s="18"/>
      <c r="L84" s="19"/>
      <c r="M84" s="20"/>
      <c r="P84" s="24"/>
    </row>
    <row r="85" spans="1:21" x14ac:dyDescent="0.35">
      <c r="C85" s="25"/>
      <c r="D85" s="26" t="s">
        <v>1378</v>
      </c>
      <c r="E85" s="27">
        <v>25</v>
      </c>
      <c r="F85" s="28">
        <v>80</v>
      </c>
      <c r="G85" s="29">
        <v>100</v>
      </c>
      <c r="H85" s="30"/>
      <c r="I85" s="31"/>
      <c r="J85" s="32"/>
      <c r="K85" s="27"/>
      <c r="L85" s="28"/>
      <c r="M85" s="29"/>
      <c r="N85" s="26"/>
      <c r="O85" s="26"/>
      <c r="P85" s="33"/>
    </row>
    <row r="86" spans="1:21" x14ac:dyDescent="0.35">
      <c r="C86" s="8" t="str">
        <f>'To be deleted'!AS7</f>
        <v>Automobile and Heavy Engg.</v>
      </c>
      <c r="D86" s="9" t="s">
        <v>1375</v>
      </c>
      <c r="E86" s="10">
        <v>15</v>
      </c>
      <c r="F86" s="11">
        <v>90</v>
      </c>
      <c r="G86" s="12">
        <v>90</v>
      </c>
      <c r="H86" s="13"/>
      <c r="I86" s="14"/>
      <c r="J86" s="15"/>
      <c r="K86" s="10"/>
      <c r="L86" s="11"/>
      <c r="M86" s="12"/>
      <c r="N86" s="9"/>
      <c r="O86" s="9"/>
      <c r="P86" s="16"/>
    </row>
    <row r="87" spans="1:21" x14ac:dyDescent="0.35">
      <c r="D87" t="s">
        <v>1377</v>
      </c>
      <c r="E87" s="18">
        <v>20</v>
      </c>
      <c r="F87" s="19">
        <v>95</v>
      </c>
      <c r="G87" s="20">
        <v>95</v>
      </c>
      <c r="H87" s="21"/>
      <c r="I87" s="22"/>
      <c r="J87" s="23"/>
      <c r="K87" s="18"/>
      <c r="L87" s="19"/>
      <c r="M87" s="20"/>
      <c r="P87" s="24"/>
    </row>
    <row r="88" spans="1:21" x14ac:dyDescent="0.35">
      <c r="C88" s="25"/>
      <c r="D88" s="26" t="s">
        <v>1378</v>
      </c>
      <c r="E88" s="27">
        <v>25</v>
      </c>
      <c r="F88" s="28">
        <v>100</v>
      </c>
      <c r="G88" s="29">
        <v>100</v>
      </c>
      <c r="H88" s="30"/>
      <c r="I88" s="31"/>
      <c r="J88" s="32"/>
      <c r="K88" s="27"/>
      <c r="L88" s="28"/>
      <c r="M88" s="29"/>
      <c r="N88" s="26"/>
      <c r="O88" s="26"/>
      <c r="P88" s="33"/>
    </row>
    <row r="89" spans="1:21" x14ac:dyDescent="0.35">
      <c r="E89" s="43"/>
      <c r="F89" s="43"/>
      <c r="G89" s="43"/>
    </row>
    <row r="90" spans="1:21" x14ac:dyDescent="0.35">
      <c r="A90">
        <v>6</v>
      </c>
      <c r="B90" t="s">
        <v>114</v>
      </c>
      <c r="C90" s="8" t="str">
        <f>'To be deleted'!AM8</f>
        <v>Light Engineering</v>
      </c>
      <c r="D90" s="9" t="s">
        <v>1375</v>
      </c>
      <c r="E90" s="10">
        <f>20%*$T$91</f>
        <v>12.578000000000001</v>
      </c>
      <c r="F90" s="11">
        <f>75%*$T$91</f>
        <v>47.167500000000004</v>
      </c>
      <c r="G90" s="12">
        <f>95%*$T$91</f>
        <v>59.7455</v>
      </c>
      <c r="H90" s="13">
        <f t="shared" ref="H90:J107" si="36">E90*$U$91</f>
        <v>1886.7000000000003</v>
      </c>
      <c r="I90" s="14">
        <f t="shared" si="36"/>
        <v>7075.1250000000009</v>
      </c>
      <c r="J90" s="15">
        <f t="shared" si="36"/>
        <v>8961.8250000000007</v>
      </c>
      <c r="K90" s="10"/>
      <c r="L90" s="11"/>
      <c r="M90" s="12"/>
      <c r="N90" s="9"/>
      <c r="O90" s="9"/>
      <c r="P90" s="16"/>
      <c r="R90" t="s">
        <v>1380</v>
      </c>
      <c r="T90" t="s">
        <v>1381</v>
      </c>
      <c r="U90" t="s">
        <v>1382</v>
      </c>
    </row>
    <row r="91" spans="1:21" x14ac:dyDescent="0.35">
      <c r="D91" t="s">
        <v>1377</v>
      </c>
      <c r="E91" s="18">
        <f>22%*$T$91</f>
        <v>13.835800000000001</v>
      </c>
      <c r="F91" s="19">
        <f>95%*$T$91</f>
        <v>59.7455</v>
      </c>
      <c r="G91" s="20">
        <f>95%*$T$91</f>
        <v>59.7455</v>
      </c>
      <c r="H91" s="21">
        <f t="shared" si="36"/>
        <v>2075.37</v>
      </c>
      <c r="I91" s="22">
        <f t="shared" si="36"/>
        <v>8961.8250000000007</v>
      </c>
      <c r="J91" s="23">
        <f t="shared" si="36"/>
        <v>8961.8250000000007</v>
      </c>
      <c r="K91" s="18"/>
      <c r="L91" s="19"/>
      <c r="M91" s="20"/>
      <c r="P91" s="24"/>
      <c r="T91">
        <v>62.89</v>
      </c>
      <c r="U91">
        <v>150</v>
      </c>
    </row>
    <row r="92" spans="1:21" x14ac:dyDescent="0.35">
      <c r="C92" s="25"/>
      <c r="D92" s="26" t="s">
        <v>1378</v>
      </c>
      <c r="E92" s="27">
        <f>25%*$T$91</f>
        <v>15.7225</v>
      </c>
      <c r="F92" s="28">
        <f>95%*$T$91</f>
        <v>59.7455</v>
      </c>
      <c r="G92" s="29">
        <f>95%*$T$91</f>
        <v>59.7455</v>
      </c>
      <c r="H92" s="30">
        <f t="shared" si="36"/>
        <v>2358.375</v>
      </c>
      <c r="I92" s="31">
        <f t="shared" si="36"/>
        <v>8961.8250000000007</v>
      </c>
      <c r="J92" s="32">
        <f t="shared" si="36"/>
        <v>8961.8250000000007</v>
      </c>
      <c r="K92" s="27"/>
      <c r="L92" s="28"/>
      <c r="M92" s="29"/>
      <c r="N92" s="26"/>
      <c r="O92" s="26"/>
      <c r="P92" s="33"/>
    </row>
    <row r="93" spans="1:21" x14ac:dyDescent="0.35">
      <c r="C93" s="8" t="str">
        <f>'To be deleted'!AN8</f>
        <v>Textiles and Jute</v>
      </c>
      <c r="D93" s="9" t="s">
        <v>1375</v>
      </c>
      <c r="E93" s="34">
        <f>12%*$T$94</f>
        <v>0.50039999999999996</v>
      </c>
      <c r="F93" s="35">
        <f>50%*$T$94</f>
        <v>2.085</v>
      </c>
      <c r="G93" s="36">
        <f>20%*$T$94</f>
        <v>0.83400000000000007</v>
      </c>
      <c r="H93" s="13">
        <f t="shared" si="36"/>
        <v>75.059999999999988</v>
      </c>
      <c r="I93" s="14">
        <f t="shared" si="36"/>
        <v>312.75</v>
      </c>
      <c r="J93" s="15">
        <f t="shared" si="36"/>
        <v>125.10000000000001</v>
      </c>
      <c r="K93" s="10"/>
      <c r="L93" s="11"/>
      <c r="M93" s="12"/>
      <c r="N93" s="9"/>
      <c r="O93" s="9"/>
      <c r="P93" s="16"/>
    </row>
    <row r="94" spans="1:21" x14ac:dyDescent="0.35">
      <c r="D94" t="s">
        <v>1377</v>
      </c>
      <c r="E94" s="37">
        <f>20%*$T$94</f>
        <v>0.83400000000000007</v>
      </c>
      <c r="F94" s="38">
        <f>95%*$T$94</f>
        <v>3.9614999999999996</v>
      </c>
      <c r="G94" s="39">
        <f>95%*$T$94</f>
        <v>3.9614999999999996</v>
      </c>
      <c r="H94" s="21">
        <f t="shared" si="36"/>
        <v>125.10000000000001</v>
      </c>
      <c r="I94" s="22">
        <f t="shared" si="36"/>
        <v>594.22499999999991</v>
      </c>
      <c r="J94" s="23">
        <f t="shared" si="36"/>
        <v>594.22499999999991</v>
      </c>
      <c r="K94" s="18"/>
      <c r="L94" s="19"/>
      <c r="M94" s="20"/>
      <c r="P94" s="24"/>
      <c r="T94">
        <v>4.17</v>
      </c>
    </row>
    <row r="95" spans="1:21" x14ac:dyDescent="0.35">
      <c r="C95" s="25"/>
      <c r="D95" s="26" t="s">
        <v>1378</v>
      </c>
      <c r="E95" s="40">
        <f>20%*$T$94</f>
        <v>0.83400000000000007</v>
      </c>
      <c r="F95" s="41">
        <f>20%*$T$94</f>
        <v>0.83400000000000007</v>
      </c>
      <c r="G95" s="42">
        <f>20%*$T$94</f>
        <v>0.83400000000000007</v>
      </c>
      <c r="H95" s="30">
        <f t="shared" si="36"/>
        <v>125.10000000000001</v>
      </c>
      <c r="I95" s="31">
        <f t="shared" si="36"/>
        <v>125.10000000000001</v>
      </c>
      <c r="J95" s="32">
        <f t="shared" si="36"/>
        <v>125.10000000000001</v>
      </c>
      <c r="K95" s="27"/>
      <c r="L95" s="28"/>
      <c r="M95" s="29"/>
      <c r="N95" s="26"/>
      <c r="O95" s="26"/>
      <c r="P95" s="33"/>
    </row>
    <row r="96" spans="1:21" x14ac:dyDescent="0.35">
      <c r="C96" s="8" t="str">
        <f>'To be deleted'!AO8</f>
        <v>Pharmaceuticals</v>
      </c>
      <c r="D96" s="9" t="s">
        <v>1375</v>
      </c>
      <c r="E96" s="34">
        <f>20%*$T$97</f>
        <v>1.6579999999999999</v>
      </c>
      <c r="F96" s="35">
        <f>75%*$T$97</f>
        <v>6.2174999999999994</v>
      </c>
      <c r="G96" s="36">
        <f>95%*$T$97</f>
        <v>7.8754999999999988</v>
      </c>
      <c r="H96" s="13">
        <f t="shared" si="36"/>
        <v>248.7</v>
      </c>
      <c r="I96" s="14">
        <f t="shared" si="36"/>
        <v>932.62499999999989</v>
      </c>
      <c r="J96" s="15">
        <f t="shared" si="36"/>
        <v>1181.3249999999998</v>
      </c>
      <c r="K96" s="10"/>
      <c r="L96" s="11"/>
      <c r="M96" s="12"/>
      <c r="N96" s="9"/>
      <c r="O96" s="9"/>
      <c r="P96" s="16"/>
    </row>
    <row r="97" spans="1:20" x14ac:dyDescent="0.35">
      <c r="D97" t="s">
        <v>1377</v>
      </c>
      <c r="E97" s="37">
        <f>20%*$T$97</f>
        <v>1.6579999999999999</v>
      </c>
      <c r="F97" s="38">
        <f>95%*$T$97</f>
        <v>7.8754999999999988</v>
      </c>
      <c r="G97" s="39">
        <f>95%*$T$97</f>
        <v>7.8754999999999988</v>
      </c>
      <c r="H97" s="21">
        <f t="shared" si="36"/>
        <v>248.7</v>
      </c>
      <c r="I97" s="22">
        <f t="shared" si="36"/>
        <v>1181.3249999999998</v>
      </c>
      <c r="J97" s="23">
        <f t="shared" si="36"/>
        <v>1181.3249999999998</v>
      </c>
      <c r="K97" s="18"/>
      <c r="L97" s="19"/>
      <c r="M97" s="20"/>
      <c r="P97" s="24"/>
      <c r="T97">
        <v>8.2899999999999991</v>
      </c>
    </row>
    <row r="98" spans="1:20" x14ac:dyDescent="0.35">
      <c r="C98" s="25"/>
      <c r="D98" s="26" t="s">
        <v>1378</v>
      </c>
      <c r="E98" s="40">
        <f>20%*$T$97</f>
        <v>1.6579999999999999</v>
      </c>
      <c r="F98" s="41">
        <f>95%*$T$97</f>
        <v>7.8754999999999988</v>
      </c>
      <c r="G98" s="42">
        <f>95%*$T$97</f>
        <v>7.8754999999999988</v>
      </c>
      <c r="H98" s="30">
        <f t="shared" si="36"/>
        <v>248.7</v>
      </c>
      <c r="I98" s="31">
        <f t="shared" si="36"/>
        <v>1181.3249999999998</v>
      </c>
      <c r="J98" s="32">
        <f t="shared" si="36"/>
        <v>1181.3249999999998</v>
      </c>
      <c r="K98" s="27"/>
      <c r="L98" s="28"/>
      <c r="M98" s="29"/>
      <c r="N98" s="26"/>
      <c r="O98" s="26"/>
      <c r="P98" s="33"/>
    </row>
    <row r="99" spans="1:20" x14ac:dyDescent="0.35">
      <c r="C99" s="8" t="str">
        <f>'To be deleted'!AP8</f>
        <v>Agro based</v>
      </c>
      <c r="D99" s="9" t="s">
        <v>1375</v>
      </c>
      <c r="E99" s="10">
        <f>20%*$T$100</f>
        <v>15.8</v>
      </c>
      <c r="F99" s="11">
        <f>75%*$T$100</f>
        <v>59.25</v>
      </c>
      <c r="G99" s="12">
        <f>95%*$T$100</f>
        <v>75.05</v>
      </c>
      <c r="H99" s="13">
        <f t="shared" si="36"/>
        <v>2370</v>
      </c>
      <c r="I99" s="14">
        <f t="shared" si="36"/>
        <v>8887.5</v>
      </c>
      <c r="J99" s="15">
        <f t="shared" si="36"/>
        <v>11257.5</v>
      </c>
      <c r="K99" s="10"/>
      <c r="L99" s="11"/>
      <c r="M99" s="12"/>
      <c r="N99" s="9"/>
      <c r="O99" s="9"/>
      <c r="P99" s="16"/>
    </row>
    <row r="100" spans="1:20" x14ac:dyDescent="0.35">
      <c r="D100" t="s">
        <v>1377</v>
      </c>
      <c r="E100" s="18">
        <f>20%*$T$100</f>
        <v>15.8</v>
      </c>
      <c r="F100" s="19">
        <f>95%*$T$100</f>
        <v>75.05</v>
      </c>
      <c r="G100" s="20">
        <f>95%*$T$100</f>
        <v>75.05</v>
      </c>
      <c r="H100" s="21">
        <f t="shared" si="36"/>
        <v>2370</v>
      </c>
      <c r="I100" s="22">
        <f t="shared" si="36"/>
        <v>11257.5</v>
      </c>
      <c r="J100" s="23">
        <f t="shared" si="36"/>
        <v>11257.5</v>
      </c>
      <c r="K100" s="18"/>
      <c r="L100" s="19"/>
      <c r="M100" s="20"/>
      <c r="P100" s="24"/>
      <c r="T100">
        <v>79</v>
      </c>
    </row>
    <row r="101" spans="1:20" x14ac:dyDescent="0.35">
      <c r="C101" s="25"/>
      <c r="D101" s="26" t="s">
        <v>1378</v>
      </c>
      <c r="E101" s="40">
        <f>20%*$T$100</f>
        <v>15.8</v>
      </c>
      <c r="F101" s="41">
        <f>95%*$T$100</f>
        <v>75.05</v>
      </c>
      <c r="G101" s="42">
        <f>95%*$T$100</f>
        <v>75.05</v>
      </c>
      <c r="H101" s="30">
        <f t="shared" si="36"/>
        <v>2370</v>
      </c>
      <c r="I101" s="31">
        <f t="shared" si="36"/>
        <v>11257.5</v>
      </c>
      <c r="J101" s="32">
        <f t="shared" si="36"/>
        <v>11257.5</v>
      </c>
      <c r="K101" s="27"/>
      <c r="L101" s="28"/>
      <c r="M101" s="29"/>
      <c r="N101" s="26"/>
      <c r="O101" s="26"/>
      <c r="P101" s="33"/>
    </row>
    <row r="102" spans="1:20" x14ac:dyDescent="0.35">
      <c r="C102" s="8" t="str">
        <f>'To be deleted'!AQ8</f>
        <v>Plastics</v>
      </c>
      <c r="D102" s="9" t="s">
        <v>1375</v>
      </c>
      <c r="E102" s="10">
        <f>20%*$T$103</f>
        <v>0.28199999999999997</v>
      </c>
      <c r="F102" s="11">
        <f>75%*$T$103</f>
        <v>1.0574999999999999</v>
      </c>
      <c r="G102" s="12">
        <f>95%*$T$103</f>
        <v>1.3394999999999999</v>
      </c>
      <c r="H102" s="13">
        <f t="shared" si="36"/>
        <v>42.3</v>
      </c>
      <c r="I102" s="14">
        <f t="shared" si="36"/>
        <v>158.62499999999997</v>
      </c>
      <c r="J102" s="15">
        <f t="shared" si="36"/>
        <v>200.92499999999998</v>
      </c>
      <c r="K102" s="10"/>
      <c r="L102" s="11"/>
      <c r="M102" s="12"/>
      <c r="N102" s="9"/>
      <c r="O102" s="9"/>
      <c r="P102" s="16"/>
    </row>
    <row r="103" spans="1:20" x14ac:dyDescent="0.35">
      <c r="D103" t="s">
        <v>1377</v>
      </c>
      <c r="E103" s="18">
        <f>20%*$T$103</f>
        <v>0.28199999999999997</v>
      </c>
      <c r="F103" s="19">
        <f>95%*$T$103</f>
        <v>1.3394999999999999</v>
      </c>
      <c r="G103" s="20">
        <f>95%*$T$103</f>
        <v>1.3394999999999999</v>
      </c>
      <c r="H103" s="21">
        <f t="shared" si="36"/>
        <v>42.3</v>
      </c>
      <c r="I103" s="22">
        <f t="shared" si="36"/>
        <v>200.92499999999998</v>
      </c>
      <c r="J103" s="23">
        <f t="shared" si="36"/>
        <v>200.92499999999998</v>
      </c>
      <c r="K103" s="18"/>
      <c r="L103" s="19"/>
      <c r="M103" s="20"/>
      <c r="P103" s="24"/>
      <c r="T103">
        <v>1.41</v>
      </c>
    </row>
    <row r="104" spans="1:20" x14ac:dyDescent="0.35">
      <c r="C104" s="25"/>
      <c r="D104" s="26" t="s">
        <v>1378</v>
      </c>
      <c r="E104" s="27">
        <f>20%*$T$103</f>
        <v>0.28199999999999997</v>
      </c>
      <c r="F104" s="28">
        <f>95%*$T$103</f>
        <v>1.3394999999999999</v>
      </c>
      <c r="G104" s="29">
        <f>95%*$T$103</f>
        <v>1.3394999999999999</v>
      </c>
      <c r="H104" s="30">
        <f t="shared" si="36"/>
        <v>42.3</v>
      </c>
      <c r="I104" s="31">
        <f t="shared" si="36"/>
        <v>200.92499999999998</v>
      </c>
      <c r="J104" s="32">
        <f t="shared" si="36"/>
        <v>200.92499999999998</v>
      </c>
      <c r="K104" s="27"/>
      <c r="L104" s="28"/>
      <c r="M104" s="29"/>
      <c r="N104" s="26"/>
      <c r="O104" s="26"/>
      <c r="P104" s="33"/>
    </row>
    <row r="105" spans="1:20" x14ac:dyDescent="0.35">
      <c r="C105" s="8" t="str">
        <f>'To be deleted'!AR8</f>
        <v>Wood products and furniture</v>
      </c>
      <c r="D105" s="9" t="s">
        <v>1375</v>
      </c>
      <c r="E105" s="10">
        <f>12%*T106</f>
        <v>0.33359999999999995</v>
      </c>
      <c r="F105" s="11">
        <f>50%*T106</f>
        <v>1.39</v>
      </c>
      <c r="G105" s="12">
        <f>95%*$T$106</f>
        <v>2.6409999999999996</v>
      </c>
      <c r="H105" s="13">
        <f t="shared" si="36"/>
        <v>50.039999999999992</v>
      </c>
      <c r="I105" s="14">
        <f t="shared" si="36"/>
        <v>208.49999999999997</v>
      </c>
      <c r="J105" s="15">
        <f t="shared" si="36"/>
        <v>396.14999999999992</v>
      </c>
      <c r="K105" s="10"/>
      <c r="L105" s="11"/>
      <c r="M105" s="12"/>
      <c r="N105" s="9"/>
      <c r="O105" s="9"/>
      <c r="P105" s="16"/>
    </row>
    <row r="106" spans="1:20" x14ac:dyDescent="0.35">
      <c r="D106" t="s">
        <v>1377</v>
      </c>
      <c r="E106" s="18">
        <f>20%*$T$106</f>
        <v>0.55599999999999994</v>
      </c>
      <c r="F106" s="19">
        <f>95%*$T$106</f>
        <v>2.6409999999999996</v>
      </c>
      <c r="G106" s="20">
        <f>95%*$T$106</f>
        <v>2.6409999999999996</v>
      </c>
      <c r="H106" s="21">
        <f t="shared" si="36"/>
        <v>83.399999999999991</v>
      </c>
      <c r="I106" s="22">
        <f t="shared" si="36"/>
        <v>396.14999999999992</v>
      </c>
      <c r="J106" s="23">
        <f t="shared" si="36"/>
        <v>396.14999999999992</v>
      </c>
      <c r="K106" s="18"/>
      <c r="L106" s="19"/>
      <c r="M106" s="20"/>
      <c r="P106" s="24"/>
      <c r="T106">
        <v>2.78</v>
      </c>
    </row>
    <row r="107" spans="1:20" x14ac:dyDescent="0.35">
      <c r="C107" s="25"/>
      <c r="D107" s="26" t="s">
        <v>1378</v>
      </c>
      <c r="E107" s="27">
        <f>20%*$T$106</f>
        <v>0.55599999999999994</v>
      </c>
      <c r="F107" s="28">
        <f>95%*$T$106</f>
        <v>2.6409999999999996</v>
      </c>
      <c r="G107" s="29">
        <f>95%*$T$106</f>
        <v>2.6409999999999996</v>
      </c>
      <c r="H107" s="30">
        <f t="shared" si="36"/>
        <v>83.399999999999991</v>
      </c>
      <c r="I107" s="31">
        <f t="shared" si="36"/>
        <v>396.14999999999992</v>
      </c>
      <c r="J107" s="32">
        <f t="shared" si="36"/>
        <v>396.14999999999992</v>
      </c>
      <c r="K107" s="27"/>
      <c r="L107" s="28"/>
      <c r="M107" s="29"/>
      <c r="N107" s="26"/>
      <c r="O107" s="26"/>
      <c r="P107" s="33"/>
    </row>
    <row r="108" spans="1:20" x14ac:dyDescent="0.35">
      <c r="R108" t="s">
        <v>1383</v>
      </c>
      <c r="T108" t="s">
        <v>1384</v>
      </c>
    </row>
    <row r="109" spans="1:20" x14ac:dyDescent="0.35">
      <c r="A109">
        <v>8</v>
      </c>
      <c r="B109" t="str">
        <f>'To be deleted'!B10</f>
        <v>Mirsarai Economic Zone</v>
      </c>
      <c r="C109" s="8" t="str">
        <f>'To be deleted'!AM10</f>
        <v>RMG</v>
      </c>
      <c r="D109" s="9" t="s">
        <v>1375</v>
      </c>
      <c r="E109" s="10">
        <f>94.77%*E110</f>
        <v>332.53760007</v>
      </c>
      <c r="F109" s="11">
        <f>E109</f>
        <v>332.53760007</v>
      </c>
      <c r="G109" s="12"/>
      <c r="H109" s="13">
        <f>94.77%*H110</f>
        <v>95717.7</v>
      </c>
      <c r="I109" s="14">
        <f t="shared" ref="I109" si="37">H109</f>
        <v>95717.7</v>
      </c>
      <c r="J109" s="15"/>
      <c r="K109" s="10"/>
      <c r="L109" s="11"/>
      <c r="M109" s="12"/>
      <c r="N109" s="9"/>
      <c r="O109" s="9"/>
      <c r="P109" s="16"/>
      <c r="R109" t="s">
        <v>1385</v>
      </c>
    </row>
    <row r="110" spans="1:20" x14ac:dyDescent="0.35">
      <c r="D110" t="s">
        <v>1377</v>
      </c>
      <c r="E110" s="18">
        <f>2.47105*(S110+R110)</f>
        <v>350.88909999999998</v>
      </c>
      <c r="F110" s="19">
        <f t="shared" ref="F110:F114" si="38">E110</f>
        <v>350.88909999999998</v>
      </c>
      <c r="G110" s="20"/>
      <c r="H110" s="21">
        <f>(800*68)+(500*28)+(800*32)+(500*14)</f>
        <v>101000</v>
      </c>
      <c r="I110" s="22">
        <f>H110</f>
        <v>101000</v>
      </c>
      <c r="J110" s="23"/>
      <c r="K110" s="18"/>
      <c r="L110" s="19"/>
      <c r="M110" s="20"/>
      <c r="P110" s="24"/>
      <c r="R110">
        <f>32+14</f>
        <v>46</v>
      </c>
      <c r="S110">
        <f>68+28</f>
        <v>96</v>
      </c>
    </row>
    <row r="111" spans="1:20" x14ac:dyDescent="0.35">
      <c r="C111" s="25"/>
      <c r="D111" s="26" t="s">
        <v>1378</v>
      </c>
      <c r="E111" s="27">
        <f>102.77%*E110</f>
        <v>360.60872806999998</v>
      </c>
      <c r="F111" s="28">
        <f t="shared" si="38"/>
        <v>360.60872806999998</v>
      </c>
      <c r="G111" s="29"/>
      <c r="H111" s="30">
        <f>102.77%*H110</f>
        <v>103797.70000000001</v>
      </c>
      <c r="I111" s="31">
        <f t="shared" ref="I111:I114" si="39">H111</f>
        <v>103797.70000000001</v>
      </c>
      <c r="J111" s="32"/>
      <c r="K111" s="27"/>
      <c r="L111" s="28"/>
      <c r="M111" s="29"/>
      <c r="N111" s="26"/>
      <c r="O111" s="26"/>
      <c r="P111" s="33"/>
    </row>
    <row r="112" spans="1:20" x14ac:dyDescent="0.35">
      <c r="C112" s="8" t="str">
        <f>'To be deleted'!AN10</f>
        <v>Integrated Textiles</v>
      </c>
      <c r="D112" s="9" t="s">
        <v>1375</v>
      </c>
      <c r="E112" s="34">
        <f>94.77%*E113</f>
        <v>234.18140849999997</v>
      </c>
      <c r="F112" s="35">
        <f t="shared" si="38"/>
        <v>234.18140849999997</v>
      </c>
      <c r="G112" s="36"/>
      <c r="H112" s="13">
        <f>94.77%*H113</f>
        <v>37908</v>
      </c>
      <c r="I112" s="14">
        <f t="shared" si="39"/>
        <v>37908</v>
      </c>
      <c r="J112" s="15"/>
      <c r="K112" s="10"/>
      <c r="L112" s="11"/>
      <c r="M112" s="12"/>
      <c r="N112" s="9"/>
      <c r="O112" s="9"/>
      <c r="P112" s="16"/>
    </row>
    <row r="113" spans="3:20" x14ac:dyDescent="0.35">
      <c r="D113" t="s">
        <v>1377</v>
      </c>
      <c r="E113" s="37">
        <f>2.47105*(S113+R113)</f>
        <v>247.10499999999999</v>
      </c>
      <c r="F113" s="38">
        <f t="shared" si="38"/>
        <v>247.10499999999999</v>
      </c>
      <c r="G113" s="39"/>
      <c r="H113" s="21">
        <f>400*(S113+R113)</f>
        <v>40000</v>
      </c>
      <c r="I113" s="22">
        <f t="shared" si="39"/>
        <v>40000</v>
      </c>
      <c r="J113" s="23"/>
      <c r="K113" s="18"/>
      <c r="L113" s="19"/>
      <c r="M113" s="20"/>
      <c r="P113" s="24"/>
      <c r="R113">
        <v>32</v>
      </c>
      <c r="S113">
        <f>68</f>
        <v>68</v>
      </c>
    </row>
    <row r="114" spans="3:20" x14ac:dyDescent="0.35">
      <c r="C114" s="25"/>
      <c r="D114" s="26" t="s">
        <v>1378</v>
      </c>
      <c r="E114" s="40">
        <f>102.77%*E113</f>
        <v>253.94980850000002</v>
      </c>
      <c r="F114" s="41">
        <f t="shared" si="38"/>
        <v>253.94980850000002</v>
      </c>
      <c r="G114" s="42"/>
      <c r="H114" s="30">
        <f>102.77%*H113</f>
        <v>41108</v>
      </c>
      <c r="I114" s="31">
        <f t="shared" si="39"/>
        <v>41108</v>
      </c>
      <c r="J114" s="32"/>
      <c r="K114" s="27"/>
      <c r="L114" s="28"/>
      <c r="M114" s="29"/>
      <c r="N114" s="26"/>
      <c r="O114" s="26"/>
      <c r="P114" s="33"/>
    </row>
    <row r="115" spans="3:20" x14ac:dyDescent="0.35">
      <c r="C115" s="8" t="str">
        <f>'To be deleted'!AO10</f>
        <v>Automobile Parts and Assembly</v>
      </c>
      <c r="D115" s="9" t="s">
        <v>1375</v>
      </c>
      <c r="E115" s="34">
        <f>94.77%*E116</f>
        <v>786.84953255999994</v>
      </c>
      <c r="F115" s="35">
        <f>94.77%*F116</f>
        <v>1138.1216453100001</v>
      </c>
      <c r="G115" s="36"/>
      <c r="H115" s="13">
        <f>94.77%*H116</f>
        <v>111449.52</v>
      </c>
      <c r="I115" s="14">
        <f>94.77%*I116</f>
        <v>161203.76999999999</v>
      </c>
      <c r="J115" s="15"/>
      <c r="K115" s="10"/>
      <c r="L115" s="11"/>
      <c r="M115" s="12"/>
      <c r="N115" s="9"/>
      <c r="O115" s="9"/>
      <c r="P115" s="16"/>
    </row>
    <row r="116" spans="3:20" x14ac:dyDescent="0.35">
      <c r="D116" t="s">
        <v>1377</v>
      </c>
      <c r="E116" s="37">
        <f>2.47105*(S116+R116)</f>
        <v>830.27279999999996</v>
      </c>
      <c r="F116" s="38">
        <f>(2.47105*T116)+E116</f>
        <v>1200.9303</v>
      </c>
      <c r="G116" s="39"/>
      <c r="H116" s="21">
        <f>350*(S116+R116)</f>
        <v>117600</v>
      </c>
      <c r="I116" s="22">
        <f>(350*T116)+H116</f>
        <v>170100</v>
      </c>
      <c r="J116" s="23"/>
      <c r="K116" s="18"/>
      <c r="L116" s="19"/>
      <c r="M116" s="20"/>
      <c r="P116" s="24"/>
      <c r="R116">
        <v>60</v>
      </c>
      <c r="S116">
        <f>10+266</f>
        <v>276</v>
      </c>
      <c r="T116">
        <v>150</v>
      </c>
    </row>
    <row r="117" spans="3:20" x14ac:dyDescent="0.35">
      <c r="C117" s="25"/>
      <c r="D117" s="26" t="s">
        <v>1378</v>
      </c>
      <c r="E117" s="40">
        <f>102.77%*E116</f>
        <v>853.27135655999996</v>
      </c>
      <c r="F117" s="41">
        <f>102.77%*F116</f>
        <v>1234.19606931</v>
      </c>
      <c r="G117" s="42"/>
      <c r="H117" s="30">
        <f>102.77%*H116</f>
        <v>120857.52</v>
      </c>
      <c r="I117" s="31">
        <f>102.77%*I116</f>
        <v>174811.77000000002</v>
      </c>
      <c r="J117" s="32"/>
      <c r="K117" s="27"/>
      <c r="L117" s="28"/>
      <c r="M117" s="29"/>
      <c r="N117" s="26"/>
      <c r="O117" s="26"/>
      <c r="P117" s="33"/>
    </row>
    <row r="118" spans="3:20" x14ac:dyDescent="0.35">
      <c r="C118" s="8" t="str">
        <f>'To be deleted'!AP10</f>
        <v>Food and Beverage</v>
      </c>
      <c r="D118" s="9" t="s">
        <v>1375</v>
      </c>
      <c r="E118" s="10">
        <f>94.77%*E119</f>
        <v>131.14158876000002</v>
      </c>
      <c r="F118" s="11">
        <f>E118</f>
        <v>131.14158876000002</v>
      </c>
      <c r="G118" s="12"/>
      <c r="H118" s="13">
        <f>94.77%*H119</f>
        <v>13267.8</v>
      </c>
      <c r="I118" s="14">
        <f t="shared" ref="I118:I120" si="40">H118</f>
        <v>13267.8</v>
      </c>
      <c r="J118" s="15"/>
      <c r="K118" s="10"/>
      <c r="L118" s="11"/>
      <c r="M118" s="12"/>
      <c r="N118" s="9"/>
      <c r="O118" s="9"/>
      <c r="P118" s="16"/>
    </row>
    <row r="119" spans="3:20" x14ac:dyDescent="0.35">
      <c r="D119" t="s">
        <v>1377</v>
      </c>
      <c r="E119" s="18">
        <f>2.47105*(S119+R119)</f>
        <v>138.37880000000001</v>
      </c>
      <c r="F119" s="19">
        <f t="shared" ref="F119:F120" si="41">E119</f>
        <v>138.37880000000001</v>
      </c>
      <c r="G119" s="20"/>
      <c r="H119" s="21">
        <f>250*(S119+R119)</f>
        <v>14000</v>
      </c>
      <c r="I119" s="22">
        <f t="shared" si="40"/>
        <v>14000</v>
      </c>
      <c r="J119" s="23"/>
      <c r="K119" s="18"/>
      <c r="L119" s="19"/>
      <c r="M119" s="20"/>
      <c r="P119" s="24"/>
      <c r="R119">
        <v>16</v>
      </c>
      <c r="S119">
        <v>40</v>
      </c>
    </row>
    <row r="120" spans="3:20" x14ac:dyDescent="0.35">
      <c r="C120" s="25"/>
      <c r="D120" s="26" t="s">
        <v>1378</v>
      </c>
      <c r="E120" s="40">
        <f>102.77%*E119</f>
        <v>142.21189276000001</v>
      </c>
      <c r="F120" s="41">
        <f t="shared" si="41"/>
        <v>142.21189276000001</v>
      </c>
      <c r="G120" s="42"/>
      <c r="H120" s="30">
        <f>102.77%*H119</f>
        <v>14387.800000000001</v>
      </c>
      <c r="I120" s="31">
        <f t="shared" si="40"/>
        <v>14387.800000000001</v>
      </c>
      <c r="J120" s="32"/>
      <c r="K120" s="27"/>
      <c r="L120" s="28"/>
      <c r="M120" s="29"/>
      <c r="N120" s="26"/>
      <c r="O120" s="26"/>
      <c r="P120" s="33"/>
    </row>
    <row r="121" spans="3:20" x14ac:dyDescent="0.35">
      <c r="C121" s="8" t="str">
        <f>'To be deleted'!AQ10</f>
        <v>Paint and Chemical</v>
      </c>
      <c r="D121" s="9" t="s">
        <v>1375</v>
      </c>
      <c r="E121" s="10">
        <f>94.77%*E122</f>
        <v>117.09070424999999</v>
      </c>
      <c r="F121" s="11">
        <f>94.77%*F122</f>
        <v>131.14158875999999</v>
      </c>
      <c r="G121" s="12"/>
      <c r="H121" s="13">
        <f>94.77%*H122</f>
        <v>10712.800799999999</v>
      </c>
      <c r="I121" s="14">
        <f>94.77%*I122</f>
        <v>12418.6608</v>
      </c>
      <c r="J121" s="15"/>
      <c r="K121" s="10"/>
      <c r="L121" s="11"/>
      <c r="M121" s="12"/>
      <c r="N121" s="9"/>
      <c r="O121" s="9"/>
      <c r="P121" s="16"/>
    </row>
    <row r="122" spans="3:20" x14ac:dyDescent="0.35">
      <c r="D122" t="s">
        <v>1377</v>
      </c>
      <c r="E122" s="18">
        <f>2.47105*(S122+R122)</f>
        <v>123.55249999999999</v>
      </c>
      <c r="F122" s="19">
        <f>(2.47105*T122)+E122</f>
        <v>138.37879999999998</v>
      </c>
      <c r="G122" s="20"/>
      <c r="H122" s="21">
        <f>S122*(R122+300)</f>
        <v>11304</v>
      </c>
      <c r="I122" s="22">
        <f>(T122*300)+H122</f>
        <v>13104</v>
      </c>
      <c r="J122" s="23"/>
      <c r="K122" s="18"/>
      <c r="L122" s="19"/>
      <c r="M122" s="20"/>
      <c r="P122" s="24"/>
      <c r="R122">
        <v>14</v>
      </c>
      <c r="S122">
        <v>36</v>
      </c>
      <c r="T122">
        <v>6</v>
      </c>
    </row>
    <row r="123" spans="3:20" x14ac:dyDescent="0.35">
      <c r="C123" s="25"/>
      <c r="D123" s="26" t="s">
        <v>1378</v>
      </c>
      <c r="E123" s="27">
        <f>102.77%*E122</f>
        <v>126.97490425000001</v>
      </c>
      <c r="F123" s="28">
        <f>102.77%*F122</f>
        <v>142.21189275999998</v>
      </c>
      <c r="G123" s="29"/>
      <c r="H123" s="30">
        <f>102.77%*H122</f>
        <v>11617.120800000001</v>
      </c>
      <c r="I123" s="31">
        <f>102.77%*I122</f>
        <v>13466.980800000001</v>
      </c>
      <c r="J123" s="32"/>
      <c r="K123" s="27"/>
      <c r="L123" s="28"/>
      <c r="M123" s="29"/>
      <c r="N123" s="26"/>
      <c r="O123" s="26"/>
      <c r="P123" s="33"/>
    </row>
    <row r="124" spans="3:20" x14ac:dyDescent="0.35">
      <c r="C124" s="8" t="str">
        <f>'To be deleted'!AR10</f>
        <v>Paper and packaging</v>
      </c>
      <c r="D124" s="9" t="s">
        <v>1375</v>
      </c>
      <c r="E124" s="10"/>
      <c r="F124" s="11"/>
      <c r="G124" s="12"/>
      <c r="H124" s="13"/>
      <c r="I124" s="14"/>
      <c r="J124" s="15"/>
      <c r="K124" s="10"/>
      <c r="L124" s="11"/>
      <c r="M124" s="12"/>
      <c r="N124" s="9"/>
      <c r="O124" s="9"/>
      <c r="P124" s="16"/>
    </row>
    <row r="125" spans="3:20" x14ac:dyDescent="0.35">
      <c r="D125" t="s">
        <v>1377</v>
      </c>
      <c r="E125" s="18"/>
      <c r="F125" s="19"/>
      <c r="G125" s="20"/>
      <c r="H125" s="21"/>
      <c r="I125" s="22"/>
      <c r="J125" s="23"/>
      <c r="K125" s="18"/>
      <c r="L125" s="19"/>
      <c r="M125" s="20"/>
      <c r="P125" s="24"/>
    </row>
    <row r="126" spans="3:20" x14ac:dyDescent="0.35">
      <c r="C126" s="25"/>
      <c r="D126" s="26" t="s">
        <v>1378</v>
      </c>
      <c r="E126" s="27"/>
      <c r="F126" s="28"/>
      <c r="G126" s="29"/>
      <c r="H126" s="30"/>
      <c r="I126" s="31"/>
      <c r="J126" s="32"/>
      <c r="K126" s="27"/>
      <c r="L126" s="28"/>
      <c r="M126" s="29"/>
      <c r="N126" s="26"/>
      <c r="O126" s="26"/>
      <c r="P126" s="33"/>
    </row>
    <row r="127" spans="3:20" x14ac:dyDescent="0.35">
      <c r="C127" s="8" t="str">
        <f>'To be deleted'!AS10</f>
        <v>Plastics</v>
      </c>
      <c r="D127" s="9" t="s">
        <v>1375</v>
      </c>
      <c r="E127" s="10"/>
      <c r="F127" s="11"/>
      <c r="G127" s="12"/>
      <c r="H127" s="13"/>
      <c r="I127" s="14"/>
      <c r="J127" s="15"/>
      <c r="K127" s="10"/>
      <c r="L127" s="11"/>
      <c r="M127" s="12"/>
      <c r="N127" s="9"/>
      <c r="O127" s="9"/>
      <c r="P127" s="16"/>
    </row>
    <row r="128" spans="3:20" x14ac:dyDescent="0.35">
      <c r="D128" t="s">
        <v>1377</v>
      </c>
      <c r="E128" s="18"/>
      <c r="F128" s="19"/>
      <c r="G128" s="20"/>
      <c r="H128" s="21"/>
      <c r="I128" s="22"/>
      <c r="J128" s="23"/>
      <c r="K128" s="18"/>
      <c r="L128" s="19"/>
      <c r="M128" s="20"/>
      <c r="P128" s="24"/>
    </row>
    <row r="129" spans="1:20" x14ac:dyDescent="0.35">
      <c r="C129" s="25"/>
      <c r="D129" s="26" t="s">
        <v>1378</v>
      </c>
      <c r="E129" s="27"/>
      <c r="F129" s="28"/>
      <c r="G129" s="29"/>
      <c r="H129" s="30"/>
      <c r="I129" s="31"/>
      <c r="J129" s="32"/>
      <c r="K129" s="27"/>
      <c r="L129" s="28"/>
      <c r="M129" s="29"/>
      <c r="N129" s="26"/>
      <c r="O129" s="26"/>
      <c r="P129" s="33"/>
    </row>
    <row r="130" spans="1:20" x14ac:dyDescent="0.35">
      <c r="C130" s="8" t="str">
        <f>'To be deleted'!AT10</f>
        <v>Other parts and machinery</v>
      </c>
      <c r="D130" s="9" t="s">
        <v>1375</v>
      </c>
      <c r="E130" s="34">
        <f>94.77%*E131</f>
        <v>341.90485640999998</v>
      </c>
      <c r="F130" s="35">
        <f>94.77%*F131</f>
        <v>538.61723955000002</v>
      </c>
      <c r="G130" s="36"/>
      <c r="H130" s="13">
        <f>94.77%*H131</f>
        <v>48427.47</v>
      </c>
      <c r="I130" s="14">
        <f>94.77%*I131</f>
        <v>76289.850000000006</v>
      </c>
      <c r="J130" s="15"/>
      <c r="K130" s="10"/>
      <c r="L130" s="11"/>
      <c r="M130" s="12"/>
      <c r="N130" s="9"/>
      <c r="O130" s="9"/>
      <c r="P130" s="16"/>
    </row>
    <row r="131" spans="1:20" x14ac:dyDescent="0.35">
      <c r="D131" t="s">
        <v>1377</v>
      </c>
      <c r="E131" s="37">
        <f>2.47105*(S131+R131)</f>
        <v>360.77330000000001</v>
      </c>
      <c r="F131" s="38">
        <f>(2.47105*T131)+E131</f>
        <v>568.3415</v>
      </c>
      <c r="G131" s="39"/>
      <c r="H131" s="21">
        <f>350*(S131+R131)</f>
        <v>51100</v>
      </c>
      <c r="I131" s="22">
        <f>(350*T131)+H131</f>
        <v>80500</v>
      </c>
      <c r="J131" s="23"/>
      <c r="K131" s="18"/>
      <c r="L131" s="19"/>
      <c r="M131" s="20"/>
      <c r="P131" s="24"/>
      <c r="R131">
        <v>20</v>
      </c>
      <c r="S131">
        <v>126</v>
      </c>
      <c r="T131">
        <v>84</v>
      </c>
    </row>
    <row r="132" spans="1:20" x14ac:dyDescent="0.35">
      <c r="C132" s="25"/>
      <c r="D132" s="26" t="s">
        <v>1378</v>
      </c>
      <c r="E132" s="40">
        <f>102.77%*E131</f>
        <v>370.76672041</v>
      </c>
      <c r="F132" s="41">
        <f>102.77%*F131</f>
        <v>584.08455954999999</v>
      </c>
      <c r="G132" s="42"/>
      <c r="H132" s="30">
        <f>102.77%*H131</f>
        <v>52515.47</v>
      </c>
      <c r="I132" s="31">
        <f>102.77%*I131</f>
        <v>82729.850000000006</v>
      </c>
      <c r="J132" s="32"/>
      <c r="K132" s="27"/>
      <c r="L132" s="28"/>
      <c r="M132" s="29"/>
      <c r="N132" s="26"/>
      <c r="O132" s="26"/>
      <c r="P132" s="33"/>
    </row>
    <row r="133" spans="1:20" x14ac:dyDescent="0.35">
      <c r="R133" t="s">
        <v>1386</v>
      </c>
    </row>
    <row r="134" spans="1:20" x14ac:dyDescent="0.35">
      <c r="A134">
        <v>9</v>
      </c>
      <c r="B134" t="str">
        <f>'To be deleted'!B11</f>
        <v>Moheshkhali Special Economic Zone, Ghativanga-Sonadia</v>
      </c>
      <c r="C134" s="8" t="str">
        <f>'To be deleted'!AM11</f>
        <v>Tourism</v>
      </c>
      <c r="D134" s="9" t="s">
        <v>1375</v>
      </c>
      <c r="E134" s="34"/>
      <c r="F134" s="35"/>
      <c r="G134" s="36"/>
      <c r="H134" s="13"/>
      <c r="I134" s="14"/>
      <c r="J134" s="15"/>
      <c r="K134" s="10"/>
      <c r="L134" s="11"/>
      <c r="M134" s="12"/>
      <c r="N134" s="9"/>
      <c r="O134" s="9"/>
      <c r="P134" s="16"/>
      <c r="R134">
        <v>9</v>
      </c>
      <c r="S134">
        <v>103</v>
      </c>
      <c r="T134">
        <v>163</v>
      </c>
    </row>
    <row r="135" spans="1:20" x14ac:dyDescent="0.35">
      <c r="D135" t="s">
        <v>1377</v>
      </c>
      <c r="E135" s="37"/>
      <c r="F135" s="38"/>
      <c r="G135" s="39"/>
      <c r="H135" s="21"/>
      <c r="I135" s="22"/>
      <c r="J135" s="23"/>
      <c r="K135" s="18"/>
      <c r="L135" s="19"/>
      <c r="M135" s="20"/>
      <c r="P135" s="24"/>
      <c r="R135">
        <v>9</v>
      </c>
      <c r="S135">
        <v>153</v>
      </c>
      <c r="T135">
        <v>244</v>
      </c>
    </row>
    <row r="136" spans="1:20" x14ac:dyDescent="0.35">
      <c r="C136" s="25"/>
      <c r="D136" s="26" t="s">
        <v>1378</v>
      </c>
      <c r="E136" s="40"/>
      <c r="F136" s="41"/>
      <c r="G136" s="42"/>
      <c r="H136" s="30"/>
      <c r="I136" s="31"/>
      <c r="J136" s="32"/>
      <c r="K136" s="27"/>
      <c r="L136" s="28"/>
      <c r="M136" s="29"/>
      <c r="N136" s="26"/>
      <c r="O136" s="26"/>
      <c r="P136" s="33"/>
      <c r="R136">
        <v>9</v>
      </c>
      <c r="S136">
        <v>211</v>
      </c>
      <c r="T136">
        <v>339</v>
      </c>
    </row>
    <row r="138" spans="1:20" x14ac:dyDescent="0.35">
      <c r="A138">
        <v>10</v>
      </c>
      <c r="B138" t="str">
        <f>'To be deleted'!B12</f>
        <v>Feni Economic Zone</v>
      </c>
      <c r="C138" s="8" t="str">
        <f>'To be deleted'!AM12</f>
        <v>Textiles and RMG</v>
      </c>
      <c r="D138" s="9" t="s">
        <v>1375</v>
      </c>
      <c r="E138" s="10">
        <f>4%*R139</f>
        <v>101.24000000000001</v>
      </c>
      <c r="F138" s="35">
        <f>6%*R139</f>
        <v>151.85999999999999</v>
      </c>
      <c r="G138" s="12">
        <f>11%*R139</f>
        <v>278.41000000000003</v>
      </c>
      <c r="H138" s="13">
        <f>142*E138</f>
        <v>14376.080000000002</v>
      </c>
      <c r="I138" s="14">
        <f t="shared" ref="I138:J140" si="42">142*F138</f>
        <v>21564.12</v>
      </c>
      <c r="J138" s="15">
        <f t="shared" si="42"/>
        <v>39534.22</v>
      </c>
      <c r="K138" s="10">
        <f>34.8*E138</f>
        <v>3523.152</v>
      </c>
      <c r="L138" s="11">
        <f t="shared" ref="L138:M140" si="43">34.8*F138</f>
        <v>5284.7279999999992</v>
      </c>
      <c r="M138" s="12">
        <f t="shared" si="43"/>
        <v>9688.6679999999997</v>
      </c>
      <c r="N138" s="9"/>
      <c r="O138" s="9"/>
      <c r="P138" s="16"/>
      <c r="R138" t="s">
        <v>1387</v>
      </c>
      <c r="S138" t="s">
        <v>1388</v>
      </c>
    </row>
    <row r="139" spans="1:20" x14ac:dyDescent="0.35">
      <c r="D139" t="s">
        <v>1377</v>
      </c>
      <c r="E139" s="18">
        <f>6%*R139</f>
        <v>151.85999999999999</v>
      </c>
      <c r="F139" s="38">
        <f>11%*R139</f>
        <v>278.41000000000003</v>
      </c>
      <c r="G139" s="20">
        <f>22%*R139</f>
        <v>556.82000000000005</v>
      </c>
      <c r="H139" s="21">
        <f t="shared" ref="H139:H140" si="44">142*E139</f>
        <v>21564.12</v>
      </c>
      <c r="I139" s="22">
        <f t="shared" si="42"/>
        <v>39534.22</v>
      </c>
      <c r="J139" s="23">
        <f t="shared" si="42"/>
        <v>79068.44</v>
      </c>
      <c r="K139" s="18">
        <f t="shared" ref="K139:K140" si="45">34.8*E139</f>
        <v>5284.7279999999992</v>
      </c>
      <c r="L139" s="19">
        <f t="shared" si="43"/>
        <v>9688.6679999999997</v>
      </c>
      <c r="M139" s="20">
        <f t="shared" si="43"/>
        <v>19377.335999999999</v>
      </c>
      <c r="P139" s="24"/>
      <c r="R139">
        <v>2531</v>
      </c>
    </row>
    <row r="140" spans="1:20" x14ac:dyDescent="0.35">
      <c r="C140" s="25"/>
      <c r="D140" s="26" t="s">
        <v>1378</v>
      </c>
      <c r="E140" s="27">
        <f>10%*R139</f>
        <v>253.10000000000002</v>
      </c>
      <c r="F140" s="41">
        <f>32%*R139</f>
        <v>809.92000000000007</v>
      </c>
      <c r="G140" s="29">
        <f>50%*(R139)</f>
        <v>1265.5</v>
      </c>
      <c r="H140" s="30">
        <f t="shared" si="44"/>
        <v>35940.200000000004</v>
      </c>
      <c r="I140" s="31">
        <f t="shared" si="42"/>
        <v>115008.64000000001</v>
      </c>
      <c r="J140" s="32">
        <f t="shared" si="42"/>
        <v>179701</v>
      </c>
      <c r="K140" s="27">
        <f t="shared" si="45"/>
        <v>8807.8799999999992</v>
      </c>
      <c r="L140" s="28">
        <f t="shared" si="43"/>
        <v>28185.216</v>
      </c>
      <c r="M140" s="29">
        <f t="shared" si="43"/>
        <v>44039.399999999994</v>
      </c>
      <c r="N140" s="26"/>
      <c r="O140" s="26"/>
      <c r="P140" s="33"/>
    </row>
    <row r="141" spans="1:20" x14ac:dyDescent="0.35">
      <c r="C141" s="8" t="str">
        <f>'To be deleted'!AN12</f>
        <v>Light Machinery, Equipment and Furniture</v>
      </c>
      <c r="D141" s="9" t="s">
        <v>1375</v>
      </c>
      <c r="E141" s="34">
        <f>4%*R142</f>
        <v>8.2799999999999994</v>
      </c>
      <c r="F141" s="35">
        <f>6%*R142</f>
        <v>12.42</v>
      </c>
      <c r="G141" s="12">
        <f t="shared" ref="G141" si="46">11%*R142</f>
        <v>22.77</v>
      </c>
      <c r="H141" s="13">
        <f>186*E141</f>
        <v>1540.08</v>
      </c>
      <c r="I141" s="14">
        <f t="shared" ref="I141:J143" si="47">186*F141</f>
        <v>2310.12</v>
      </c>
      <c r="J141" s="15">
        <f t="shared" si="47"/>
        <v>4235.22</v>
      </c>
      <c r="K141" s="10">
        <f>198.86*E141</f>
        <v>1646.5608</v>
      </c>
      <c r="L141" s="11">
        <f t="shared" ref="L141:M143" si="48">198.86*F141</f>
        <v>2469.8412000000003</v>
      </c>
      <c r="M141" s="12">
        <f t="shared" si="48"/>
        <v>4528.0421999999999</v>
      </c>
      <c r="N141" s="9"/>
      <c r="O141" s="9"/>
      <c r="P141" s="16"/>
    </row>
    <row r="142" spans="1:20" x14ac:dyDescent="0.35">
      <c r="D142" t="s">
        <v>1377</v>
      </c>
      <c r="E142" s="37">
        <f>6%*R142</f>
        <v>12.42</v>
      </c>
      <c r="F142" s="38">
        <f>11%*R142</f>
        <v>22.77</v>
      </c>
      <c r="G142" s="20">
        <f t="shared" ref="G142" si="49">22%*R142</f>
        <v>45.54</v>
      </c>
      <c r="H142" s="21">
        <f t="shared" ref="H142:H143" si="50">186*E142</f>
        <v>2310.12</v>
      </c>
      <c r="I142" s="22">
        <f t="shared" si="47"/>
        <v>4235.22</v>
      </c>
      <c r="J142" s="23">
        <f t="shared" si="47"/>
        <v>8470.44</v>
      </c>
      <c r="K142" s="18">
        <f t="shared" ref="K142:K143" si="51">198.86*E142</f>
        <v>2469.8412000000003</v>
      </c>
      <c r="L142" s="19">
        <f t="shared" si="48"/>
        <v>4528.0421999999999</v>
      </c>
      <c r="M142" s="20">
        <f t="shared" si="48"/>
        <v>9056.0843999999997</v>
      </c>
      <c r="P142" s="24"/>
      <c r="R142">
        <v>207</v>
      </c>
    </row>
    <row r="143" spans="1:20" x14ac:dyDescent="0.35">
      <c r="C143" s="25"/>
      <c r="D143" s="26" t="s">
        <v>1378</v>
      </c>
      <c r="E143" s="40">
        <f>10%*R142</f>
        <v>20.700000000000003</v>
      </c>
      <c r="F143" s="41">
        <f>32%*R142</f>
        <v>66.239999999999995</v>
      </c>
      <c r="G143" s="29">
        <f t="shared" ref="G143" si="52">50%*(R142)</f>
        <v>103.5</v>
      </c>
      <c r="H143" s="30">
        <f t="shared" si="50"/>
        <v>3850.2000000000007</v>
      </c>
      <c r="I143" s="31">
        <f t="shared" si="47"/>
        <v>12320.64</v>
      </c>
      <c r="J143" s="32">
        <f t="shared" si="47"/>
        <v>19251</v>
      </c>
      <c r="K143" s="27">
        <f t="shared" si="51"/>
        <v>4116.402000000001</v>
      </c>
      <c r="L143" s="28">
        <f t="shared" si="48"/>
        <v>13172.4864</v>
      </c>
      <c r="M143" s="29">
        <f t="shared" si="48"/>
        <v>20582.010000000002</v>
      </c>
      <c r="N143" s="26"/>
      <c r="O143" s="26"/>
      <c r="P143" s="33"/>
    </row>
    <row r="144" spans="1:20" x14ac:dyDescent="0.35">
      <c r="C144" s="8" t="str">
        <f>'To be deleted'!AO12</f>
        <v>Electrical and Electronics</v>
      </c>
      <c r="D144" s="9" t="s">
        <v>1375</v>
      </c>
      <c r="E144" s="34">
        <f t="shared" ref="E144" si="53">4%*R145</f>
        <v>9.8800000000000008</v>
      </c>
      <c r="F144" s="35">
        <f t="shared" ref="F144" si="54">6%*R145</f>
        <v>14.82</v>
      </c>
      <c r="G144" s="12">
        <f t="shared" ref="G144" si="55">11%*R145</f>
        <v>27.17</v>
      </c>
      <c r="H144" s="13">
        <f>253*E144</f>
        <v>2499.6400000000003</v>
      </c>
      <c r="I144" s="14">
        <f t="shared" ref="I144:J146" si="56">253*F144</f>
        <v>3749.46</v>
      </c>
      <c r="J144" s="15">
        <f t="shared" si="56"/>
        <v>6874.01</v>
      </c>
      <c r="K144" s="10">
        <f>172.35*E144</f>
        <v>1702.818</v>
      </c>
      <c r="L144" s="11">
        <f t="shared" ref="L144:M146" si="57">172.35*F144</f>
        <v>2554.2269999999999</v>
      </c>
      <c r="M144" s="12">
        <f t="shared" si="57"/>
        <v>4682.7494999999999</v>
      </c>
      <c r="N144" s="9"/>
      <c r="O144" s="9"/>
      <c r="P144" s="16"/>
    </row>
    <row r="145" spans="3:18" x14ac:dyDescent="0.35">
      <c r="D145" t="s">
        <v>1377</v>
      </c>
      <c r="E145" s="37">
        <f t="shared" ref="E145" si="58">6%*R145</f>
        <v>14.82</v>
      </c>
      <c r="F145" s="38">
        <f t="shared" ref="F145" si="59">11%*R145</f>
        <v>27.17</v>
      </c>
      <c r="G145" s="20">
        <f t="shared" ref="G145" si="60">22%*R145</f>
        <v>54.34</v>
      </c>
      <c r="H145" s="21">
        <f t="shared" ref="H145:H146" si="61">253*E145</f>
        <v>3749.46</v>
      </c>
      <c r="I145" s="22">
        <f t="shared" si="56"/>
        <v>6874.01</v>
      </c>
      <c r="J145" s="23">
        <f t="shared" si="56"/>
        <v>13748.02</v>
      </c>
      <c r="K145" s="18">
        <f t="shared" ref="K145:K146" si="62">172.35*E145</f>
        <v>2554.2269999999999</v>
      </c>
      <c r="L145" s="19">
        <f t="shared" si="57"/>
        <v>4682.7494999999999</v>
      </c>
      <c r="M145" s="20">
        <f t="shared" si="57"/>
        <v>9365.4989999999998</v>
      </c>
      <c r="P145" s="24"/>
      <c r="R145">
        <v>247</v>
      </c>
    </row>
    <row r="146" spans="3:18" x14ac:dyDescent="0.35">
      <c r="C146" s="25"/>
      <c r="D146" s="26" t="s">
        <v>1378</v>
      </c>
      <c r="E146" s="40">
        <f t="shared" ref="E146" si="63">10%*R145</f>
        <v>24.700000000000003</v>
      </c>
      <c r="F146" s="41">
        <f t="shared" ref="F146" si="64">32%*R145</f>
        <v>79.040000000000006</v>
      </c>
      <c r="G146" s="29">
        <f t="shared" ref="G146" si="65">50%*(R145)</f>
        <v>123.5</v>
      </c>
      <c r="H146" s="30">
        <f t="shared" si="61"/>
        <v>6249.1</v>
      </c>
      <c r="I146" s="31">
        <f t="shared" si="56"/>
        <v>19997.120000000003</v>
      </c>
      <c r="J146" s="32">
        <f t="shared" si="56"/>
        <v>31245.5</v>
      </c>
      <c r="K146" s="27">
        <f t="shared" si="62"/>
        <v>4257.0450000000001</v>
      </c>
      <c r="L146" s="28">
        <f t="shared" si="57"/>
        <v>13622.544</v>
      </c>
      <c r="M146" s="29">
        <f t="shared" si="57"/>
        <v>21285.224999999999</v>
      </c>
      <c r="N146" s="26"/>
      <c r="O146" s="26"/>
      <c r="P146" s="33"/>
    </row>
    <row r="147" spans="3:18" x14ac:dyDescent="0.35">
      <c r="C147" s="8" t="str">
        <f>'To be deleted'!AP12</f>
        <v>Leather Goods</v>
      </c>
      <c r="D147" s="9" t="s">
        <v>1375</v>
      </c>
      <c r="E147" s="34">
        <f t="shared" ref="E147" si="66">4%*R148</f>
        <v>1.08</v>
      </c>
      <c r="F147" s="35">
        <f t="shared" ref="F147" si="67">6%*R148</f>
        <v>1.6199999999999999</v>
      </c>
      <c r="G147" s="12">
        <f t="shared" ref="G147" si="68">11%*R148</f>
        <v>2.97</v>
      </c>
      <c r="H147" s="13">
        <f>54*E147</f>
        <v>58.320000000000007</v>
      </c>
      <c r="I147" s="14">
        <f t="shared" ref="I147:J149" si="69">54*F147</f>
        <v>87.47999999999999</v>
      </c>
      <c r="J147" s="15">
        <f t="shared" si="69"/>
        <v>160.38000000000002</v>
      </c>
      <c r="K147" s="10">
        <f>48.06*E147</f>
        <v>51.904800000000009</v>
      </c>
      <c r="L147" s="11">
        <f t="shared" ref="L147:M149" si="70">48.06*F147</f>
        <v>77.857199999999992</v>
      </c>
      <c r="M147" s="12">
        <f t="shared" si="70"/>
        <v>142.73820000000001</v>
      </c>
      <c r="N147" s="9"/>
      <c r="O147" s="9"/>
      <c r="P147" s="16"/>
    </row>
    <row r="148" spans="3:18" x14ac:dyDescent="0.35">
      <c r="D148" t="s">
        <v>1377</v>
      </c>
      <c r="E148" s="37">
        <f t="shared" ref="E148" si="71">6%*R148</f>
        <v>1.6199999999999999</v>
      </c>
      <c r="F148" s="38">
        <f t="shared" ref="F148" si="72">11%*R148</f>
        <v>2.97</v>
      </c>
      <c r="G148" s="20">
        <f t="shared" ref="G148" si="73">22%*R148</f>
        <v>5.94</v>
      </c>
      <c r="H148" s="21">
        <f t="shared" ref="H148:H149" si="74">54*E148</f>
        <v>87.47999999999999</v>
      </c>
      <c r="I148" s="22">
        <f t="shared" si="69"/>
        <v>160.38000000000002</v>
      </c>
      <c r="J148" s="23">
        <f t="shared" si="69"/>
        <v>320.76000000000005</v>
      </c>
      <c r="K148" s="18">
        <f t="shared" ref="K148:K149" si="75">48.06*E148</f>
        <v>77.857199999999992</v>
      </c>
      <c r="L148" s="19">
        <f t="shared" si="70"/>
        <v>142.73820000000001</v>
      </c>
      <c r="M148" s="20">
        <f t="shared" si="70"/>
        <v>285.47640000000001</v>
      </c>
      <c r="P148" s="24"/>
      <c r="R148">
        <v>27</v>
      </c>
    </row>
    <row r="149" spans="3:18" x14ac:dyDescent="0.35">
      <c r="C149" s="25"/>
      <c r="D149" s="26" t="s">
        <v>1378</v>
      </c>
      <c r="E149" s="40">
        <f t="shared" ref="E149" si="76">10%*R148</f>
        <v>2.7</v>
      </c>
      <c r="F149" s="41">
        <f t="shared" ref="F149" si="77">32%*R148</f>
        <v>8.64</v>
      </c>
      <c r="G149" s="29">
        <f t="shared" ref="G149" si="78">50%*(R148)</f>
        <v>13.5</v>
      </c>
      <c r="H149" s="30">
        <f t="shared" si="74"/>
        <v>145.80000000000001</v>
      </c>
      <c r="I149" s="31">
        <f t="shared" si="69"/>
        <v>466.56000000000006</v>
      </c>
      <c r="J149" s="32">
        <f t="shared" si="69"/>
        <v>729</v>
      </c>
      <c r="K149" s="27">
        <f t="shared" si="75"/>
        <v>129.76200000000003</v>
      </c>
      <c r="L149" s="28">
        <f t="shared" si="70"/>
        <v>415.23840000000007</v>
      </c>
      <c r="M149" s="29">
        <f t="shared" si="70"/>
        <v>648.81000000000006</v>
      </c>
      <c r="N149" s="26"/>
      <c r="O149" s="26"/>
      <c r="P149" s="33"/>
    </row>
    <row r="150" spans="3:18" x14ac:dyDescent="0.35">
      <c r="C150" s="8" t="str">
        <f>'To be deleted'!AQ12</f>
        <v>Non-Metallic mineral products</v>
      </c>
      <c r="D150" s="9" t="s">
        <v>1375</v>
      </c>
      <c r="E150" s="34">
        <f t="shared" ref="E150" si="79">4%*R151</f>
        <v>33.72</v>
      </c>
      <c r="F150" s="35">
        <f t="shared" ref="F150" si="80">6%*R151</f>
        <v>50.58</v>
      </c>
      <c r="G150" s="12">
        <f t="shared" ref="G150" si="81">11%*R151</f>
        <v>92.73</v>
      </c>
      <c r="H150" s="13">
        <f>603*E150</f>
        <v>20333.16</v>
      </c>
      <c r="I150" s="14">
        <f t="shared" ref="I150:J152" si="82">603*F150</f>
        <v>30499.739999999998</v>
      </c>
      <c r="J150" s="15">
        <f t="shared" si="82"/>
        <v>55916.19</v>
      </c>
      <c r="K150" s="10">
        <f>58.82*E150</f>
        <v>1983.4104</v>
      </c>
      <c r="L150" s="11">
        <f t="shared" ref="L150:M152" si="83">58.82*F150</f>
        <v>2975.1156000000001</v>
      </c>
      <c r="M150" s="12">
        <f t="shared" si="83"/>
        <v>5454.3786</v>
      </c>
      <c r="N150" s="9"/>
      <c r="O150" s="9"/>
      <c r="P150" s="16"/>
    </row>
    <row r="151" spans="3:18" x14ac:dyDescent="0.35">
      <c r="D151" t="s">
        <v>1377</v>
      </c>
      <c r="E151" s="37">
        <f t="shared" ref="E151" si="84">6%*R151</f>
        <v>50.58</v>
      </c>
      <c r="F151" s="38">
        <f t="shared" ref="F151" si="85">11%*R151</f>
        <v>92.73</v>
      </c>
      <c r="G151" s="20">
        <f t="shared" ref="G151" si="86">22%*R151</f>
        <v>185.46</v>
      </c>
      <c r="H151" s="21">
        <f t="shared" ref="H151:H152" si="87">603*E151</f>
        <v>30499.739999999998</v>
      </c>
      <c r="I151" s="22">
        <f t="shared" si="82"/>
        <v>55916.19</v>
      </c>
      <c r="J151" s="23">
        <f t="shared" si="82"/>
        <v>111832.38</v>
      </c>
      <c r="K151" s="18">
        <f t="shared" ref="K151:K152" si="88">58.82*E151</f>
        <v>2975.1156000000001</v>
      </c>
      <c r="L151" s="19">
        <f t="shared" si="83"/>
        <v>5454.3786</v>
      </c>
      <c r="M151" s="20">
        <f t="shared" si="83"/>
        <v>10908.7572</v>
      </c>
      <c r="P151" s="24"/>
      <c r="R151">
        <v>843</v>
      </c>
    </row>
    <row r="152" spans="3:18" x14ac:dyDescent="0.35">
      <c r="C152" s="25"/>
      <c r="D152" s="26" t="s">
        <v>1378</v>
      </c>
      <c r="E152" s="40">
        <f t="shared" ref="E152" si="89">10%*R151</f>
        <v>84.300000000000011</v>
      </c>
      <c r="F152" s="41">
        <f t="shared" ref="F152" si="90">32%*R151</f>
        <v>269.76</v>
      </c>
      <c r="G152" s="29">
        <f t="shared" ref="G152" si="91">50%*(R151)</f>
        <v>421.5</v>
      </c>
      <c r="H152" s="30">
        <f t="shared" si="87"/>
        <v>50832.900000000009</v>
      </c>
      <c r="I152" s="31">
        <f t="shared" si="82"/>
        <v>162665.28</v>
      </c>
      <c r="J152" s="32">
        <f t="shared" si="82"/>
        <v>254164.5</v>
      </c>
      <c r="K152" s="27">
        <f t="shared" si="88"/>
        <v>4958.5260000000007</v>
      </c>
      <c r="L152" s="28">
        <f t="shared" si="83"/>
        <v>15867.2832</v>
      </c>
      <c r="M152" s="29">
        <f t="shared" si="83"/>
        <v>24792.63</v>
      </c>
      <c r="N152" s="26"/>
      <c r="O152" s="26"/>
      <c r="P152" s="33"/>
    </row>
    <row r="153" spans="3:18" x14ac:dyDescent="0.35">
      <c r="C153" s="8" t="str">
        <f>'To be deleted'!AR12</f>
        <v>Petroleum and petroleum products</v>
      </c>
      <c r="D153" s="9" t="s">
        <v>1375</v>
      </c>
      <c r="E153" s="34">
        <f t="shared" ref="E153" si="92">4%*R154</f>
        <v>0.52</v>
      </c>
      <c r="F153" s="35">
        <f t="shared" ref="F153" si="93">6%*R154</f>
        <v>0.78</v>
      </c>
      <c r="G153" s="12">
        <f t="shared" ref="G153" si="94">11%*R154</f>
        <v>1.43</v>
      </c>
      <c r="H153" s="13">
        <f>36*E153</f>
        <v>18.72</v>
      </c>
      <c r="I153" s="14">
        <f t="shared" ref="I153:J155" si="95">36*F153</f>
        <v>28.080000000000002</v>
      </c>
      <c r="J153" s="15">
        <f t="shared" si="95"/>
        <v>51.48</v>
      </c>
      <c r="K153" s="10">
        <f>107.42*E153</f>
        <v>55.858400000000003</v>
      </c>
      <c r="L153" s="11">
        <f t="shared" ref="L153:M155" si="96">107.42*F153</f>
        <v>83.787599999999998</v>
      </c>
      <c r="M153" s="12">
        <f t="shared" si="96"/>
        <v>153.61060000000001</v>
      </c>
      <c r="N153" s="9"/>
      <c r="O153" s="9"/>
      <c r="P153" s="16"/>
    </row>
    <row r="154" spans="3:18" x14ac:dyDescent="0.35">
      <c r="D154" t="s">
        <v>1377</v>
      </c>
      <c r="E154" s="37">
        <f t="shared" ref="E154" si="97">6%*R154</f>
        <v>0.78</v>
      </c>
      <c r="F154" s="38">
        <f t="shared" ref="F154" si="98">11%*R154</f>
        <v>1.43</v>
      </c>
      <c r="G154" s="20">
        <f t="shared" ref="G154" si="99">22%*R154</f>
        <v>2.86</v>
      </c>
      <c r="H154" s="21">
        <f t="shared" ref="H154:H155" si="100">36*E154</f>
        <v>28.080000000000002</v>
      </c>
      <c r="I154" s="22">
        <f t="shared" si="95"/>
        <v>51.48</v>
      </c>
      <c r="J154" s="23">
        <f t="shared" si="95"/>
        <v>102.96</v>
      </c>
      <c r="K154" s="18">
        <f t="shared" ref="K154:K155" si="101">107.42*E154</f>
        <v>83.787599999999998</v>
      </c>
      <c r="L154" s="19">
        <f t="shared" si="96"/>
        <v>153.61060000000001</v>
      </c>
      <c r="M154" s="20">
        <f t="shared" si="96"/>
        <v>307.22120000000001</v>
      </c>
      <c r="P154" s="24"/>
      <c r="R154">
        <v>13</v>
      </c>
    </row>
    <row r="155" spans="3:18" x14ac:dyDescent="0.35">
      <c r="C155" s="25"/>
      <c r="D155" s="26" t="s">
        <v>1378</v>
      </c>
      <c r="E155" s="40">
        <f t="shared" ref="E155" si="102">10%*R154</f>
        <v>1.3</v>
      </c>
      <c r="F155" s="41">
        <f t="shared" ref="F155" si="103">32%*R154</f>
        <v>4.16</v>
      </c>
      <c r="G155" s="29">
        <f t="shared" ref="G155" si="104">50%*(R154)</f>
        <v>6.5</v>
      </c>
      <c r="H155" s="30">
        <f t="shared" si="100"/>
        <v>46.800000000000004</v>
      </c>
      <c r="I155" s="31">
        <f t="shared" si="95"/>
        <v>149.76</v>
      </c>
      <c r="J155" s="32">
        <f t="shared" si="95"/>
        <v>234</v>
      </c>
      <c r="K155" s="27">
        <f t="shared" si="101"/>
        <v>139.64600000000002</v>
      </c>
      <c r="L155" s="28">
        <f t="shared" si="96"/>
        <v>446.86720000000003</v>
      </c>
      <c r="M155" s="29">
        <f t="shared" si="96"/>
        <v>698.23</v>
      </c>
      <c r="N155" s="26"/>
      <c r="O155" s="26"/>
      <c r="P155" s="33"/>
    </row>
    <row r="156" spans="3:18" x14ac:dyDescent="0.35">
      <c r="C156" s="8" t="str">
        <f>'To be deleted'!AS12</f>
        <v>Heavy Machinery, Iron &amp; Steel and metals</v>
      </c>
      <c r="D156" s="9" t="s">
        <v>1375</v>
      </c>
      <c r="E156" s="34">
        <f t="shared" ref="E156" si="105">4%*R157</f>
        <v>8.120000000000001</v>
      </c>
      <c r="F156" s="35">
        <f t="shared" ref="F156" si="106">6%*R157</f>
        <v>12.18</v>
      </c>
      <c r="G156" s="12">
        <f t="shared" ref="G156" si="107">11%*R157</f>
        <v>22.330000000000002</v>
      </c>
      <c r="H156" s="13">
        <f>82*E156</f>
        <v>665.84</v>
      </c>
      <c r="I156" s="14">
        <f t="shared" ref="I156:J158" si="108">82*F156</f>
        <v>998.76</v>
      </c>
      <c r="J156" s="15">
        <f t="shared" si="108"/>
        <v>1831.0600000000002</v>
      </c>
      <c r="K156" s="10">
        <f>84.52*E156</f>
        <v>686.30240000000003</v>
      </c>
      <c r="L156" s="11">
        <f t="shared" ref="L156:M158" si="109">84.52*F156</f>
        <v>1029.4535999999998</v>
      </c>
      <c r="M156" s="12">
        <f t="shared" si="109"/>
        <v>1887.3316</v>
      </c>
      <c r="N156" s="9"/>
      <c r="O156" s="9"/>
      <c r="P156" s="16"/>
    </row>
    <row r="157" spans="3:18" x14ac:dyDescent="0.35">
      <c r="D157" t="s">
        <v>1377</v>
      </c>
      <c r="E157" s="37">
        <f t="shared" ref="E157" si="110">6%*R157</f>
        <v>12.18</v>
      </c>
      <c r="F157" s="38">
        <f t="shared" ref="F157" si="111">11%*R157</f>
        <v>22.330000000000002</v>
      </c>
      <c r="G157" s="20">
        <f t="shared" ref="G157" si="112">22%*R157</f>
        <v>44.660000000000004</v>
      </c>
      <c r="H157" s="21">
        <f t="shared" ref="H157:H158" si="113">82*E157</f>
        <v>998.76</v>
      </c>
      <c r="I157" s="22">
        <f t="shared" si="108"/>
        <v>1831.0600000000002</v>
      </c>
      <c r="J157" s="23">
        <f t="shared" si="108"/>
        <v>3662.1200000000003</v>
      </c>
      <c r="K157" s="18">
        <f t="shared" ref="K157:K158" si="114">84.52*E157</f>
        <v>1029.4535999999998</v>
      </c>
      <c r="L157" s="19">
        <f t="shared" si="109"/>
        <v>1887.3316</v>
      </c>
      <c r="M157" s="20">
        <f t="shared" si="109"/>
        <v>3774.6632</v>
      </c>
      <c r="P157" s="24"/>
      <c r="R157">
        <v>203</v>
      </c>
    </row>
    <row r="158" spans="3:18" x14ac:dyDescent="0.35">
      <c r="C158" s="25"/>
      <c r="D158" s="26" t="s">
        <v>1378</v>
      </c>
      <c r="E158" s="40">
        <f t="shared" ref="E158" si="115">10%*R157</f>
        <v>20.3</v>
      </c>
      <c r="F158" s="41">
        <f t="shared" ref="F158" si="116">32%*R157</f>
        <v>64.960000000000008</v>
      </c>
      <c r="G158" s="29">
        <f t="shared" ref="G158" si="117">50%*(R157)</f>
        <v>101.5</v>
      </c>
      <c r="H158" s="30">
        <f t="shared" si="113"/>
        <v>1664.6000000000001</v>
      </c>
      <c r="I158" s="31">
        <f t="shared" si="108"/>
        <v>5326.72</v>
      </c>
      <c r="J158" s="32">
        <f t="shared" si="108"/>
        <v>8323</v>
      </c>
      <c r="K158" s="27">
        <f t="shared" si="114"/>
        <v>1715.7560000000001</v>
      </c>
      <c r="L158" s="28">
        <f t="shared" si="109"/>
        <v>5490.4192000000003</v>
      </c>
      <c r="M158" s="29">
        <f t="shared" si="109"/>
        <v>8578.7799999999988</v>
      </c>
      <c r="N158" s="26"/>
      <c r="O158" s="26"/>
      <c r="P158" s="33"/>
    </row>
    <row r="159" spans="3:18" x14ac:dyDescent="0.35">
      <c r="C159" s="8" t="str">
        <f>'To be deleted'!AT12</f>
        <v>Shipbuilding</v>
      </c>
      <c r="D159" s="9" t="s">
        <v>1375</v>
      </c>
      <c r="E159" s="34">
        <f t="shared" ref="E159" si="118">4%*R160</f>
        <v>0.04</v>
      </c>
      <c r="F159" s="35">
        <f t="shared" ref="F159" si="119">6%*R160</f>
        <v>0.06</v>
      </c>
      <c r="G159" s="12">
        <f t="shared" ref="G159" si="120">11%*R160</f>
        <v>0.11</v>
      </c>
      <c r="H159" s="13">
        <f>40*E159</f>
        <v>1.6</v>
      </c>
      <c r="I159" s="14">
        <f t="shared" ref="I159:J161" si="121">40*F159</f>
        <v>2.4</v>
      </c>
      <c r="J159" s="15">
        <f t="shared" si="121"/>
        <v>4.4000000000000004</v>
      </c>
      <c r="K159" s="10">
        <f>107.42*E159</f>
        <v>4.2968000000000002</v>
      </c>
      <c r="L159" s="11">
        <f t="shared" ref="L159:M161" si="122">107.42*F159</f>
        <v>6.4451999999999998</v>
      </c>
      <c r="M159" s="12">
        <f t="shared" si="122"/>
        <v>11.8162</v>
      </c>
      <c r="N159" s="9"/>
      <c r="O159" s="9"/>
      <c r="P159" s="16"/>
    </row>
    <row r="160" spans="3:18" x14ac:dyDescent="0.35">
      <c r="D160" t="s">
        <v>1377</v>
      </c>
      <c r="E160" s="37">
        <f t="shared" ref="E160" si="123">6%*R160</f>
        <v>0.06</v>
      </c>
      <c r="F160" s="38">
        <f t="shared" ref="F160" si="124">11%*R160</f>
        <v>0.11</v>
      </c>
      <c r="G160" s="20">
        <f t="shared" ref="G160" si="125">22%*R160</f>
        <v>0.22</v>
      </c>
      <c r="H160" s="21">
        <f t="shared" ref="H160:H161" si="126">40*E160</f>
        <v>2.4</v>
      </c>
      <c r="I160" s="22">
        <f t="shared" si="121"/>
        <v>4.4000000000000004</v>
      </c>
      <c r="J160" s="23">
        <f t="shared" si="121"/>
        <v>8.8000000000000007</v>
      </c>
      <c r="K160" s="18">
        <f t="shared" ref="K160:K161" si="127">107.42*E160</f>
        <v>6.4451999999999998</v>
      </c>
      <c r="L160" s="19">
        <f t="shared" si="122"/>
        <v>11.8162</v>
      </c>
      <c r="M160" s="20">
        <f t="shared" si="122"/>
        <v>23.632400000000001</v>
      </c>
      <c r="P160" s="24"/>
      <c r="R160">
        <v>1</v>
      </c>
    </row>
    <row r="161" spans="1:18" x14ac:dyDescent="0.35">
      <c r="C161" s="25"/>
      <c r="D161" s="26" t="s">
        <v>1378</v>
      </c>
      <c r="E161" s="40">
        <f t="shared" ref="E161" si="128">10%*R160</f>
        <v>0.1</v>
      </c>
      <c r="F161" s="41">
        <f t="shared" ref="F161" si="129">32%*R160</f>
        <v>0.32</v>
      </c>
      <c r="G161" s="29">
        <f t="shared" ref="G161" si="130">50%*(R160)</f>
        <v>0.5</v>
      </c>
      <c r="H161" s="30">
        <f t="shared" si="126"/>
        <v>4</v>
      </c>
      <c r="I161" s="31">
        <f t="shared" si="121"/>
        <v>12.8</v>
      </c>
      <c r="J161" s="32">
        <f t="shared" si="121"/>
        <v>20</v>
      </c>
      <c r="K161" s="27">
        <f t="shared" si="127"/>
        <v>10.742000000000001</v>
      </c>
      <c r="L161" s="28">
        <f t="shared" si="122"/>
        <v>34.374400000000001</v>
      </c>
      <c r="M161" s="29">
        <f t="shared" si="122"/>
        <v>53.71</v>
      </c>
      <c r="N161" s="26"/>
      <c r="O161" s="26"/>
      <c r="P161" s="33"/>
    </row>
    <row r="162" spans="1:18" x14ac:dyDescent="0.35">
      <c r="C162" s="8" t="str">
        <f>'To be deleted'!AU12</f>
        <v>Automobile Parts and Assembly</v>
      </c>
      <c r="D162" s="9" t="s">
        <v>1375</v>
      </c>
      <c r="E162" s="34">
        <f t="shared" ref="E162" si="131">4%*R163</f>
        <v>5.2</v>
      </c>
      <c r="F162" s="35">
        <f t="shared" ref="F162" si="132">6%*R163</f>
        <v>7.8</v>
      </c>
      <c r="G162" s="12">
        <f t="shared" ref="G162" si="133">11%*R163</f>
        <v>14.3</v>
      </c>
      <c r="H162" s="13">
        <f>98*E162</f>
        <v>509.6</v>
      </c>
      <c r="I162" s="14">
        <f t="shared" ref="I162:J164" si="134">98*F162</f>
        <v>764.4</v>
      </c>
      <c r="J162" s="15">
        <f t="shared" si="134"/>
        <v>1401.4</v>
      </c>
      <c r="K162" s="10">
        <f>115.18*E162</f>
        <v>598.93600000000004</v>
      </c>
      <c r="L162" s="11">
        <f t="shared" ref="L162:M164" si="135">115.18*F162</f>
        <v>898.404</v>
      </c>
      <c r="M162" s="12">
        <f t="shared" si="135"/>
        <v>1647.0740000000001</v>
      </c>
      <c r="N162" s="9"/>
      <c r="O162" s="9"/>
      <c r="P162" s="16"/>
    </row>
    <row r="163" spans="1:18" x14ac:dyDescent="0.35">
      <c r="D163" t="s">
        <v>1377</v>
      </c>
      <c r="E163" s="37">
        <f t="shared" ref="E163" si="136">6%*R163</f>
        <v>7.8</v>
      </c>
      <c r="F163" s="38">
        <f t="shared" ref="F163" si="137">11%*R163</f>
        <v>14.3</v>
      </c>
      <c r="G163" s="20">
        <f t="shared" ref="G163" si="138">22%*R163</f>
        <v>28.6</v>
      </c>
      <c r="H163" s="21">
        <f t="shared" ref="H163:H164" si="139">98*E163</f>
        <v>764.4</v>
      </c>
      <c r="I163" s="22">
        <f t="shared" si="134"/>
        <v>1401.4</v>
      </c>
      <c r="J163" s="23">
        <f t="shared" si="134"/>
        <v>2802.8</v>
      </c>
      <c r="K163" s="18">
        <f t="shared" ref="K163:K164" si="140">115.18*E163</f>
        <v>898.404</v>
      </c>
      <c r="L163" s="19">
        <f t="shared" si="135"/>
        <v>1647.0740000000001</v>
      </c>
      <c r="M163" s="20">
        <f t="shared" si="135"/>
        <v>3294.1480000000001</v>
      </c>
      <c r="P163" s="24"/>
      <c r="R163">
        <v>130</v>
      </c>
    </row>
    <row r="164" spans="1:18" x14ac:dyDescent="0.35">
      <c r="C164" s="25"/>
      <c r="D164" s="26" t="s">
        <v>1378</v>
      </c>
      <c r="E164" s="40">
        <f t="shared" ref="E164" si="141">10%*R163</f>
        <v>13</v>
      </c>
      <c r="F164" s="41">
        <f t="shared" ref="F164" si="142">32%*R163</f>
        <v>41.6</v>
      </c>
      <c r="G164" s="29">
        <f t="shared" ref="G164" si="143">50%*(R163)</f>
        <v>65</v>
      </c>
      <c r="H164" s="30">
        <f t="shared" si="139"/>
        <v>1274</v>
      </c>
      <c r="I164" s="31">
        <f t="shared" si="134"/>
        <v>4076.8</v>
      </c>
      <c r="J164" s="32">
        <f t="shared" si="134"/>
        <v>6370</v>
      </c>
      <c r="K164" s="27">
        <f t="shared" si="140"/>
        <v>1497.3400000000001</v>
      </c>
      <c r="L164" s="28">
        <f t="shared" si="135"/>
        <v>4791.4880000000003</v>
      </c>
      <c r="M164" s="29">
        <f t="shared" si="135"/>
        <v>7486.7000000000007</v>
      </c>
      <c r="N164" s="26"/>
      <c r="O164" s="26"/>
      <c r="P164" s="33"/>
    </row>
    <row r="166" spans="1:18" x14ac:dyDescent="0.35">
      <c r="A166">
        <v>11</v>
      </c>
      <c r="B166" t="str">
        <f>'To be deleted'!B13</f>
        <v>Gopalganj Economic Zone – 2</v>
      </c>
      <c r="C166" s="8" t="str">
        <f>'To be deleted'!AM40</f>
        <v>Food and Beverage</v>
      </c>
      <c r="D166" s="9" t="s">
        <v>1375</v>
      </c>
      <c r="E166" s="34">
        <v>47</v>
      </c>
      <c r="F166" s="35">
        <v>89</v>
      </c>
      <c r="G166" s="12">
        <v>99</v>
      </c>
      <c r="H166" s="13">
        <f>23*E166</f>
        <v>1081</v>
      </c>
      <c r="I166" s="14">
        <f t="shared" ref="I166:J168" si="144">23*F166</f>
        <v>2047</v>
      </c>
      <c r="J166" s="15">
        <f t="shared" si="144"/>
        <v>2277</v>
      </c>
      <c r="K166" s="34">
        <f>E166*36.76</f>
        <v>1727.7199999999998</v>
      </c>
      <c r="L166" s="35">
        <f t="shared" ref="L166:M168" si="145">F166*36.76</f>
        <v>3271.64</v>
      </c>
      <c r="M166" s="12">
        <f t="shared" si="145"/>
        <v>3639.24</v>
      </c>
      <c r="N166" s="9"/>
      <c r="O166" s="9"/>
      <c r="P166" s="16"/>
    </row>
    <row r="167" spans="1:18" x14ac:dyDescent="0.35">
      <c r="D167" t="s">
        <v>1377</v>
      </c>
      <c r="E167" s="37">
        <v>95</v>
      </c>
      <c r="F167" s="38">
        <v>101</v>
      </c>
      <c r="G167" s="20">
        <v>101</v>
      </c>
      <c r="H167" s="21">
        <f t="shared" ref="H167:H168" si="146">23*E167</f>
        <v>2185</v>
      </c>
      <c r="I167" s="22">
        <f t="shared" si="144"/>
        <v>2323</v>
      </c>
      <c r="J167" s="23">
        <f t="shared" si="144"/>
        <v>2323</v>
      </c>
      <c r="K167" s="37">
        <f t="shared" ref="K167:K168" si="147">E167*36.76</f>
        <v>3492.2</v>
      </c>
      <c r="L167" s="38">
        <f t="shared" si="145"/>
        <v>3712.7599999999998</v>
      </c>
      <c r="M167" s="20">
        <f t="shared" si="145"/>
        <v>3712.7599999999998</v>
      </c>
      <c r="P167" s="24"/>
    </row>
    <row r="168" spans="1:18" x14ac:dyDescent="0.35">
      <c r="C168" s="25"/>
      <c r="D168" s="26" t="s">
        <v>1378</v>
      </c>
      <c r="E168" s="40">
        <v>103</v>
      </c>
      <c r="F168" s="40">
        <v>103</v>
      </c>
      <c r="G168" s="40">
        <v>103</v>
      </c>
      <c r="H168" s="30">
        <f t="shared" si="146"/>
        <v>2369</v>
      </c>
      <c r="I168" s="31">
        <f t="shared" si="144"/>
        <v>2369</v>
      </c>
      <c r="J168" s="32">
        <f t="shared" si="144"/>
        <v>2369</v>
      </c>
      <c r="K168" s="40">
        <f t="shared" si="147"/>
        <v>3786.2799999999997</v>
      </c>
      <c r="L168" s="41">
        <f t="shared" si="145"/>
        <v>3786.2799999999997</v>
      </c>
      <c r="M168" s="29">
        <f t="shared" si="145"/>
        <v>3786.2799999999997</v>
      </c>
      <c r="N168" s="26"/>
      <c r="O168" s="26"/>
      <c r="P168" s="33"/>
    </row>
    <row r="169" spans="1:18" x14ac:dyDescent="0.35">
      <c r="C169" s="8" t="str">
        <f>'To be deleted'!AN40</f>
        <v>Agro based</v>
      </c>
      <c r="D169" s="9" t="s">
        <v>1375</v>
      </c>
      <c r="E169" s="34">
        <v>2</v>
      </c>
      <c r="F169" s="35">
        <v>4</v>
      </c>
      <c r="G169" s="12">
        <v>5</v>
      </c>
      <c r="H169" s="13">
        <f>119*E169</f>
        <v>238</v>
      </c>
      <c r="I169" s="14">
        <f t="shared" ref="I169:J171" si="148">119*F169</f>
        <v>476</v>
      </c>
      <c r="J169" s="15">
        <f t="shared" si="148"/>
        <v>595</v>
      </c>
      <c r="K169" s="34">
        <f>E169*51.37</f>
        <v>102.74</v>
      </c>
      <c r="L169" s="35">
        <f t="shared" ref="L169:M171" si="149">F169*51.37</f>
        <v>205.48</v>
      </c>
      <c r="M169" s="12">
        <f t="shared" si="149"/>
        <v>256.84999999999997</v>
      </c>
      <c r="N169" s="9"/>
      <c r="O169" s="9"/>
      <c r="P169" s="16"/>
    </row>
    <row r="170" spans="1:18" x14ac:dyDescent="0.35">
      <c r="D170" t="s">
        <v>1377</v>
      </c>
      <c r="E170" s="37">
        <v>5</v>
      </c>
      <c r="F170" s="38">
        <v>5</v>
      </c>
      <c r="G170" s="20">
        <v>5</v>
      </c>
      <c r="H170" s="21">
        <f t="shared" ref="H170:H171" si="150">119*E170</f>
        <v>595</v>
      </c>
      <c r="I170" s="22">
        <f t="shared" si="148"/>
        <v>595</v>
      </c>
      <c r="J170" s="23">
        <f t="shared" si="148"/>
        <v>595</v>
      </c>
      <c r="K170" s="37">
        <f t="shared" ref="K170:K171" si="151">E170*51.37</f>
        <v>256.84999999999997</v>
      </c>
      <c r="L170" s="38">
        <f t="shared" si="149"/>
        <v>256.84999999999997</v>
      </c>
      <c r="M170" s="20">
        <f t="shared" si="149"/>
        <v>256.84999999999997</v>
      </c>
      <c r="P170" s="24"/>
    </row>
    <row r="171" spans="1:18" x14ac:dyDescent="0.35">
      <c r="C171" s="25"/>
      <c r="D171" s="26" t="s">
        <v>1378</v>
      </c>
      <c r="E171" s="40">
        <v>5</v>
      </c>
      <c r="F171" s="41">
        <v>5</v>
      </c>
      <c r="G171" s="29">
        <v>5</v>
      </c>
      <c r="H171" s="30">
        <f t="shared" si="150"/>
        <v>595</v>
      </c>
      <c r="I171" s="31">
        <f t="shared" si="148"/>
        <v>595</v>
      </c>
      <c r="J171" s="32">
        <f t="shared" si="148"/>
        <v>595</v>
      </c>
      <c r="K171" s="40">
        <f t="shared" si="151"/>
        <v>256.84999999999997</v>
      </c>
      <c r="L171" s="41">
        <f t="shared" si="149"/>
        <v>256.84999999999997</v>
      </c>
      <c r="M171" s="29">
        <f t="shared" si="149"/>
        <v>256.84999999999997</v>
      </c>
      <c r="N171" s="26"/>
      <c r="O171" s="26"/>
      <c r="P171" s="33"/>
    </row>
    <row r="172" spans="1:18" x14ac:dyDescent="0.35">
      <c r="C172" s="8" t="str">
        <f>'To be deleted'!AO40</f>
        <v>Electrical and Electronics</v>
      </c>
      <c r="D172" s="9" t="s">
        <v>1375</v>
      </c>
      <c r="E172" s="34">
        <v>7</v>
      </c>
      <c r="F172" s="35">
        <v>14</v>
      </c>
      <c r="G172" s="12">
        <v>16</v>
      </c>
      <c r="H172" s="13">
        <f>253*E172</f>
        <v>1771</v>
      </c>
      <c r="I172" s="14">
        <f t="shared" ref="I172:J174" si="152">253*F172</f>
        <v>3542</v>
      </c>
      <c r="J172" s="15">
        <f t="shared" si="152"/>
        <v>4048</v>
      </c>
      <c r="K172" s="34">
        <f>E172*172.35</f>
        <v>1206.45</v>
      </c>
      <c r="L172" s="35">
        <f t="shared" ref="L172:M174" si="153">F172*172.35</f>
        <v>2412.9</v>
      </c>
      <c r="M172" s="12">
        <f t="shared" si="153"/>
        <v>2757.6</v>
      </c>
      <c r="N172" s="9"/>
      <c r="O172" s="9"/>
      <c r="P172" s="16"/>
    </row>
    <row r="173" spans="1:18" x14ac:dyDescent="0.35">
      <c r="D173" t="s">
        <v>1377</v>
      </c>
      <c r="E173" s="37">
        <v>14</v>
      </c>
      <c r="F173" s="38">
        <v>15</v>
      </c>
      <c r="G173" s="20">
        <v>15</v>
      </c>
      <c r="H173" s="21">
        <f t="shared" ref="H173:H174" si="154">253*E173</f>
        <v>3542</v>
      </c>
      <c r="I173" s="22">
        <f t="shared" si="152"/>
        <v>3795</v>
      </c>
      <c r="J173" s="23">
        <f t="shared" si="152"/>
        <v>3795</v>
      </c>
      <c r="K173" s="37">
        <f t="shared" ref="K173:K174" si="155">E173*172.35</f>
        <v>2412.9</v>
      </c>
      <c r="L173" s="38">
        <f t="shared" si="153"/>
        <v>2585.25</v>
      </c>
      <c r="M173" s="20">
        <f t="shared" si="153"/>
        <v>2585.25</v>
      </c>
      <c r="P173" s="24"/>
    </row>
    <row r="174" spans="1:18" x14ac:dyDescent="0.35">
      <c r="C174" s="25"/>
      <c r="D174" s="26" t="s">
        <v>1378</v>
      </c>
      <c r="E174" s="40">
        <v>14</v>
      </c>
      <c r="F174" s="41">
        <v>15</v>
      </c>
      <c r="G174" s="29">
        <v>15</v>
      </c>
      <c r="H174" s="30">
        <f t="shared" si="154"/>
        <v>3542</v>
      </c>
      <c r="I174" s="31">
        <f t="shared" si="152"/>
        <v>3795</v>
      </c>
      <c r="J174" s="32">
        <f t="shared" si="152"/>
        <v>3795</v>
      </c>
      <c r="K174" s="40">
        <f t="shared" si="155"/>
        <v>2412.9</v>
      </c>
      <c r="L174" s="41">
        <f t="shared" si="153"/>
        <v>2585.25</v>
      </c>
      <c r="M174" s="29">
        <f t="shared" si="153"/>
        <v>2585.25</v>
      </c>
      <c r="N174" s="26"/>
      <c r="O174" s="26"/>
      <c r="P174" s="33"/>
    </row>
    <row r="175" spans="1:18" x14ac:dyDescent="0.35">
      <c r="C175" s="8" t="str">
        <f>'To be deleted'!AP40</f>
        <v>Light Machinery, Equipment and Furniture</v>
      </c>
      <c r="D175" s="9" t="s">
        <v>1375</v>
      </c>
      <c r="E175" s="34">
        <v>4</v>
      </c>
      <c r="F175" s="35">
        <v>9</v>
      </c>
      <c r="G175" s="12">
        <v>10</v>
      </c>
      <c r="H175" s="13">
        <f>186*E175</f>
        <v>744</v>
      </c>
      <c r="I175" s="14">
        <f t="shared" ref="I175:J177" si="156">186*F175</f>
        <v>1674</v>
      </c>
      <c r="J175" s="15">
        <f t="shared" si="156"/>
        <v>1860</v>
      </c>
      <c r="K175" s="34">
        <f>E175*198.86</f>
        <v>795.44</v>
      </c>
      <c r="L175" s="35">
        <f t="shared" ref="L175:M177" si="157">F175*198.86</f>
        <v>1789.7400000000002</v>
      </c>
      <c r="M175" s="12">
        <f t="shared" si="157"/>
        <v>1988.6000000000001</v>
      </c>
      <c r="N175" s="9"/>
      <c r="O175" s="9"/>
      <c r="P175" s="16"/>
    </row>
    <row r="176" spans="1:18" x14ac:dyDescent="0.35">
      <c r="D176" t="s">
        <v>1377</v>
      </c>
      <c r="E176" s="37">
        <v>9</v>
      </c>
      <c r="F176" s="38">
        <v>9</v>
      </c>
      <c r="G176" s="20">
        <v>10</v>
      </c>
      <c r="H176" s="21">
        <f t="shared" ref="H176:H177" si="158">186*E176</f>
        <v>1674</v>
      </c>
      <c r="I176" s="22">
        <f t="shared" si="156"/>
        <v>1674</v>
      </c>
      <c r="J176" s="23">
        <f t="shared" si="156"/>
        <v>1860</v>
      </c>
      <c r="K176" s="37">
        <f t="shared" ref="K176:K177" si="159">E176*198.86</f>
        <v>1789.7400000000002</v>
      </c>
      <c r="L176" s="38">
        <f t="shared" si="157"/>
        <v>1789.7400000000002</v>
      </c>
      <c r="M176" s="20">
        <f t="shared" si="157"/>
        <v>1988.6000000000001</v>
      </c>
      <c r="P176" s="24"/>
    </row>
    <row r="177" spans="1:18" x14ac:dyDescent="0.35">
      <c r="C177" s="25"/>
      <c r="D177" s="26" t="s">
        <v>1378</v>
      </c>
      <c r="E177" s="40">
        <v>9</v>
      </c>
      <c r="F177" s="41">
        <v>9</v>
      </c>
      <c r="G177" s="29">
        <v>10</v>
      </c>
      <c r="H177" s="30">
        <f t="shared" si="158"/>
        <v>1674</v>
      </c>
      <c r="I177" s="31">
        <f t="shared" si="156"/>
        <v>1674</v>
      </c>
      <c r="J177" s="32">
        <f t="shared" si="156"/>
        <v>1860</v>
      </c>
      <c r="K177" s="40">
        <f t="shared" si="159"/>
        <v>1789.7400000000002</v>
      </c>
      <c r="L177" s="41">
        <f t="shared" si="157"/>
        <v>1789.7400000000002</v>
      </c>
      <c r="M177" s="29">
        <f t="shared" si="157"/>
        <v>1988.6000000000001</v>
      </c>
      <c r="N177" s="26"/>
      <c r="O177" s="26"/>
      <c r="P177" s="33"/>
    </row>
    <row r="179" spans="1:18" x14ac:dyDescent="0.35">
      <c r="A179">
        <v>12</v>
      </c>
      <c r="B179" t="str">
        <f>'To be deleted'!B14</f>
        <v>Shariatpur Economic Zone, Jajira</v>
      </c>
      <c r="C179" s="8" t="str">
        <f>'To be deleted'!AM14</f>
        <v>Food and Beverage</v>
      </c>
      <c r="D179" s="9" t="s">
        <v>1375</v>
      </c>
      <c r="E179" s="34">
        <v>33</v>
      </c>
      <c r="F179" s="35">
        <v>100</v>
      </c>
      <c r="G179" s="12">
        <v>178</v>
      </c>
      <c r="H179" s="13">
        <f>23*E179</f>
        <v>759</v>
      </c>
      <c r="I179" s="14">
        <f t="shared" ref="I179:J181" si="160">23*F179</f>
        <v>2300</v>
      </c>
      <c r="J179" s="15">
        <f t="shared" si="160"/>
        <v>4094</v>
      </c>
      <c r="K179" s="34">
        <f>36.76*E179</f>
        <v>1213.08</v>
      </c>
      <c r="L179" s="35">
        <f t="shared" ref="L179:M181" si="161">36.76*F179</f>
        <v>3676</v>
      </c>
      <c r="M179" s="12">
        <f t="shared" si="161"/>
        <v>6543.28</v>
      </c>
      <c r="N179" s="9"/>
      <c r="O179" s="9"/>
      <c r="P179" s="16"/>
    </row>
    <row r="180" spans="1:18" x14ac:dyDescent="0.35">
      <c r="D180" t="s">
        <v>1377</v>
      </c>
      <c r="E180" s="37">
        <v>68</v>
      </c>
      <c r="F180" s="38">
        <v>195</v>
      </c>
      <c r="G180" s="20">
        <v>195</v>
      </c>
      <c r="H180" s="21">
        <f t="shared" ref="H180:H181" si="162">23*E180</f>
        <v>1564</v>
      </c>
      <c r="I180" s="22">
        <f t="shared" si="160"/>
        <v>4485</v>
      </c>
      <c r="J180" s="23">
        <f t="shared" si="160"/>
        <v>4485</v>
      </c>
      <c r="K180" s="37">
        <f t="shared" ref="K180:K181" si="163">36.76*E180</f>
        <v>2499.6799999999998</v>
      </c>
      <c r="L180" s="38">
        <f t="shared" si="161"/>
        <v>7168.2</v>
      </c>
      <c r="M180" s="20">
        <f t="shared" si="161"/>
        <v>7168.2</v>
      </c>
      <c r="P180" s="24"/>
    </row>
    <row r="181" spans="1:18" x14ac:dyDescent="0.35">
      <c r="C181" s="25"/>
      <c r="D181" s="26" t="s">
        <v>1378</v>
      </c>
      <c r="E181" s="40">
        <v>110</v>
      </c>
      <c r="F181" s="41">
        <v>199</v>
      </c>
      <c r="G181" s="29">
        <v>199</v>
      </c>
      <c r="H181" s="30">
        <f t="shared" si="162"/>
        <v>2530</v>
      </c>
      <c r="I181" s="31">
        <f t="shared" si="160"/>
        <v>4577</v>
      </c>
      <c r="J181" s="32">
        <f t="shared" si="160"/>
        <v>4577</v>
      </c>
      <c r="K181" s="40">
        <f t="shared" si="163"/>
        <v>4043.6</v>
      </c>
      <c r="L181" s="41">
        <f t="shared" si="161"/>
        <v>7315.24</v>
      </c>
      <c r="M181" s="29">
        <f t="shared" si="161"/>
        <v>7315.24</v>
      </c>
      <c r="N181" s="26"/>
      <c r="O181" s="26"/>
      <c r="P181" s="33"/>
    </row>
    <row r="182" spans="1:18" x14ac:dyDescent="0.35">
      <c r="C182" s="8" t="str">
        <f>'To be deleted'!AN14</f>
        <v>Chemicals</v>
      </c>
      <c r="D182" s="9" t="s">
        <v>1375</v>
      </c>
      <c r="E182" s="34">
        <v>2</v>
      </c>
      <c r="F182" s="35">
        <v>5</v>
      </c>
      <c r="G182" s="12">
        <v>8</v>
      </c>
      <c r="H182" s="13">
        <f>164*E182</f>
        <v>328</v>
      </c>
      <c r="I182" s="14">
        <f t="shared" ref="I182:J184" si="164">164*F182</f>
        <v>820</v>
      </c>
      <c r="J182" s="15">
        <f t="shared" si="164"/>
        <v>1312</v>
      </c>
      <c r="K182" s="34">
        <f>217.92*E182</f>
        <v>435.84</v>
      </c>
      <c r="L182" s="35">
        <f t="shared" ref="L182:M184" si="165">217.92*F182</f>
        <v>1089.5999999999999</v>
      </c>
      <c r="M182" s="12">
        <f t="shared" si="165"/>
        <v>1743.36</v>
      </c>
      <c r="N182" s="9"/>
      <c r="O182" s="9"/>
      <c r="P182" s="16"/>
    </row>
    <row r="183" spans="1:18" x14ac:dyDescent="0.35">
      <c r="D183" t="s">
        <v>1377</v>
      </c>
      <c r="E183" s="37">
        <v>4</v>
      </c>
      <c r="F183" s="38">
        <v>9</v>
      </c>
      <c r="G183" s="20">
        <v>9</v>
      </c>
      <c r="H183" s="21">
        <f t="shared" ref="H183:H184" si="166">164*E183</f>
        <v>656</v>
      </c>
      <c r="I183" s="22">
        <f t="shared" si="164"/>
        <v>1476</v>
      </c>
      <c r="J183" s="23">
        <f t="shared" si="164"/>
        <v>1476</v>
      </c>
      <c r="K183" s="37">
        <f t="shared" ref="K183:K184" si="167">217.92*E183</f>
        <v>871.68</v>
      </c>
      <c r="L183" s="38">
        <f t="shared" si="165"/>
        <v>1961.28</v>
      </c>
      <c r="M183" s="20">
        <f t="shared" si="165"/>
        <v>1961.28</v>
      </c>
      <c r="P183" s="24"/>
    </row>
    <row r="184" spans="1:18" x14ac:dyDescent="0.35">
      <c r="C184" s="25"/>
      <c r="D184" s="26" t="s">
        <v>1378</v>
      </c>
      <c r="E184" s="40">
        <v>6</v>
      </c>
      <c r="F184" s="41">
        <v>10</v>
      </c>
      <c r="G184" s="29">
        <v>10</v>
      </c>
      <c r="H184" s="30">
        <f t="shared" si="166"/>
        <v>984</v>
      </c>
      <c r="I184" s="31">
        <f t="shared" si="164"/>
        <v>1640</v>
      </c>
      <c r="J184" s="32">
        <f t="shared" si="164"/>
        <v>1640</v>
      </c>
      <c r="K184" s="40">
        <f t="shared" si="167"/>
        <v>1307.52</v>
      </c>
      <c r="L184" s="41">
        <f t="shared" si="165"/>
        <v>2179.1999999999998</v>
      </c>
      <c r="M184" s="29">
        <f t="shared" si="165"/>
        <v>2179.1999999999998</v>
      </c>
      <c r="N184" s="26"/>
      <c r="O184" s="26"/>
      <c r="P184" s="33"/>
    </row>
    <row r="185" spans="1:18" x14ac:dyDescent="0.35">
      <c r="C185" s="8" t="str">
        <f>'To be deleted'!AO14</f>
        <v>Pharmaceuticals</v>
      </c>
      <c r="D185" s="9" t="s">
        <v>1375</v>
      </c>
      <c r="E185" s="34">
        <v>18</v>
      </c>
      <c r="F185" s="35">
        <v>64</v>
      </c>
      <c r="G185" s="12">
        <v>130</v>
      </c>
      <c r="H185" s="13">
        <f>149*E185</f>
        <v>2682</v>
      </c>
      <c r="I185" s="14">
        <f t="shared" ref="I185:J187" si="168">149*F185</f>
        <v>9536</v>
      </c>
      <c r="J185" s="15">
        <f t="shared" si="168"/>
        <v>19370</v>
      </c>
      <c r="K185" s="34">
        <f>149.15*E185</f>
        <v>2684.7000000000003</v>
      </c>
      <c r="L185" s="35">
        <f t="shared" ref="L185:M187" si="169">149.15*F185</f>
        <v>9545.6</v>
      </c>
      <c r="M185" s="12">
        <f t="shared" si="169"/>
        <v>19389.5</v>
      </c>
      <c r="N185" s="9"/>
      <c r="O185" s="9"/>
      <c r="P185" s="16"/>
    </row>
    <row r="186" spans="1:18" x14ac:dyDescent="0.35">
      <c r="D186" t="s">
        <v>1377</v>
      </c>
      <c r="E186" s="37">
        <v>37</v>
      </c>
      <c r="F186" s="38">
        <v>116</v>
      </c>
      <c r="G186" s="20">
        <v>116</v>
      </c>
      <c r="H186" s="21">
        <f t="shared" ref="H186:H187" si="170">149*E186</f>
        <v>5513</v>
      </c>
      <c r="I186" s="22">
        <f t="shared" si="168"/>
        <v>17284</v>
      </c>
      <c r="J186" s="23">
        <f t="shared" si="168"/>
        <v>17284</v>
      </c>
      <c r="K186" s="37">
        <f t="shared" ref="K186:K187" si="171">149.15*E186</f>
        <v>5518.55</v>
      </c>
      <c r="L186" s="38">
        <f t="shared" si="169"/>
        <v>17301.400000000001</v>
      </c>
      <c r="M186" s="20">
        <f t="shared" si="169"/>
        <v>17301.400000000001</v>
      </c>
      <c r="P186" s="24"/>
    </row>
    <row r="187" spans="1:18" x14ac:dyDescent="0.35">
      <c r="C187" s="25"/>
      <c r="D187" s="26" t="s">
        <v>1378</v>
      </c>
      <c r="E187" s="40">
        <v>58</v>
      </c>
      <c r="F187" s="41">
        <v>112</v>
      </c>
      <c r="G187" s="29">
        <v>116</v>
      </c>
      <c r="H187" s="30">
        <f t="shared" si="170"/>
        <v>8642</v>
      </c>
      <c r="I187" s="31">
        <f t="shared" si="168"/>
        <v>16688</v>
      </c>
      <c r="J187" s="32">
        <f t="shared" si="168"/>
        <v>17284</v>
      </c>
      <c r="K187" s="40">
        <f t="shared" si="171"/>
        <v>8650.7000000000007</v>
      </c>
      <c r="L187" s="41">
        <f t="shared" si="169"/>
        <v>16704.8</v>
      </c>
      <c r="M187" s="29">
        <f t="shared" si="169"/>
        <v>17301.400000000001</v>
      </c>
      <c r="N187" s="26"/>
      <c r="O187" s="26"/>
      <c r="P187" s="33"/>
    </row>
    <row r="188" spans="1:18" x14ac:dyDescent="0.35">
      <c r="C188" s="8" t="str">
        <f>'To be deleted'!AP14</f>
        <v>Light Machinery, Equipment and Furniture</v>
      </c>
      <c r="D188" s="9" t="s">
        <v>1375</v>
      </c>
      <c r="E188" s="34">
        <v>3</v>
      </c>
      <c r="F188" s="35">
        <v>12</v>
      </c>
      <c r="G188" s="12">
        <v>25</v>
      </c>
      <c r="H188" s="13">
        <f>186*E188</f>
        <v>558</v>
      </c>
      <c r="I188" s="14">
        <f t="shared" ref="I188:J190" si="172">186*F188</f>
        <v>2232</v>
      </c>
      <c r="J188" s="15">
        <f t="shared" si="172"/>
        <v>4650</v>
      </c>
      <c r="K188" s="34">
        <f>198.86*E188</f>
        <v>596.58000000000004</v>
      </c>
      <c r="L188" s="35">
        <f t="shared" ref="L188:M190" si="173">198.86*F188</f>
        <v>2386.3200000000002</v>
      </c>
      <c r="M188" s="12">
        <f t="shared" si="173"/>
        <v>4971.5</v>
      </c>
      <c r="N188" s="9"/>
      <c r="O188" s="9"/>
      <c r="P188" s="16"/>
    </row>
    <row r="189" spans="1:18" x14ac:dyDescent="0.35">
      <c r="D189" t="s">
        <v>1377</v>
      </c>
      <c r="E189" s="37">
        <v>6</v>
      </c>
      <c r="F189" s="38">
        <v>21</v>
      </c>
      <c r="G189" s="20">
        <v>21</v>
      </c>
      <c r="H189" s="21">
        <f t="shared" ref="H189:H190" si="174">186*E189</f>
        <v>1116</v>
      </c>
      <c r="I189" s="22">
        <f t="shared" si="172"/>
        <v>3906</v>
      </c>
      <c r="J189" s="23">
        <f t="shared" si="172"/>
        <v>3906</v>
      </c>
      <c r="K189" s="37">
        <f t="shared" ref="K189:K190" si="175">198.86*E189</f>
        <v>1193.1600000000001</v>
      </c>
      <c r="L189" s="38">
        <f t="shared" si="173"/>
        <v>4176.0600000000004</v>
      </c>
      <c r="M189" s="20">
        <f t="shared" si="173"/>
        <v>4176.0600000000004</v>
      </c>
      <c r="P189" s="24"/>
    </row>
    <row r="190" spans="1:18" x14ac:dyDescent="0.35">
      <c r="C190" s="25"/>
      <c r="D190" s="26" t="s">
        <v>1378</v>
      </c>
      <c r="E190" s="40">
        <v>16</v>
      </c>
      <c r="F190" s="41">
        <v>21</v>
      </c>
      <c r="G190" s="29">
        <v>21</v>
      </c>
      <c r="H190" s="30">
        <f t="shared" si="174"/>
        <v>2976</v>
      </c>
      <c r="I190" s="31">
        <f t="shared" si="172"/>
        <v>3906</v>
      </c>
      <c r="J190" s="32">
        <f t="shared" si="172"/>
        <v>3906</v>
      </c>
      <c r="K190" s="40">
        <f t="shared" si="175"/>
        <v>3181.76</v>
      </c>
      <c r="L190" s="41">
        <f t="shared" si="173"/>
        <v>4176.0600000000004</v>
      </c>
      <c r="M190" s="29">
        <f t="shared" si="173"/>
        <v>4176.0600000000004</v>
      </c>
      <c r="N190" s="26"/>
      <c r="O190" s="26"/>
      <c r="P190" s="33"/>
    </row>
    <row r="192" spans="1:18" x14ac:dyDescent="0.35">
      <c r="A192">
        <v>13</v>
      </c>
      <c r="B192" t="str">
        <f>'To be deleted'!B15</f>
        <v>Araihazar Economic Zone – 2</v>
      </c>
      <c r="C192" s="8" t="str">
        <f>'To be deleted'!AM15</f>
        <v>Food and Beverage</v>
      </c>
      <c r="D192" s="9" t="s">
        <v>1375</v>
      </c>
      <c r="E192" s="34">
        <v>6</v>
      </c>
      <c r="F192" s="35">
        <v>19</v>
      </c>
      <c r="G192" s="12">
        <v>68</v>
      </c>
      <c r="H192" s="13">
        <f>23*E192</f>
        <v>138</v>
      </c>
      <c r="I192" s="14">
        <f t="shared" ref="I192:J194" si="176">23*F192</f>
        <v>437</v>
      </c>
      <c r="J192" s="15">
        <f t="shared" si="176"/>
        <v>1564</v>
      </c>
      <c r="K192" s="34">
        <f>36.76*E192</f>
        <v>220.56</v>
      </c>
      <c r="L192" s="35">
        <f t="shared" ref="L192:M194" si="177">36.76*F192</f>
        <v>698.43999999999994</v>
      </c>
      <c r="M192" s="12">
        <f t="shared" si="177"/>
        <v>2499.6799999999998</v>
      </c>
      <c r="N192" s="9"/>
      <c r="O192" s="9"/>
      <c r="P192" s="16"/>
      <c r="R192" t="s">
        <v>1389</v>
      </c>
    </row>
    <row r="193" spans="3:16" x14ac:dyDescent="0.35">
      <c r="D193" t="s">
        <v>1377</v>
      </c>
      <c r="E193" s="37">
        <v>15</v>
      </c>
      <c r="F193" s="38">
        <v>37</v>
      </c>
      <c r="G193" s="20">
        <v>115</v>
      </c>
      <c r="H193" s="21">
        <f t="shared" ref="H193:H194" si="178">23*E193</f>
        <v>345</v>
      </c>
      <c r="I193" s="22">
        <f t="shared" si="176"/>
        <v>851</v>
      </c>
      <c r="J193" s="23">
        <f t="shared" si="176"/>
        <v>2645</v>
      </c>
      <c r="K193" s="37">
        <f t="shared" ref="K193:K194" si="179">36.76*E193</f>
        <v>551.4</v>
      </c>
      <c r="L193" s="38">
        <f t="shared" si="177"/>
        <v>1360.12</v>
      </c>
      <c r="M193" s="20">
        <f t="shared" si="177"/>
        <v>4227.3999999999996</v>
      </c>
      <c r="P193" s="24"/>
    </row>
    <row r="194" spans="3:16" x14ac:dyDescent="0.35">
      <c r="C194" s="25"/>
      <c r="D194" s="26" t="s">
        <v>1378</v>
      </c>
      <c r="E194" s="40">
        <v>19</v>
      </c>
      <c r="F194" s="41">
        <v>51</v>
      </c>
      <c r="G194" s="29">
        <v>130</v>
      </c>
      <c r="H194" s="30">
        <f t="shared" si="178"/>
        <v>437</v>
      </c>
      <c r="I194" s="31">
        <f t="shared" si="176"/>
        <v>1173</v>
      </c>
      <c r="J194" s="32">
        <f t="shared" si="176"/>
        <v>2990</v>
      </c>
      <c r="K194" s="40">
        <f t="shared" si="179"/>
        <v>698.43999999999994</v>
      </c>
      <c r="L194" s="41">
        <f t="shared" si="177"/>
        <v>1874.76</v>
      </c>
      <c r="M194" s="29">
        <f t="shared" si="177"/>
        <v>4778.8</v>
      </c>
      <c r="N194" s="26"/>
      <c r="O194" s="26"/>
      <c r="P194" s="33"/>
    </row>
    <row r="195" spans="3:16" x14ac:dyDescent="0.35">
      <c r="C195" s="8" t="str">
        <f>'To be deleted'!AN15</f>
        <v>Leather Goods</v>
      </c>
      <c r="D195" s="9" t="s">
        <v>1375</v>
      </c>
      <c r="E195" s="34">
        <v>0</v>
      </c>
      <c r="F195" s="35">
        <v>2</v>
      </c>
      <c r="G195" s="12">
        <v>5</v>
      </c>
      <c r="H195" s="13">
        <f>54*E195</f>
        <v>0</v>
      </c>
      <c r="I195" s="14">
        <f t="shared" ref="I195:J197" si="180">54*F195</f>
        <v>108</v>
      </c>
      <c r="J195" s="15">
        <f t="shared" si="180"/>
        <v>270</v>
      </c>
      <c r="K195" s="34">
        <f>48.3*E195</f>
        <v>0</v>
      </c>
      <c r="L195" s="35">
        <f t="shared" ref="L195:M197" si="181">48.3*F195</f>
        <v>96.6</v>
      </c>
      <c r="M195" s="12">
        <f t="shared" si="181"/>
        <v>241.5</v>
      </c>
      <c r="N195" s="9"/>
      <c r="O195" s="9"/>
      <c r="P195" s="16"/>
    </row>
    <row r="196" spans="3:16" x14ac:dyDescent="0.35">
      <c r="D196" t="s">
        <v>1377</v>
      </c>
      <c r="E196" s="37">
        <v>1</v>
      </c>
      <c r="F196" s="38">
        <v>3</v>
      </c>
      <c r="G196" s="20">
        <v>8</v>
      </c>
      <c r="H196" s="21">
        <f t="shared" ref="H196:H197" si="182">54*E196</f>
        <v>54</v>
      </c>
      <c r="I196" s="22">
        <f t="shared" si="180"/>
        <v>162</v>
      </c>
      <c r="J196" s="23">
        <f t="shared" si="180"/>
        <v>432</v>
      </c>
      <c r="K196" s="37">
        <f t="shared" ref="K196:K197" si="183">48.3*E196</f>
        <v>48.3</v>
      </c>
      <c r="L196" s="38">
        <f t="shared" si="181"/>
        <v>144.89999999999998</v>
      </c>
      <c r="M196" s="20">
        <f>48.3*G196</f>
        <v>386.4</v>
      </c>
      <c r="P196" s="24"/>
    </row>
    <row r="197" spans="3:16" x14ac:dyDescent="0.35">
      <c r="C197" s="25"/>
      <c r="D197" s="26" t="s">
        <v>1378</v>
      </c>
      <c r="E197" s="40">
        <v>2</v>
      </c>
      <c r="F197" s="41">
        <v>4</v>
      </c>
      <c r="G197" s="29">
        <v>10</v>
      </c>
      <c r="H197" s="30">
        <f t="shared" si="182"/>
        <v>108</v>
      </c>
      <c r="I197" s="31">
        <f t="shared" si="180"/>
        <v>216</v>
      </c>
      <c r="J197" s="32">
        <f t="shared" si="180"/>
        <v>540</v>
      </c>
      <c r="K197" s="40">
        <f t="shared" si="183"/>
        <v>96.6</v>
      </c>
      <c r="L197" s="41">
        <f t="shared" si="181"/>
        <v>193.2</v>
      </c>
      <c r="M197" s="29">
        <f t="shared" si="181"/>
        <v>483</v>
      </c>
      <c r="N197" s="26"/>
      <c r="O197" s="26"/>
      <c r="P197" s="33"/>
    </row>
    <row r="198" spans="3:16" x14ac:dyDescent="0.35">
      <c r="C198" s="8" t="str">
        <f>'To be deleted'!AO15</f>
        <v>Chemicals</v>
      </c>
      <c r="D198" s="9" t="s">
        <v>1375</v>
      </c>
      <c r="E198" s="34">
        <v>0</v>
      </c>
      <c r="F198" s="35">
        <v>1</v>
      </c>
      <c r="G198" s="12">
        <v>2</v>
      </c>
      <c r="H198" s="13">
        <f>164*E198</f>
        <v>0</v>
      </c>
      <c r="I198" s="14">
        <f t="shared" ref="I198:J200" si="184">164*F198</f>
        <v>164</v>
      </c>
      <c r="J198" s="15">
        <f t="shared" si="184"/>
        <v>328</v>
      </c>
      <c r="K198" s="34">
        <f>223.17*E198</f>
        <v>0</v>
      </c>
      <c r="L198" s="35">
        <f t="shared" ref="L198:M200" si="185">223.17*F198</f>
        <v>223.17</v>
      </c>
      <c r="M198" s="12">
        <f t="shared" si="185"/>
        <v>446.34</v>
      </c>
      <c r="N198" s="9"/>
      <c r="O198" s="9"/>
      <c r="P198" s="16"/>
    </row>
    <row r="199" spans="3:16" x14ac:dyDescent="0.35">
      <c r="D199" t="s">
        <v>1377</v>
      </c>
      <c r="E199" s="37">
        <v>1</v>
      </c>
      <c r="F199" s="38">
        <v>1</v>
      </c>
      <c r="G199" s="20">
        <v>4</v>
      </c>
      <c r="H199" s="21">
        <f t="shared" ref="H199:H200" si="186">164*E199</f>
        <v>164</v>
      </c>
      <c r="I199" s="22">
        <f t="shared" si="184"/>
        <v>164</v>
      </c>
      <c r="J199" s="23">
        <f t="shared" si="184"/>
        <v>656</v>
      </c>
      <c r="K199" s="37">
        <f t="shared" ref="K199:K200" si="187">223.17*E199</f>
        <v>223.17</v>
      </c>
      <c r="L199" s="38">
        <f t="shared" si="185"/>
        <v>223.17</v>
      </c>
      <c r="M199" s="20">
        <f t="shared" si="185"/>
        <v>892.68</v>
      </c>
      <c r="P199" s="24"/>
    </row>
    <row r="200" spans="3:16" x14ac:dyDescent="0.35">
      <c r="C200" s="25"/>
      <c r="D200" s="26" t="s">
        <v>1378</v>
      </c>
      <c r="E200" s="40">
        <v>1</v>
      </c>
      <c r="F200" s="41">
        <v>2</v>
      </c>
      <c r="G200" s="29">
        <v>5</v>
      </c>
      <c r="H200" s="30">
        <f t="shared" si="186"/>
        <v>164</v>
      </c>
      <c r="I200" s="31">
        <f t="shared" si="184"/>
        <v>328</v>
      </c>
      <c r="J200" s="32">
        <f t="shared" si="184"/>
        <v>820</v>
      </c>
      <c r="K200" s="40">
        <f t="shared" si="187"/>
        <v>223.17</v>
      </c>
      <c r="L200" s="41">
        <f t="shared" si="185"/>
        <v>446.34</v>
      </c>
      <c r="M200" s="29">
        <f t="shared" si="185"/>
        <v>1115.8499999999999</v>
      </c>
      <c r="N200" s="26"/>
      <c r="O200" s="26"/>
      <c r="P200" s="33"/>
    </row>
    <row r="201" spans="3:16" x14ac:dyDescent="0.35">
      <c r="C201" s="8" t="str">
        <f>'To be deleted'!AP15</f>
        <v>Non-Metallic mineral products</v>
      </c>
      <c r="D201" s="9" t="s">
        <v>1375</v>
      </c>
      <c r="E201" s="34">
        <v>3</v>
      </c>
      <c r="F201" s="35">
        <v>10</v>
      </c>
      <c r="G201" s="12">
        <v>42</v>
      </c>
      <c r="H201" s="13">
        <f>603*E201</f>
        <v>1809</v>
      </c>
      <c r="I201" s="14">
        <f t="shared" ref="I201:J203" si="188">603*F201</f>
        <v>6030</v>
      </c>
      <c r="J201" s="15">
        <f t="shared" si="188"/>
        <v>25326</v>
      </c>
      <c r="K201" s="34">
        <f>58.82*E201</f>
        <v>176.46</v>
      </c>
      <c r="L201" s="35">
        <f t="shared" ref="L201:M203" si="189">58.82*F201</f>
        <v>588.20000000000005</v>
      </c>
      <c r="M201" s="12">
        <f t="shared" si="189"/>
        <v>2470.44</v>
      </c>
      <c r="N201" s="9"/>
      <c r="O201" s="9"/>
      <c r="P201" s="16"/>
    </row>
    <row r="202" spans="3:16" x14ac:dyDescent="0.35">
      <c r="D202" t="s">
        <v>1377</v>
      </c>
      <c r="E202" s="37">
        <v>8</v>
      </c>
      <c r="F202" s="38">
        <v>20</v>
      </c>
      <c r="G202" s="20">
        <v>70</v>
      </c>
      <c r="H202" s="21">
        <f t="shared" ref="H202:H203" si="190">603*E202</f>
        <v>4824</v>
      </c>
      <c r="I202" s="22">
        <f t="shared" si="188"/>
        <v>12060</v>
      </c>
      <c r="J202" s="23">
        <f t="shared" si="188"/>
        <v>42210</v>
      </c>
      <c r="K202" s="37">
        <f t="shared" ref="K202:K203" si="191">58.82*E202</f>
        <v>470.56</v>
      </c>
      <c r="L202" s="38">
        <f t="shared" si="189"/>
        <v>1176.4000000000001</v>
      </c>
      <c r="M202" s="20">
        <f t="shared" si="189"/>
        <v>4117.3999999999996</v>
      </c>
      <c r="P202" s="24"/>
    </row>
    <row r="203" spans="3:16" x14ac:dyDescent="0.35">
      <c r="C203" s="25"/>
      <c r="D203" s="26" t="s">
        <v>1378</v>
      </c>
      <c r="E203" s="40">
        <v>10</v>
      </c>
      <c r="F203" s="41">
        <v>27</v>
      </c>
      <c r="G203" s="29">
        <v>78</v>
      </c>
      <c r="H203" s="30">
        <f t="shared" si="190"/>
        <v>6030</v>
      </c>
      <c r="I203" s="31">
        <f t="shared" si="188"/>
        <v>16281</v>
      </c>
      <c r="J203" s="32">
        <f t="shared" si="188"/>
        <v>47034</v>
      </c>
      <c r="K203" s="40">
        <f t="shared" si="191"/>
        <v>588.20000000000005</v>
      </c>
      <c r="L203" s="41">
        <f t="shared" si="189"/>
        <v>1588.14</v>
      </c>
      <c r="M203" s="29">
        <f t="shared" si="189"/>
        <v>4587.96</v>
      </c>
      <c r="N203" s="26"/>
      <c r="O203" s="26"/>
      <c r="P203" s="33"/>
    </row>
    <row r="204" spans="3:16" x14ac:dyDescent="0.35">
      <c r="C204" s="8" t="str">
        <f>'To be deleted'!AQ15</f>
        <v>Heavy Machinery, Iron &amp; Steel and metals</v>
      </c>
      <c r="D204" s="9" t="s">
        <v>1375</v>
      </c>
      <c r="E204" s="34">
        <v>1</v>
      </c>
      <c r="F204" s="35">
        <v>4</v>
      </c>
      <c r="G204" s="12">
        <v>17</v>
      </c>
      <c r="H204" s="13">
        <f>82*E204</f>
        <v>82</v>
      </c>
      <c r="I204" s="14">
        <f t="shared" ref="I204:J206" si="192">82*F204</f>
        <v>328</v>
      </c>
      <c r="J204" s="15">
        <f t="shared" si="192"/>
        <v>1394</v>
      </c>
      <c r="K204" s="34">
        <f>86.18*E204</f>
        <v>86.18</v>
      </c>
      <c r="L204" s="35">
        <f t="shared" ref="L204:M206" si="193">86.18*F204</f>
        <v>344.72</v>
      </c>
      <c r="M204" s="12">
        <f t="shared" si="193"/>
        <v>1465.0600000000002</v>
      </c>
      <c r="N204" s="9"/>
      <c r="O204" s="9"/>
      <c r="P204" s="16"/>
    </row>
    <row r="205" spans="3:16" x14ac:dyDescent="0.35">
      <c r="D205" t="s">
        <v>1377</v>
      </c>
      <c r="E205" s="37">
        <v>3</v>
      </c>
      <c r="F205" s="38">
        <v>9</v>
      </c>
      <c r="G205" s="20">
        <v>29</v>
      </c>
      <c r="H205" s="21">
        <f t="shared" ref="H205:H206" si="194">82*E205</f>
        <v>246</v>
      </c>
      <c r="I205" s="22">
        <f t="shared" si="192"/>
        <v>738</v>
      </c>
      <c r="J205" s="23">
        <f t="shared" si="192"/>
        <v>2378</v>
      </c>
      <c r="K205" s="37">
        <f t="shared" ref="K205:K206" si="195">86.18*E205</f>
        <v>258.54000000000002</v>
      </c>
      <c r="L205" s="38">
        <f t="shared" si="193"/>
        <v>775.62000000000012</v>
      </c>
      <c r="M205" s="20">
        <f t="shared" si="193"/>
        <v>2499.2200000000003</v>
      </c>
      <c r="P205" s="24"/>
    </row>
    <row r="206" spans="3:16" x14ac:dyDescent="0.35">
      <c r="C206" s="25"/>
      <c r="D206" s="26" t="s">
        <v>1378</v>
      </c>
      <c r="E206" s="40">
        <v>4</v>
      </c>
      <c r="F206" s="41">
        <v>12</v>
      </c>
      <c r="G206" s="29">
        <v>32</v>
      </c>
      <c r="H206" s="30">
        <f t="shared" si="194"/>
        <v>328</v>
      </c>
      <c r="I206" s="31">
        <f t="shared" si="192"/>
        <v>984</v>
      </c>
      <c r="J206" s="32">
        <f t="shared" si="192"/>
        <v>2624</v>
      </c>
      <c r="K206" s="40">
        <f t="shared" si="195"/>
        <v>344.72</v>
      </c>
      <c r="L206" s="41">
        <f t="shared" si="193"/>
        <v>1034.1600000000001</v>
      </c>
      <c r="M206" s="29">
        <f t="shared" si="193"/>
        <v>2757.76</v>
      </c>
      <c r="N206" s="26"/>
      <c r="O206" s="26"/>
      <c r="P206" s="33"/>
    </row>
    <row r="207" spans="3:16" x14ac:dyDescent="0.35">
      <c r="C207" s="8" t="str">
        <f>'To be deleted'!AR15</f>
        <v>Paper and packaging</v>
      </c>
      <c r="D207" s="9" t="s">
        <v>1375</v>
      </c>
      <c r="E207" s="34">
        <v>0</v>
      </c>
      <c r="F207" s="35">
        <v>1</v>
      </c>
      <c r="G207" s="12">
        <v>3</v>
      </c>
      <c r="H207" s="13">
        <f>195*E207</f>
        <v>0</v>
      </c>
      <c r="I207" s="14">
        <f t="shared" ref="I207:J209" si="196">195*F207</f>
        <v>195</v>
      </c>
      <c r="J207" s="15">
        <f t="shared" si="196"/>
        <v>585</v>
      </c>
      <c r="K207" s="34">
        <f>122.57*E207</f>
        <v>0</v>
      </c>
      <c r="L207" s="35">
        <f t="shared" ref="L207:M209" si="197">122.57*F207</f>
        <v>122.57</v>
      </c>
      <c r="M207" s="12">
        <f t="shared" si="197"/>
        <v>367.71</v>
      </c>
      <c r="N207" s="9"/>
      <c r="O207" s="9"/>
      <c r="P207" s="16"/>
    </row>
    <row r="208" spans="3:16" x14ac:dyDescent="0.35">
      <c r="D208" t="s">
        <v>1377</v>
      </c>
      <c r="E208" s="37">
        <v>1</v>
      </c>
      <c r="F208" s="38">
        <v>1</v>
      </c>
      <c r="G208" s="20">
        <v>5</v>
      </c>
      <c r="H208" s="21">
        <f t="shared" ref="H208:H209" si="198">195*E208</f>
        <v>195</v>
      </c>
      <c r="I208" s="22">
        <f t="shared" si="196"/>
        <v>195</v>
      </c>
      <c r="J208" s="23">
        <f t="shared" si="196"/>
        <v>975</v>
      </c>
      <c r="K208" s="37">
        <f t="shared" ref="K208:K209" si="199">122.57*E208</f>
        <v>122.57</v>
      </c>
      <c r="L208" s="38">
        <f t="shared" si="197"/>
        <v>122.57</v>
      </c>
      <c r="M208" s="20">
        <f t="shared" si="197"/>
        <v>612.84999999999991</v>
      </c>
      <c r="P208" s="24"/>
    </row>
    <row r="209" spans="1:18" x14ac:dyDescent="0.35">
      <c r="C209" s="25"/>
      <c r="D209" s="26" t="s">
        <v>1378</v>
      </c>
      <c r="E209" s="40">
        <v>1</v>
      </c>
      <c r="F209" s="41">
        <v>2</v>
      </c>
      <c r="G209" s="29">
        <v>5</v>
      </c>
      <c r="H209" s="30">
        <f t="shared" si="198"/>
        <v>195</v>
      </c>
      <c r="I209" s="31">
        <f t="shared" si="196"/>
        <v>390</v>
      </c>
      <c r="J209" s="32">
        <f t="shared" si="196"/>
        <v>975</v>
      </c>
      <c r="K209" s="40">
        <f t="shared" si="199"/>
        <v>122.57</v>
      </c>
      <c r="L209" s="41">
        <f t="shared" si="197"/>
        <v>245.14</v>
      </c>
      <c r="M209" s="29">
        <f t="shared" si="197"/>
        <v>612.84999999999991</v>
      </c>
      <c r="N209" s="26"/>
      <c r="O209" s="26"/>
      <c r="P209" s="33"/>
    </row>
    <row r="210" spans="1:18" x14ac:dyDescent="0.35">
      <c r="C210" s="8" t="str">
        <f>'To be deleted'!AS15</f>
        <v>Pharmaceuticals</v>
      </c>
      <c r="D210" s="9" t="s">
        <v>1375</v>
      </c>
      <c r="E210" s="34">
        <v>1</v>
      </c>
      <c r="F210" s="35">
        <v>3</v>
      </c>
      <c r="G210" s="12">
        <v>11</v>
      </c>
      <c r="H210" s="13">
        <f>149*E210</f>
        <v>149</v>
      </c>
      <c r="I210" s="14">
        <f t="shared" ref="I210:J212" si="200">149*F210</f>
        <v>447</v>
      </c>
      <c r="J210" s="15">
        <f t="shared" si="200"/>
        <v>1639</v>
      </c>
      <c r="K210" s="34">
        <f>153.13*E210</f>
        <v>153.13</v>
      </c>
      <c r="L210" s="35">
        <f t="shared" ref="L210:M212" si="201">153.13*F210</f>
        <v>459.39</v>
      </c>
      <c r="M210" s="12">
        <f t="shared" si="201"/>
        <v>1684.4299999999998</v>
      </c>
      <c r="N210" s="9"/>
      <c r="O210" s="9"/>
      <c r="P210" s="16"/>
    </row>
    <row r="211" spans="1:18" x14ac:dyDescent="0.35">
      <c r="D211" t="s">
        <v>1377</v>
      </c>
      <c r="E211" s="37">
        <v>3</v>
      </c>
      <c r="F211" s="38">
        <v>6</v>
      </c>
      <c r="G211" s="20">
        <v>19</v>
      </c>
      <c r="H211" s="21">
        <f t="shared" ref="H211:H212" si="202">149*E211</f>
        <v>447</v>
      </c>
      <c r="I211" s="22">
        <f t="shared" si="200"/>
        <v>894</v>
      </c>
      <c r="J211" s="23">
        <f t="shared" si="200"/>
        <v>2831</v>
      </c>
      <c r="K211" s="37">
        <f t="shared" ref="K211:K212" si="203">153.13*E211</f>
        <v>459.39</v>
      </c>
      <c r="L211" s="38">
        <f t="shared" si="201"/>
        <v>918.78</v>
      </c>
      <c r="M211" s="20">
        <f t="shared" si="201"/>
        <v>2909.47</v>
      </c>
      <c r="P211" s="24"/>
    </row>
    <row r="212" spans="1:18" x14ac:dyDescent="0.35">
      <c r="C212" s="25"/>
      <c r="D212" s="26" t="s">
        <v>1378</v>
      </c>
      <c r="E212" s="40">
        <v>3</v>
      </c>
      <c r="F212" s="41">
        <v>8</v>
      </c>
      <c r="G212" s="29">
        <v>21</v>
      </c>
      <c r="H212" s="30">
        <f t="shared" si="202"/>
        <v>447</v>
      </c>
      <c r="I212" s="31">
        <f t="shared" si="200"/>
        <v>1192</v>
      </c>
      <c r="J212" s="32">
        <f t="shared" si="200"/>
        <v>3129</v>
      </c>
      <c r="K212" s="40">
        <f t="shared" si="203"/>
        <v>459.39</v>
      </c>
      <c r="L212" s="41">
        <f t="shared" si="201"/>
        <v>1225.04</v>
      </c>
      <c r="M212" s="29">
        <f t="shared" si="201"/>
        <v>3215.73</v>
      </c>
      <c r="N212" s="26"/>
      <c r="O212" s="26"/>
      <c r="P212" s="33"/>
    </row>
    <row r="213" spans="1:18" x14ac:dyDescent="0.35">
      <c r="C213" s="8" t="str">
        <f>'To be deleted'!AT15</f>
        <v>Light Machinery, Equipment and Furniture</v>
      </c>
      <c r="D213" s="9" t="s">
        <v>1375</v>
      </c>
      <c r="E213" s="34">
        <v>0</v>
      </c>
      <c r="F213" s="35">
        <v>1</v>
      </c>
      <c r="G213" s="12">
        <v>5</v>
      </c>
      <c r="H213" s="13">
        <f>186*E213</f>
        <v>0</v>
      </c>
      <c r="I213" s="14">
        <f t="shared" ref="I213:J215" si="204">186*F213</f>
        <v>186</v>
      </c>
      <c r="J213" s="15">
        <f t="shared" si="204"/>
        <v>930</v>
      </c>
      <c r="K213" s="34">
        <f>203.25*E213</f>
        <v>0</v>
      </c>
      <c r="L213" s="35">
        <f t="shared" ref="L213:M215" si="205">203.25*F213</f>
        <v>203.25</v>
      </c>
      <c r="M213" s="12">
        <f t="shared" si="205"/>
        <v>1016.25</v>
      </c>
      <c r="N213" s="9"/>
      <c r="O213" s="9"/>
      <c r="P213" s="16"/>
    </row>
    <row r="214" spans="1:18" x14ac:dyDescent="0.35">
      <c r="D214" t="s">
        <v>1377</v>
      </c>
      <c r="E214" s="37">
        <v>1</v>
      </c>
      <c r="F214" s="38">
        <v>2</v>
      </c>
      <c r="G214" s="20">
        <v>8</v>
      </c>
      <c r="H214" s="21">
        <f t="shared" ref="H214:H215" si="206">186*E214</f>
        <v>186</v>
      </c>
      <c r="I214" s="22">
        <f t="shared" si="204"/>
        <v>372</v>
      </c>
      <c r="J214" s="23">
        <f t="shared" si="204"/>
        <v>1488</v>
      </c>
      <c r="K214" s="37">
        <f t="shared" ref="K214:K215" si="207">203.25*E214</f>
        <v>203.25</v>
      </c>
      <c r="L214" s="38">
        <f t="shared" si="205"/>
        <v>406.5</v>
      </c>
      <c r="M214" s="20">
        <f t="shared" si="205"/>
        <v>1626</v>
      </c>
      <c r="P214" s="24"/>
    </row>
    <row r="215" spans="1:18" x14ac:dyDescent="0.35">
      <c r="C215" s="25"/>
      <c r="D215" s="26" t="s">
        <v>1378</v>
      </c>
      <c r="E215" s="40">
        <v>1</v>
      </c>
      <c r="F215" s="41">
        <v>3</v>
      </c>
      <c r="G215" s="29">
        <v>9</v>
      </c>
      <c r="H215" s="30">
        <f t="shared" si="206"/>
        <v>186</v>
      </c>
      <c r="I215" s="31">
        <f t="shared" si="204"/>
        <v>558</v>
      </c>
      <c r="J215" s="32">
        <f t="shared" si="204"/>
        <v>1674</v>
      </c>
      <c r="K215" s="40">
        <f t="shared" si="207"/>
        <v>203.25</v>
      </c>
      <c r="L215" s="41">
        <f t="shared" si="205"/>
        <v>609.75</v>
      </c>
      <c r="M215" s="29">
        <f t="shared" si="205"/>
        <v>1829.25</v>
      </c>
      <c r="N215" s="26"/>
      <c r="O215" s="26"/>
      <c r="P215" s="33"/>
    </row>
    <row r="217" spans="1:18" x14ac:dyDescent="0.35">
      <c r="A217">
        <v>14</v>
      </c>
      <c r="B217" t="str">
        <f>'To be deleted'!B16</f>
        <v>Bhola Economic Zone</v>
      </c>
      <c r="C217" s="8" t="str">
        <f>'To be deleted'!AM16</f>
        <v>Food and Beverage</v>
      </c>
      <c r="D217" s="9" t="s">
        <v>1375</v>
      </c>
      <c r="E217" s="34">
        <v>5</v>
      </c>
      <c r="F217" s="35">
        <v>10</v>
      </c>
      <c r="G217" s="12">
        <v>35</v>
      </c>
      <c r="H217" s="13">
        <v>111</v>
      </c>
      <c r="I217" s="14">
        <v>231</v>
      </c>
      <c r="J217" s="15">
        <v>805</v>
      </c>
      <c r="K217" s="34">
        <f>36.76*E217</f>
        <v>183.79999999999998</v>
      </c>
      <c r="L217" s="35">
        <f t="shared" ref="L217:M219" si="208">36.76*F217</f>
        <v>367.59999999999997</v>
      </c>
      <c r="M217" s="12">
        <f t="shared" si="208"/>
        <v>1286.5999999999999</v>
      </c>
      <c r="N217" s="9"/>
      <c r="O217" s="9"/>
      <c r="P217" s="16"/>
      <c r="R217" t="s">
        <v>1390</v>
      </c>
    </row>
    <row r="218" spans="1:18" x14ac:dyDescent="0.35">
      <c r="D218" t="s">
        <v>1377</v>
      </c>
      <c r="E218" s="37">
        <v>6</v>
      </c>
      <c r="F218" s="38">
        <v>13</v>
      </c>
      <c r="G218" s="20">
        <v>46</v>
      </c>
      <c r="H218" s="21">
        <v>141</v>
      </c>
      <c r="I218" s="22">
        <v>294</v>
      </c>
      <c r="J218" s="23">
        <v>1066</v>
      </c>
      <c r="K218" s="37">
        <f t="shared" ref="K218:K219" si="209">36.76*E218</f>
        <v>220.56</v>
      </c>
      <c r="L218" s="38">
        <f t="shared" si="208"/>
        <v>477.88</v>
      </c>
      <c r="M218" s="20">
        <f t="shared" si="208"/>
        <v>1690.9599999999998</v>
      </c>
      <c r="P218" s="24"/>
    </row>
    <row r="219" spans="1:18" x14ac:dyDescent="0.35">
      <c r="C219" s="25"/>
      <c r="D219" s="26" t="s">
        <v>1378</v>
      </c>
      <c r="E219" s="40">
        <v>8</v>
      </c>
      <c r="F219" s="41">
        <v>16</v>
      </c>
      <c r="G219" s="29">
        <v>58</v>
      </c>
      <c r="H219" s="30">
        <v>174</v>
      </c>
      <c r="I219" s="31">
        <v>364</v>
      </c>
      <c r="J219" s="32">
        <v>1352</v>
      </c>
      <c r="K219" s="40">
        <f t="shared" si="209"/>
        <v>294.08</v>
      </c>
      <c r="L219" s="41">
        <f t="shared" si="208"/>
        <v>588.16</v>
      </c>
      <c r="M219" s="29">
        <f t="shared" si="208"/>
        <v>2132.08</v>
      </c>
      <c r="N219" s="26"/>
      <c r="O219" s="26"/>
      <c r="P219" s="33"/>
    </row>
    <row r="220" spans="1:18" x14ac:dyDescent="0.35">
      <c r="C220" s="8" t="str">
        <f>'To be deleted'!AN16</f>
        <v>Agro based</v>
      </c>
      <c r="D220" s="9" t="s">
        <v>1375</v>
      </c>
      <c r="E220" s="34">
        <v>0</v>
      </c>
      <c r="F220" s="35">
        <v>0</v>
      </c>
      <c r="G220" s="12">
        <v>1</v>
      </c>
      <c r="H220" s="13">
        <v>26</v>
      </c>
      <c r="I220" s="14">
        <v>55</v>
      </c>
      <c r="J220" s="15">
        <v>175</v>
      </c>
      <c r="K220" s="34">
        <f>52.87*E220</f>
        <v>0</v>
      </c>
      <c r="L220" s="35">
        <f t="shared" ref="L220:M222" si="210">52.87*F220</f>
        <v>0</v>
      </c>
      <c r="M220" s="12">
        <f t="shared" si="210"/>
        <v>52.87</v>
      </c>
      <c r="N220" s="9"/>
      <c r="O220" s="9"/>
      <c r="P220" s="16"/>
    </row>
    <row r="221" spans="1:18" x14ac:dyDescent="0.35">
      <c r="D221" t="s">
        <v>1377</v>
      </c>
      <c r="E221" s="37">
        <v>0</v>
      </c>
      <c r="F221" s="38">
        <v>1</v>
      </c>
      <c r="G221" s="20">
        <v>2</v>
      </c>
      <c r="H221" s="21">
        <v>34</v>
      </c>
      <c r="I221" s="22">
        <v>70</v>
      </c>
      <c r="J221" s="23">
        <v>232</v>
      </c>
      <c r="K221" s="37">
        <f t="shared" ref="K221:K222" si="211">52.87*E221</f>
        <v>0</v>
      </c>
      <c r="L221" s="38">
        <f t="shared" si="210"/>
        <v>52.87</v>
      </c>
      <c r="M221" s="20">
        <f t="shared" si="210"/>
        <v>105.74</v>
      </c>
      <c r="P221" s="24"/>
    </row>
    <row r="222" spans="1:18" x14ac:dyDescent="0.35">
      <c r="C222" s="25"/>
      <c r="D222" s="26" t="s">
        <v>1378</v>
      </c>
      <c r="E222" s="40">
        <v>0</v>
      </c>
      <c r="F222" s="41">
        <v>1</v>
      </c>
      <c r="G222" s="29">
        <v>2</v>
      </c>
      <c r="H222" s="30">
        <v>42</v>
      </c>
      <c r="I222" s="31">
        <v>87</v>
      </c>
      <c r="J222" s="32">
        <v>294</v>
      </c>
      <c r="K222" s="40">
        <f t="shared" si="211"/>
        <v>0</v>
      </c>
      <c r="L222" s="41">
        <f t="shared" si="210"/>
        <v>52.87</v>
      </c>
      <c r="M222" s="29">
        <f t="shared" si="210"/>
        <v>105.74</v>
      </c>
      <c r="N222" s="26"/>
      <c r="O222" s="26"/>
      <c r="P222" s="33"/>
    </row>
    <row r="223" spans="1:18" x14ac:dyDescent="0.35">
      <c r="C223" s="8" t="str">
        <f>'To be deleted'!AO16</f>
        <v>Chemicals</v>
      </c>
      <c r="D223" s="9" t="s">
        <v>1375</v>
      </c>
      <c r="E223" s="34">
        <v>0</v>
      </c>
      <c r="F223" s="35">
        <v>0</v>
      </c>
      <c r="G223" s="12">
        <v>1</v>
      </c>
      <c r="H223" s="13">
        <v>27</v>
      </c>
      <c r="I223" s="14">
        <v>55</v>
      </c>
      <c r="J223" s="15">
        <v>201</v>
      </c>
      <c r="K223" s="34">
        <f>223.17*E223</f>
        <v>0</v>
      </c>
      <c r="L223" s="35">
        <f t="shared" ref="L223:M225" si="212">223.17*F223</f>
        <v>0</v>
      </c>
      <c r="M223" s="12">
        <f t="shared" si="212"/>
        <v>223.17</v>
      </c>
      <c r="N223" s="9"/>
      <c r="O223" s="9"/>
      <c r="P223" s="16"/>
    </row>
    <row r="224" spans="1:18" x14ac:dyDescent="0.35">
      <c r="D224" t="s">
        <v>1377</v>
      </c>
      <c r="E224" s="37">
        <v>0</v>
      </c>
      <c r="F224" s="38">
        <v>0</v>
      </c>
      <c r="G224" s="20">
        <v>2</v>
      </c>
      <c r="H224" s="21">
        <v>34</v>
      </c>
      <c r="I224" s="22">
        <v>71</v>
      </c>
      <c r="J224" s="23">
        <v>267</v>
      </c>
      <c r="K224" s="37">
        <f t="shared" ref="K224:K225" si="213">223.17*E224</f>
        <v>0</v>
      </c>
      <c r="L224" s="38">
        <f t="shared" si="212"/>
        <v>0</v>
      </c>
      <c r="M224" s="20">
        <f t="shared" si="212"/>
        <v>446.34</v>
      </c>
      <c r="P224" s="24"/>
    </row>
    <row r="225" spans="1:18" x14ac:dyDescent="0.35">
      <c r="C225" s="25"/>
      <c r="D225" s="26" t="s">
        <v>1378</v>
      </c>
      <c r="E225" s="40">
        <v>0</v>
      </c>
      <c r="F225" s="41">
        <v>1</v>
      </c>
      <c r="G225" s="29">
        <v>2</v>
      </c>
      <c r="H225" s="30">
        <v>42</v>
      </c>
      <c r="I225" s="31">
        <v>87</v>
      </c>
      <c r="J225" s="32">
        <v>339</v>
      </c>
      <c r="K225" s="40">
        <f t="shared" si="213"/>
        <v>0</v>
      </c>
      <c r="L225" s="41">
        <f t="shared" si="212"/>
        <v>223.17</v>
      </c>
      <c r="M225" s="29">
        <f t="shared" si="212"/>
        <v>446.34</v>
      </c>
      <c r="N225" s="26"/>
      <c r="O225" s="26"/>
      <c r="P225" s="33"/>
    </row>
    <row r="226" spans="1:18" x14ac:dyDescent="0.35">
      <c r="C226" s="8" t="str">
        <f>'To be deleted'!AP16</f>
        <v>Non-Metallic mineral products</v>
      </c>
      <c r="D226" s="9" t="s">
        <v>1375</v>
      </c>
      <c r="E226" s="34">
        <v>3</v>
      </c>
      <c r="F226" s="35">
        <v>5</v>
      </c>
      <c r="G226" s="12">
        <v>21</v>
      </c>
      <c r="H226" s="13">
        <v>1534</v>
      </c>
      <c r="I226" s="14">
        <v>3232</v>
      </c>
      <c r="J226" s="15">
        <v>12927</v>
      </c>
      <c r="K226" s="34">
        <f>58.82*E226</f>
        <v>176.46</v>
      </c>
      <c r="L226" s="35">
        <f t="shared" ref="L226:M228" si="214">58.82*F226</f>
        <v>294.10000000000002</v>
      </c>
      <c r="M226" s="12">
        <f t="shared" si="214"/>
        <v>1235.22</v>
      </c>
      <c r="N226" s="9"/>
      <c r="O226" s="9"/>
      <c r="P226" s="16"/>
    </row>
    <row r="227" spans="1:18" x14ac:dyDescent="0.35">
      <c r="D227" t="s">
        <v>1377</v>
      </c>
      <c r="E227" s="37">
        <v>3</v>
      </c>
      <c r="F227" s="38">
        <v>7</v>
      </c>
      <c r="G227" s="20">
        <v>28</v>
      </c>
      <c r="H227" s="21">
        <v>1954</v>
      </c>
      <c r="I227" s="22">
        <v>4122</v>
      </c>
      <c r="J227" s="23">
        <v>17166</v>
      </c>
      <c r="K227" s="37">
        <f t="shared" ref="K227:K228" si="215">58.82*E227</f>
        <v>176.46</v>
      </c>
      <c r="L227" s="38">
        <f t="shared" si="214"/>
        <v>411.74</v>
      </c>
      <c r="M227" s="20">
        <f t="shared" si="214"/>
        <v>1646.96</v>
      </c>
      <c r="P227" s="24"/>
    </row>
    <row r="228" spans="1:18" x14ac:dyDescent="0.35">
      <c r="C228" s="25"/>
      <c r="D228" s="26" t="s">
        <v>1378</v>
      </c>
      <c r="E228" s="40">
        <v>4</v>
      </c>
      <c r="F228" s="41">
        <v>8</v>
      </c>
      <c r="G228" s="29">
        <v>36</v>
      </c>
      <c r="H228" s="30">
        <v>2415</v>
      </c>
      <c r="I228" s="31">
        <v>5101</v>
      </c>
      <c r="J228" s="32">
        <v>21823</v>
      </c>
      <c r="K228" s="40">
        <f t="shared" si="215"/>
        <v>235.28</v>
      </c>
      <c r="L228" s="41">
        <f t="shared" si="214"/>
        <v>470.56</v>
      </c>
      <c r="M228" s="29">
        <f t="shared" si="214"/>
        <v>2117.52</v>
      </c>
      <c r="N228" s="26"/>
      <c r="O228" s="26"/>
      <c r="P228" s="33"/>
    </row>
    <row r="230" spans="1:18" x14ac:dyDescent="0.35">
      <c r="A230">
        <v>15</v>
      </c>
      <c r="B230" t="str">
        <f>'To be deleted'!B17</f>
        <v>Chandpur Economic Zone – 1</v>
      </c>
      <c r="C230" s="8" t="str">
        <f>'To be deleted'!AM17</f>
        <v>Food and Beverage</v>
      </c>
      <c r="D230" s="9" t="s">
        <v>1375</v>
      </c>
      <c r="E230" s="34">
        <v>6</v>
      </c>
      <c r="F230" s="35">
        <v>25</v>
      </c>
      <c r="G230" s="12">
        <v>63</v>
      </c>
      <c r="H230" s="13">
        <f>23*E230</f>
        <v>138</v>
      </c>
      <c r="I230" s="14">
        <f t="shared" ref="I230:J232" si="216">23*F230</f>
        <v>575</v>
      </c>
      <c r="J230" s="15">
        <f t="shared" si="216"/>
        <v>1449</v>
      </c>
      <c r="K230" s="34">
        <f>36.76*E230</f>
        <v>220.56</v>
      </c>
      <c r="L230" s="35">
        <f t="shared" ref="L230:M232" si="217">36.76*F230</f>
        <v>919</v>
      </c>
      <c r="M230" s="12">
        <f t="shared" si="217"/>
        <v>2315.8799999999997</v>
      </c>
      <c r="N230" s="9"/>
      <c r="O230" s="9"/>
      <c r="P230" s="16"/>
      <c r="R230" t="s">
        <v>1389</v>
      </c>
    </row>
    <row r="231" spans="1:18" x14ac:dyDescent="0.35">
      <c r="D231" t="s">
        <v>1377</v>
      </c>
      <c r="E231" s="37">
        <v>18</v>
      </c>
      <c r="F231" s="38">
        <v>47</v>
      </c>
      <c r="G231" s="20">
        <v>115</v>
      </c>
      <c r="H231" s="21">
        <f t="shared" ref="H231:H232" si="218">23*E231</f>
        <v>414</v>
      </c>
      <c r="I231" s="22">
        <f t="shared" si="216"/>
        <v>1081</v>
      </c>
      <c r="J231" s="23">
        <f t="shared" si="216"/>
        <v>2645</v>
      </c>
      <c r="K231" s="37">
        <f t="shared" ref="K231:K232" si="219">36.76*E231</f>
        <v>661.68</v>
      </c>
      <c r="L231" s="38">
        <f t="shared" si="217"/>
        <v>1727.7199999999998</v>
      </c>
      <c r="M231" s="20">
        <f t="shared" si="217"/>
        <v>4227.3999999999996</v>
      </c>
      <c r="P231" s="24"/>
    </row>
    <row r="232" spans="1:18" x14ac:dyDescent="0.35">
      <c r="C232" s="25"/>
      <c r="D232" s="26" t="s">
        <v>1378</v>
      </c>
      <c r="E232" s="40">
        <v>23</v>
      </c>
      <c r="F232" s="41">
        <v>62</v>
      </c>
      <c r="G232" s="29">
        <v>160</v>
      </c>
      <c r="H232" s="30">
        <f t="shared" si="218"/>
        <v>529</v>
      </c>
      <c r="I232" s="31">
        <f t="shared" si="216"/>
        <v>1426</v>
      </c>
      <c r="J232" s="32">
        <f t="shared" si="216"/>
        <v>3680</v>
      </c>
      <c r="K232" s="40">
        <f t="shared" si="219"/>
        <v>845.4799999999999</v>
      </c>
      <c r="L232" s="41">
        <f t="shared" si="217"/>
        <v>2279.12</v>
      </c>
      <c r="M232" s="29">
        <f t="shared" si="217"/>
        <v>5881.5999999999995</v>
      </c>
      <c r="N232" s="26"/>
      <c r="O232" s="26"/>
      <c r="P232" s="33"/>
    </row>
    <row r="233" spans="1:18" x14ac:dyDescent="0.35">
      <c r="C233" s="8" t="str">
        <f>'To be deleted'!AN17</f>
        <v>Agro based</v>
      </c>
      <c r="D233" s="9" t="s">
        <v>1375</v>
      </c>
      <c r="E233" s="34">
        <v>0</v>
      </c>
      <c r="F233" s="35">
        <v>1</v>
      </c>
      <c r="G233" s="12">
        <v>3</v>
      </c>
      <c r="H233" s="13">
        <f>119*E233</f>
        <v>0</v>
      </c>
      <c r="I233" s="14">
        <f t="shared" ref="I233:J235" si="220">119*F233</f>
        <v>119</v>
      </c>
      <c r="J233" s="15">
        <f t="shared" si="220"/>
        <v>357</v>
      </c>
      <c r="K233" s="34">
        <f>52.87*E233</f>
        <v>0</v>
      </c>
      <c r="L233" s="35">
        <f t="shared" ref="L233:M235" si="221">52.87*F233</f>
        <v>52.87</v>
      </c>
      <c r="M233" s="12">
        <f t="shared" si="221"/>
        <v>158.60999999999999</v>
      </c>
      <c r="N233" s="9"/>
      <c r="O233" s="9"/>
      <c r="P233" s="16"/>
    </row>
    <row r="234" spans="1:18" x14ac:dyDescent="0.35">
      <c r="D234" t="s">
        <v>1377</v>
      </c>
      <c r="E234" s="37">
        <v>1</v>
      </c>
      <c r="F234" s="38">
        <v>2</v>
      </c>
      <c r="G234" s="20">
        <v>5</v>
      </c>
      <c r="H234" s="21">
        <f t="shared" ref="H234:H235" si="222">119*E234</f>
        <v>119</v>
      </c>
      <c r="I234" s="22">
        <f t="shared" si="220"/>
        <v>238</v>
      </c>
      <c r="J234" s="23">
        <f t="shared" si="220"/>
        <v>595</v>
      </c>
      <c r="K234" s="37">
        <f t="shared" ref="K234:K235" si="223">52.87*E234</f>
        <v>52.87</v>
      </c>
      <c r="L234" s="38">
        <f t="shared" si="221"/>
        <v>105.74</v>
      </c>
      <c r="M234" s="20">
        <f t="shared" si="221"/>
        <v>264.34999999999997</v>
      </c>
      <c r="P234" s="24"/>
    </row>
    <row r="235" spans="1:18" x14ac:dyDescent="0.35">
      <c r="C235" s="25"/>
      <c r="D235" s="26" t="s">
        <v>1378</v>
      </c>
      <c r="E235" s="40">
        <v>1</v>
      </c>
      <c r="F235" s="41">
        <v>3</v>
      </c>
      <c r="G235" s="29">
        <v>7</v>
      </c>
      <c r="H235" s="30">
        <f t="shared" si="222"/>
        <v>119</v>
      </c>
      <c r="I235" s="31">
        <f t="shared" si="220"/>
        <v>357</v>
      </c>
      <c r="J235" s="32">
        <f t="shared" si="220"/>
        <v>833</v>
      </c>
      <c r="K235" s="40">
        <f t="shared" si="223"/>
        <v>52.87</v>
      </c>
      <c r="L235" s="41">
        <f t="shared" si="221"/>
        <v>158.60999999999999</v>
      </c>
      <c r="M235" s="29">
        <f t="shared" si="221"/>
        <v>370.09</v>
      </c>
      <c r="N235" s="26"/>
      <c r="O235" s="26"/>
      <c r="P235" s="33"/>
    </row>
    <row r="236" spans="1:18" x14ac:dyDescent="0.35">
      <c r="C236" s="8" t="str">
        <f>'To be deleted'!AO17</f>
        <v>Leather Goods</v>
      </c>
      <c r="D236" s="9" t="s">
        <v>1375</v>
      </c>
      <c r="E236" s="34">
        <v>0</v>
      </c>
      <c r="F236" s="35">
        <v>2</v>
      </c>
      <c r="G236" s="12">
        <v>5</v>
      </c>
      <c r="H236" s="13">
        <f>54*E236</f>
        <v>0</v>
      </c>
      <c r="I236" s="14">
        <f t="shared" ref="I236:J238" si="224">54*F236</f>
        <v>108</v>
      </c>
      <c r="J236" s="15">
        <f t="shared" si="224"/>
        <v>270</v>
      </c>
      <c r="K236" s="34">
        <f>48.3*E236</f>
        <v>0</v>
      </c>
      <c r="L236" s="35">
        <f t="shared" ref="L236:M238" si="225">48.3*F236</f>
        <v>96.6</v>
      </c>
      <c r="M236" s="12">
        <f t="shared" si="225"/>
        <v>241.5</v>
      </c>
      <c r="N236" s="9"/>
      <c r="O236" s="9"/>
      <c r="P236" s="16"/>
    </row>
    <row r="237" spans="1:18" x14ac:dyDescent="0.35">
      <c r="D237" t="s">
        <v>1377</v>
      </c>
      <c r="E237" s="37">
        <v>1</v>
      </c>
      <c r="F237" s="38">
        <v>4</v>
      </c>
      <c r="G237" s="20">
        <v>9</v>
      </c>
      <c r="H237" s="21">
        <f t="shared" ref="H237:H238" si="226">54*E237</f>
        <v>54</v>
      </c>
      <c r="I237" s="22">
        <f t="shared" si="224"/>
        <v>216</v>
      </c>
      <c r="J237" s="23">
        <f t="shared" si="224"/>
        <v>486</v>
      </c>
      <c r="K237" s="37">
        <f t="shared" ref="K237:K238" si="227">48.3*E237</f>
        <v>48.3</v>
      </c>
      <c r="L237" s="38">
        <f t="shared" si="225"/>
        <v>193.2</v>
      </c>
      <c r="M237" s="20">
        <f t="shared" si="225"/>
        <v>434.7</v>
      </c>
      <c r="P237" s="24"/>
    </row>
    <row r="238" spans="1:18" x14ac:dyDescent="0.35">
      <c r="C238" s="25"/>
      <c r="D238" s="26" t="s">
        <v>1378</v>
      </c>
      <c r="E238" s="40">
        <v>2</v>
      </c>
      <c r="F238" s="41">
        <v>5</v>
      </c>
      <c r="G238" s="29">
        <v>12</v>
      </c>
      <c r="H238" s="30">
        <f t="shared" si="226"/>
        <v>108</v>
      </c>
      <c r="I238" s="31">
        <f t="shared" si="224"/>
        <v>270</v>
      </c>
      <c r="J238" s="32">
        <f t="shared" si="224"/>
        <v>648</v>
      </c>
      <c r="K238" s="40">
        <f t="shared" si="227"/>
        <v>96.6</v>
      </c>
      <c r="L238" s="41">
        <f t="shared" si="225"/>
        <v>241.5</v>
      </c>
      <c r="M238" s="29">
        <f t="shared" si="225"/>
        <v>579.59999999999991</v>
      </c>
      <c r="N238" s="26"/>
      <c r="O238" s="26"/>
      <c r="P238" s="33"/>
    </row>
    <row r="239" spans="1:18" x14ac:dyDescent="0.35">
      <c r="C239" s="8" t="str">
        <f>'To be deleted'!AP17</f>
        <v>Plastic and Rubber</v>
      </c>
      <c r="D239" s="9" t="s">
        <v>1375</v>
      </c>
      <c r="E239" s="34">
        <v>0</v>
      </c>
      <c r="F239" s="35">
        <v>1</v>
      </c>
      <c r="G239" s="12">
        <v>1</v>
      </c>
      <c r="H239" s="13">
        <f>133*E239</f>
        <v>0</v>
      </c>
      <c r="I239" s="14">
        <f t="shared" ref="I239:J241" si="228">133*F239</f>
        <v>133</v>
      </c>
      <c r="J239" s="15">
        <f t="shared" si="228"/>
        <v>133</v>
      </c>
      <c r="K239" s="34">
        <f>111.58*E239</f>
        <v>0</v>
      </c>
      <c r="L239" s="35">
        <f t="shared" ref="L239:M241" si="229">111.58*F239</f>
        <v>111.58</v>
      </c>
      <c r="M239" s="12">
        <f t="shared" si="229"/>
        <v>111.58</v>
      </c>
      <c r="N239" s="9"/>
      <c r="O239" s="9"/>
      <c r="P239" s="16"/>
    </row>
    <row r="240" spans="1:18" x14ac:dyDescent="0.35">
      <c r="D240" t="s">
        <v>1377</v>
      </c>
      <c r="E240" s="37">
        <v>0</v>
      </c>
      <c r="F240" s="38">
        <v>1</v>
      </c>
      <c r="G240" s="20">
        <v>2</v>
      </c>
      <c r="H240" s="21">
        <f t="shared" ref="H240:H241" si="230">133*E240</f>
        <v>0</v>
      </c>
      <c r="I240" s="22">
        <f t="shared" si="228"/>
        <v>133</v>
      </c>
      <c r="J240" s="23">
        <f t="shared" si="228"/>
        <v>266</v>
      </c>
      <c r="K240" s="37">
        <f t="shared" ref="K240:K241" si="231">111.58*E240</f>
        <v>0</v>
      </c>
      <c r="L240" s="38">
        <f t="shared" si="229"/>
        <v>111.58</v>
      </c>
      <c r="M240" s="20">
        <f t="shared" si="229"/>
        <v>223.16</v>
      </c>
      <c r="P240" s="24"/>
    </row>
    <row r="241" spans="3:16" x14ac:dyDescent="0.35">
      <c r="C241" s="25"/>
      <c r="D241" s="26" t="s">
        <v>1378</v>
      </c>
      <c r="E241" s="40">
        <v>0</v>
      </c>
      <c r="F241" s="41">
        <v>1</v>
      </c>
      <c r="G241" s="29">
        <v>3</v>
      </c>
      <c r="H241" s="30">
        <f t="shared" si="230"/>
        <v>0</v>
      </c>
      <c r="I241" s="31">
        <f t="shared" si="228"/>
        <v>133</v>
      </c>
      <c r="J241" s="32">
        <f t="shared" si="228"/>
        <v>399</v>
      </c>
      <c r="K241" s="40">
        <f t="shared" si="231"/>
        <v>0</v>
      </c>
      <c r="L241" s="41">
        <f t="shared" si="229"/>
        <v>111.58</v>
      </c>
      <c r="M241" s="29">
        <f t="shared" si="229"/>
        <v>334.74</v>
      </c>
      <c r="N241" s="26"/>
      <c r="O241" s="26"/>
      <c r="P241" s="33"/>
    </row>
    <row r="242" spans="3:16" x14ac:dyDescent="0.35">
      <c r="C242" s="8" t="str">
        <f>'To be deleted'!AQ17</f>
        <v>Paper and packaging</v>
      </c>
      <c r="D242" s="9" t="s">
        <v>1375</v>
      </c>
      <c r="E242" s="34">
        <v>0</v>
      </c>
      <c r="F242" s="35">
        <v>1</v>
      </c>
      <c r="G242" s="12">
        <v>3</v>
      </c>
      <c r="H242" s="13">
        <f>195*E242</f>
        <v>0</v>
      </c>
      <c r="I242" s="14">
        <f t="shared" ref="I242:J244" si="232">195*F242</f>
        <v>195</v>
      </c>
      <c r="J242" s="15">
        <f t="shared" si="232"/>
        <v>585</v>
      </c>
      <c r="K242" s="34">
        <f>122.8*E242</f>
        <v>0</v>
      </c>
      <c r="L242" s="35">
        <f t="shared" ref="L242:M244" si="233">122.8*F242</f>
        <v>122.8</v>
      </c>
      <c r="M242" s="12">
        <f t="shared" si="233"/>
        <v>368.4</v>
      </c>
      <c r="N242" s="9"/>
      <c r="O242" s="9"/>
      <c r="P242" s="16"/>
    </row>
    <row r="243" spans="3:16" x14ac:dyDescent="0.35">
      <c r="D243" t="s">
        <v>1377</v>
      </c>
      <c r="E243" s="37">
        <v>1</v>
      </c>
      <c r="F243" s="38">
        <v>2</v>
      </c>
      <c r="G243" s="20">
        <v>5</v>
      </c>
      <c r="H243" s="21">
        <f t="shared" ref="H243:H244" si="234">195*E243</f>
        <v>195</v>
      </c>
      <c r="I243" s="22">
        <f t="shared" si="232"/>
        <v>390</v>
      </c>
      <c r="J243" s="23">
        <f t="shared" si="232"/>
        <v>975</v>
      </c>
      <c r="K243" s="37">
        <f t="shared" ref="K243:K244" si="235">122.8*E243</f>
        <v>122.8</v>
      </c>
      <c r="L243" s="38">
        <f t="shared" si="233"/>
        <v>245.6</v>
      </c>
      <c r="M243" s="20">
        <f t="shared" si="233"/>
        <v>614</v>
      </c>
      <c r="P243" s="24"/>
    </row>
    <row r="244" spans="3:16" x14ac:dyDescent="0.35">
      <c r="C244" s="25"/>
      <c r="D244" s="26" t="s">
        <v>1378</v>
      </c>
      <c r="E244" s="40">
        <v>1</v>
      </c>
      <c r="F244" s="41">
        <v>2</v>
      </c>
      <c r="G244" s="29">
        <v>7</v>
      </c>
      <c r="H244" s="30">
        <f t="shared" si="234"/>
        <v>195</v>
      </c>
      <c r="I244" s="31">
        <f t="shared" si="232"/>
        <v>390</v>
      </c>
      <c r="J244" s="32">
        <f t="shared" si="232"/>
        <v>1365</v>
      </c>
      <c r="K244" s="40">
        <f t="shared" si="235"/>
        <v>122.8</v>
      </c>
      <c r="L244" s="41">
        <f t="shared" si="233"/>
        <v>245.6</v>
      </c>
      <c r="M244" s="29">
        <f t="shared" si="233"/>
        <v>859.6</v>
      </c>
      <c r="N244" s="26"/>
      <c r="O244" s="26"/>
      <c r="P244" s="33"/>
    </row>
    <row r="245" spans="3:16" x14ac:dyDescent="0.35">
      <c r="C245" s="8" t="str">
        <f>'To be deleted'!AR17</f>
        <v>Chemicals</v>
      </c>
      <c r="D245" s="9" t="s">
        <v>1375</v>
      </c>
      <c r="E245" s="34">
        <v>0</v>
      </c>
      <c r="F245" s="35">
        <v>1</v>
      </c>
      <c r="G245" s="12">
        <v>2</v>
      </c>
      <c r="H245" s="13">
        <f>164*E245</f>
        <v>0</v>
      </c>
      <c r="I245" s="14">
        <f t="shared" ref="I245:J247" si="236">164*F245</f>
        <v>164</v>
      </c>
      <c r="J245" s="15">
        <f t="shared" si="236"/>
        <v>328</v>
      </c>
      <c r="K245" s="34">
        <f>223.17*E245</f>
        <v>0</v>
      </c>
      <c r="L245" s="35">
        <f t="shared" ref="L245:M247" si="237">223.17*F245</f>
        <v>223.17</v>
      </c>
      <c r="M245" s="12">
        <f t="shared" si="237"/>
        <v>446.34</v>
      </c>
      <c r="N245" s="9"/>
      <c r="O245" s="9"/>
      <c r="P245" s="16"/>
    </row>
    <row r="246" spans="3:16" x14ac:dyDescent="0.35">
      <c r="D246" t="s">
        <v>1377</v>
      </c>
      <c r="E246" s="37">
        <v>1</v>
      </c>
      <c r="F246" s="38">
        <v>2</v>
      </c>
      <c r="G246" s="20">
        <v>4</v>
      </c>
      <c r="H246" s="21">
        <f t="shared" ref="H246:H247" si="238">164*E246</f>
        <v>164</v>
      </c>
      <c r="I246" s="22">
        <f t="shared" si="236"/>
        <v>328</v>
      </c>
      <c r="J246" s="23">
        <f t="shared" si="236"/>
        <v>656</v>
      </c>
      <c r="K246" s="37">
        <f t="shared" ref="K246:K247" si="239">223.17*E246</f>
        <v>223.17</v>
      </c>
      <c r="L246" s="38">
        <f t="shared" si="237"/>
        <v>446.34</v>
      </c>
      <c r="M246" s="20">
        <f t="shared" si="237"/>
        <v>892.68</v>
      </c>
      <c r="P246" s="24"/>
    </row>
    <row r="247" spans="3:16" x14ac:dyDescent="0.35">
      <c r="C247" s="25"/>
      <c r="D247" s="26" t="s">
        <v>1378</v>
      </c>
      <c r="E247" s="40">
        <v>1</v>
      </c>
      <c r="F247" s="41">
        <v>2</v>
      </c>
      <c r="G247" s="29">
        <v>6</v>
      </c>
      <c r="H247" s="30">
        <f t="shared" si="238"/>
        <v>164</v>
      </c>
      <c r="I247" s="31">
        <f t="shared" si="236"/>
        <v>328</v>
      </c>
      <c r="J247" s="32">
        <f t="shared" si="236"/>
        <v>984</v>
      </c>
      <c r="K247" s="40">
        <f t="shared" si="239"/>
        <v>223.17</v>
      </c>
      <c r="L247" s="41">
        <f t="shared" si="237"/>
        <v>446.34</v>
      </c>
      <c r="M247" s="29">
        <f t="shared" si="237"/>
        <v>1339.02</v>
      </c>
      <c r="N247" s="26"/>
      <c r="O247" s="26"/>
      <c r="P247" s="33"/>
    </row>
    <row r="248" spans="3:16" x14ac:dyDescent="0.35">
      <c r="C248" s="8" t="str">
        <f>'To be deleted'!AS17</f>
        <v>Non-Metallic mineral products</v>
      </c>
      <c r="D248" s="9" t="s">
        <v>1375</v>
      </c>
      <c r="E248" s="34">
        <v>3</v>
      </c>
      <c r="F248" s="35">
        <v>13</v>
      </c>
      <c r="G248" s="12">
        <v>38</v>
      </c>
      <c r="H248" s="13">
        <f>603*E248</f>
        <v>1809</v>
      </c>
      <c r="I248" s="14">
        <f t="shared" ref="I248:J250" si="240">603*F248</f>
        <v>7839</v>
      </c>
      <c r="J248" s="15">
        <f t="shared" si="240"/>
        <v>22914</v>
      </c>
      <c r="K248" s="34">
        <f>58.82*E248</f>
        <v>176.46</v>
      </c>
      <c r="L248" s="35">
        <f t="shared" ref="L248:M250" si="241">58.82*F248</f>
        <v>764.66</v>
      </c>
      <c r="M248" s="12">
        <f t="shared" si="241"/>
        <v>2235.16</v>
      </c>
      <c r="N248" s="9"/>
      <c r="O248" s="9"/>
      <c r="P248" s="16"/>
    </row>
    <row r="249" spans="3:16" x14ac:dyDescent="0.35">
      <c r="D249" t="s">
        <v>1377</v>
      </c>
      <c r="E249" s="37">
        <v>10</v>
      </c>
      <c r="F249" s="38">
        <v>34</v>
      </c>
      <c r="G249" s="20">
        <v>69</v>
      </c>
      <c r="H249" s="21">
        <f t="shared" ref="H249:H250" si="242">603*E249</f>
        <v>6030</v>
      </c>
      <c r="I249" s="22">
        <f t="shared" si="240"/>
        <v>20502</v>
      </c>
      <c r="J249" s="23">
        <f t="shared" si="240"/>
        <v>41607</v>
      </c>
      <c r="K249" s="37">
        <f t="shared" ref="K249:K250" si="243">58.82*E249</f>
        <v>588.20000000000005</v>
      </c>
      <c r="L249" s="38">
        <f t="shared" si="241"/>
        <v>1999.88</v>
      </c>
      <c r="M249" s="20">
        <f t="shared" si="241"/>
        <v>4058.58</v>
      </c>
      <c r="P249" s="24"/>
    </row>
    <row r="250" spans="3:16" x14ac:dyDescent="0.35">
      <c r="C250" s="25"/>
      <c r="D250" s="26" t="s">
        <v>1378</v>
      </c>
      <c r="E250" s="40">
        <v>12</v>
      </c>
      <c r="F250" s="41">
        <v>33</v>
      </c>
      <c r="G250" s="29">
        <v>97</v>
      </c>
      <c r="H250" s="30">
        <f t="shared" si="242"/>
        <v>7236</v>
      </c>
      <c r="I250" s="31">
        <f t="shared" si="240"/>
        <v>19899</v>
      </c>
      <c r="J250" s="32">
        <f t="shared" si="240"/>
        <v>58491</v>
      </c>
      <c r="K250" s="40">
        <f t="shared" si="243"/>
        <v>705.84</v>
      </c>
      <c r="L250" s="41">
        <f t="shared" si="241"/>
        <v>1941.06</v>
      </c>
      <c r="M250" s="29">
        <f t="shared" si="241"/>
        <v>5705.54</v>
      </c>
      <c r="N250" s="26"/>
      <c r="O250" s="26"/>
      <c r="P250" s="33"/>
    </row>
    <row r="251" spans="3:16" x14ac:dyDescent="0.35">
      <c r="C251" s="8" t="str">
        <f>'To be deleted'!AT17</f>
        <v>Heavy Machinery, Iron &amp; Steel and metals</v>
      </c>
      <c r="D251" s="9" t="s">
        <v>1375</v>
      </c>
      <c r="E251" s="34">
        <v>1</v>
      </c>
      <c r="F251" s="35">
        <v>6</v>
      </c>
      <c r="G251" s="12">
        <v>16</v>
      </c>
      <c r="H251" s="13">
        <f>82*E251</f>
        <v>82</v>
      </c>
      <c r="I251" s="14">
        <f t="shared" ref="I251:J253" si="244">82*F251</f>
        <v>492</v>
      </c>
      <c r="J251" s="15">
        <f t="shared" si="244"/>
        <v>1312</v>
      </c>
      <c r="K251" s="34">
        <f>86.18*E251</f>
        <v>86.18</v>
      </c>
      <c r="L251" s="35">
        <f t="shared" ref="L251:M253" si="245">86.18*F251</f>
        <v>517.08000000000004</v>
      </c>
      <c r="M251" s="12">
        <f t="shared" si="245"/>
        <v>1378.88</v>
      </c>
      <c r="N251" s="9"/>
      <c r="O251" s="9"/>
      <c r="P251" s="16"/>
    </row>
    <row r="252" spans="3:16" x14ac:dyDescent="0.35">
      <c r="D252" t="s">
        <v>1377</v>
      </c>
      <c r="E252" s="37">
        <v>4</v>
      </c>
      <c r="F252" s="38">
        <v>11</v>
      </c>
      <c r="G252" s="20">
        <v>28</v>
      </c>
      <c r="H252" s="21">
        <f t="shared" ref="H252:H253" si="246">82*E252</f>
        <v>328</v>
      </c>
      <c r="I252" s="22">
        <f t="shared" si="244"/>
        <v>902</v>
      </c>
      <c r="J252" s="23">
        <f t="shared" si="244"/>
        <v>2296</v>
      </c>
      <c r="K252" s="37">
        <f t="shared" ref="K252:K253" si="247">86.18*E252</f>
        <v>344.72</v>
      </c>
      <c r="L252" s="38">
        <f t="shared" si="245"/>
        <v>947.98</v>
      </c>
      <c r="M252" s="20">
        <f t="shared" si="245"/>
        <v>2413.04</v>
      </c>
      <c r="P252" s="24"/>
    </row>
    <row r="253" spans="3:16" x14ac:dyDescent="0.35">
      <c r="C253" s="25"/>
      <c r="D253" s="26" t="s">
        <v>1378</v>
      </c>
      <c r="E253" s="40">
        <v>5</v>
      </c>
      <c r="F253" s="41">
        <v>14</v>
      </c>
      <c r="G253" s="29">
        <v>40</v>
      </c>
      <c r="H253" s="30">
        <f t="shared" si="246"/>
        <v>410</v>
      </c>
      <c r="I253" s="31">
        <f t="shared" si="244"/>
        <v>1148</v>
      </c>
      <c r="J253" s="32">
        <f t="shared" si="244"/>
        <v>3280</v>
      </c>
      <c r="K253" s="40">
        <f t="shared" si="247"/>
        <v>430.90000000000003</v>
      </c>
      <c r="L253" s="41">
        <f t="shared" si="245"/>
        <v>1206.52</v>
      </c>
      <c r="M253" s="29">
        <f t="shared" si="245"/>
        <v>3447.2000000000003</v>
      </c>
      <c r="N253" s="26"/>
      <c r="O253" s="26"/>
      <c r="P253" s="33"/>
    </row>
    <row r="254" spans="3:16" x14ac:dyDescent="0.35">
      <c r="C254" s="8" t="str">
        <f>'To be deleted'!AU17</f>
        <v>Petroleum and petroleum products</v>
      </c>
      <c r="D254" s="9" t="s">
        <v>1375</v>
      </c>
      <c r="E254" s="34">
        <v>0</v>
      </c>
      <c r="F254" s="35">
        <v>0</v>
      </c>
      <c r="G254" s="12">
        <v>1</v>
      </c>
      <c r="H254" s="13">
        <f>36*E254</f>
        <v>0</v>
      </c>
      <c r="I254" s="14">
        <f t="shared" ref="I254:J256" si="248">36*F254</f>
        <v>0</v>
      </c>
      <c r="J254" s="15">
        <f t="shared" si="248"/>
        <v>36</v>
      </c>
      <c r="K254" s="34">
        <f>109.68*E254</f>
        <v>0</v>
      </c>
      <c r="L254" s="35">
        <f t="shared" ref="L254:M256" si="249">109.68*F254</f>
        <v>0</v>
      </c>
      <c r="M254" s="12">
        <f t="shared" si="249"/>
        <v>109.68</v>
      </c>
      <c r="N254" s="9"/>
      <c r="O254" s="9"/>
      <c r="P254" s="16"/>
    </row>
    <row r="255" spans="3:16" x14ac:dyDescent="0.35">
      <c r="D255" t="s">
        <v>1377</v>
      </c>
      <c r="E255" s="37">
        <v>0</v>
      </c>
      <c r="F255" s="38">
        <v>0</v>
      </c>
      <c r="G255" s="20">
        <v>1</v>
      </c>
      <c r="H255" s="21">
        <f t="shared" ref="H255:H256" si="250">36*E255</f>
        <v>0</v>
      </c>
      <c r="I255" s="22">
        <f t="shared" si="248"/>
        <v>0</v>
      </c>
      <c r="J255" s="23">
        <f t="shared" si="248"/>
        <v>36</v>
      </c>
      <c r="K255" s="37">
        <f t="shared" ref="K255:K256" si="251">109.68*E255</f>
        <v>0</v>
      </c>
      <c r="L255" s="38">
        <f t="shared" si="249"/>
        <v>0</v>
      </c>
      <c r="M255" s="20">
        <f t="shared" si="249"/>
        <v>109.68</v>
      </c>
      <c r="P255" s="24"/>
    </row>
    <row r="256" spans="3:16" x14ac:dyDescent="0.35">
      <c r="C256" s="25"/>
      <c r="D256" s="26" t="s">
        <v>1378</v>
      </c>
      <c r="E256" s="40">
        <v>0</v>
      </c>
      <c r="F256" s="41">
        <v>1</v>
      </c>
      <c r="G256" s="29">
        <v>2</v>
      </c>
      <c r="H256" s="30">
        <f t="shared" si="250"/>
        <v>0</v>
      </c>
      <c r="I256" s="31">
        <f t="shared" si="248"/>
        <v>36</v>
      </c>
      <c r="J256" s="32">
        <f t="shared" si="248"/>
        <v>72</v>
      </c>
      <c r="K256" s="40">
        <f t="shared" si="251"/>
        <v>0</v>
      </c>
      <c r="L256" s="41">
        <f t="shared" si="249"/>
        <v>109.68</v>
      </c>
      <c r="M256" s="29">
        <f t="shared" si="249"/>
        <v>219.36</v>
      </c>
      <c r="N256" s="26"/>
      <c r="O256" s="26"/>
      <c r="P256" s="33"/>
    </row>
    <row r="257" spans="1:16" x14ac:dyDescent="0.35">
      <c r="C257" s="8" t="str">
        <f>'To be deleted'!AV17</f>
        <v>Light Machinery, Equipment and Furniture</v>
      </c>
      <c r="D257" s="9" t="s">
        <v>1375</v>
      </c>
      <c r="E257" s="34">
        <v>0</v>
      </c>
      <c r="F257" s="35">
        <v>2</v>
      </c>
      <c r="G257" s="12">
        <v>4</v>
      </c>
      <c r="H257" s="13">
        <f>186*E257</f>
        <v>0</v>
      </c>
      <c r="I257" s="14">
        <f t="shared" ref="I257:J259" si="252">186*F257</f>
        <v>372</v>
      </c>
      <c r="J257" s="15">
        <f t="shared" si="252"/>
        <v>744</v>
      </c>
      <c r="K257" s="34">
        <f>203.25*E257</f>
        <v>0</v>
      </c>
      <c r="L257" s="35">
        <f t="shared" ref="L257:M259" si="253">203.25*F257</f>
        <v>406.5</v>
      </c>
      <c r="M257" s="12">
        <f t="shared" si="253"/>
        <v>813</v>
      </c>
      <c r="N257" s="9"/>
      <c r="O257" s="9"/>
      <c r="P257" s="16"/>
    </row>
    <row r="258" spans="1:16" x14ac:dyDescent="0.35">
      <c r="D258" t="s">
        <v>1377</v>
      </c>
      <c r="E258" s="37">
        <v>1</v>
      </c>
      <c r="F258" s="38">
        <v>3</v>
      </c>
      <c r="G258" s="20">
        <v>8</v>
      </c>
      <c r="H258" s="21">
        <f t="shared" ref="H258:H259" si="254">186*E258</f>
        <v>186</v>
      </c>
      <c r="I258" s="22">
        <f t="shared" si="252"/>
        <v>558</v>
      </c>
      <c r="J258" s="23">
        <f t="shared" si="252"/>
        <v>1488</v>
      </c>
      <c r="K258" s="37">
        <f t="shared" ref="K258:K259" si="255">203.25*E258</f>
        <v>203.25</v>
      </c>
      <c r="L258" s="38">
        <f t="shared" si="253"/>
        <v>609.75</v>
      </c>
      <c r="M258" s="20">
        <f t="shared" si="253"/>
        <v>1626</v>
      </c>
      <c r="P258" s="24"/>
    </row>
    <row r="259" spans="1:16" x14ac:dyDescent="0.35">
      <c r="C259" s="25"/>
      <c r="D259" s="26" t="s">
        <v>1378</v>
      </c>
      <c r="E259" s="40">
        <v>1</v>
      </c>
      <c r="F259" s="41">
        <v>4</v>
      </c>
      <c r="G259" s="29">
        <v>12</v>
      </c>
      <c r="H259" s="30">
        <f t="shared" si="254"/>
        <v>186</v>
      </c>
      <c r="I259" s="31">
        <f t="shared" si="252"/>
        <v>744</v>
      </c>
      <c r="J259" s="32">
        <f t="shared" si="252"/>
        <v>2232</v>
      </c>
      <c r="K259" s="40">
        <f t="shared" si="255"/>
        <v>203.25</v>
      </c>
      <c r="L259" s="41">
        <f t="shared" si="253"/>
        <v>813</v>
      </c>
      <c r="M259" s="29">
        <f t="shared" si="253"/>
        <v>2439</v>
      </c>
      <c r="N259" s="26"/>
      <c r="O259" s="26"/>
      <c r="P259" s="33"/>
    </row>
    <row r="261" spans="1:16" x14ac:dyDescent="0.35">
      <c r="A261">
        <v>16</v>
      </c>
      <c r="B261" t="str">
        <f>'To be deleted'!B18</f>
        <v>Manikganj Economic Zone (Unused land beside old Aricha ferighat BIWTA)</v>
      </c>
      <c r="C261" s="8" t="str">
        <f>'To be deleted'!AM18</f>
        <v>Textiles and RMG</v>
      </c>
      <c r="D261" s="9" t="s">
        <v>1375</v>
      </c>
      <c r="E261" s="34">
        <v>11</v>
      </c>
      <c r="F261" s="35">
        <v>57</v>
      </c>
      <c r="G261" s="12">
        <v>138</v>
      </c>
      <c r="H261" s="13">
        <v>1602</v>
      </c>
      <c r="I261" s="14">
        <v>8056</v>
      </c>
      <c r="J261" s="15">
        <v>19572</v>
      </c>
      <c r="K261" s="34">
        <f>35.36*E261</f>
        <v>388.96</v>
      </c>
      <c r="L261" s="35">
        <f t="shared" ref="L261:M263" si="256">35.36*F261</f>
        <v>2015.52</v>
      </c>
      <c r="M261" s="12">
        <f t="shared" si="256"/>
        <v>4879.68</v>
      </c>
      <c r="N261" s="9"/>
      <c r="O261" s="9"/>
      <c r="P261" s="16"/>
    </row>
    <row r="262" spans="1:16" x14ac:dyDescent="0.35">
      <c r="D262" t="s">
        <v>1377</v>
      </c>
      <c r="E262" s="37">
        <v>18</v>
      </c>
      <c r="F262" s="38">
        <v>91</v>
      </c>
      <c r="G262" s="20">
        <v>45</v>
      </c>
      <c r="H262" s="21">
        <v>2558</v>
      </c>
      <c r="I262" s="22">
        <v>12921</v>
      </c>
      <c r="J262" s="23">
        <v>19753</v>
      </c>
      <c r="K262" s="37">
        <f t="shared" ref="K262:K263" si="257">35.36*E262</f>
        <v>636.48</v>
      </c>
      <c r="L262" s="38">
        <f t="shared" si="256"/>
        <v>3217.7599999999998</v>
      </c>
      <c r="M262" s="20">
        <f t="shared" si="256"/>
        <v>1591.2</v>
      </c>
      <c r="P262" s="24"/>
    </row>
    <row r="263" spans="1:16" x14ac:dyDescent="0.35">
      <c r="C263" s="25"/>
      <c r="D263" s="26" t="s">
        <v>1378</v>
      </c>
      <c r="E263" s="40">
        <v>25</v>
      </c>
      <c r="F263" s="41">
        <v>127</v>
      </c>
      <c r="G263" s="29">
        <v>140</v>
      </c>
      <c r="H263" s="30">
        <v>3550</v>
      </c>
      <c r="I263" s="31">
        <v>17976</v>
      </c>
      <c r="J263" s="32">
        <v>19825</v>
      </c>
      <c r="K263" s="40">
        <f t="shared" si="257"/>
        <v>884</v>
      </c>
      <c r="L263" s="41">
        <f t="shared" si="256"/>
        <v>4490.72</v>
      </c>
      <c r="M263" s="29">
        <f t="shared" si="256"/>
        <v>4950.3999999999996</v>
      </c>
      <c r="N263" s="26"/>
      <c r="O263" s="26"/>
      <c r="P263" s="33"/>
    </row>
    <row r="264" spans="1:16" x14ac:dyDescent="0.35">
      <c r="C264" s="8" t="str">
        <f>'To be deleted'!AN18</f>
        <v>Food and Beverage</v>
      </c>
      <c r="D264" s="9" t="s">
        <v>1375</v>
      </c>
      <c r="E264" s="34">
        <v>4</v>
      </c>
      <c r="F264" s="35">
        <v>18</v>
      </c>
      <c r="G264" s="12">
        <v>45</v>
      </c>
      <c r="H264" s="13">
        <v>87</v>
      </c>
      <c r="I264" s="14">
        <v>423</v>
      </c>
      <c r="J264" s="15">
        <v>1029</v>
      </c>
      <c r="K264" s="34">
        <f>36.76*E264</f>
        <v>147.04</v>
      </c>
      <c r="L264" s="35">
        <f t="shared" ref="L264:M266" si="258">36.76*F264</f>
        <v>661.68</v>
      </c>
      <c r="M264" s="12">
        <f t="shared" si="258"/>
        <v>1654.1999999999998</v>
      </c>
      <c r="N264" s="9"/>
      <c r="O264" s="9"/>
      <c r="P264" s="16"/>
    </row>
    <row r="265" spans="1:16" x14ac:dyDescent="0.35">
      <c r="D265" t="s">
        <v>1377</v>
      </c>
      <c r="E265" s="37">
        <v>6</v>
      </c>
      <c r="F265" s="38">
        <v>29</v>
      </c>
      <c r="G265" s="20">
        <v>45</v>
      </c>
      <c r="H265" s="21">
        <v>141</v>
      </c>
      <c r="I265" s="22">
        <v>681</v>
      </c>
      <c r="J265" s="23">
        <v>1036</v>
      </c>
      <c r="K265" s="37">
        <f t="shared" ref="K265:K266" si="259">36.76*E265</f>
        <v>220.56</v>
      </c>
      <c r="L265" s="38">
        <f t="shared" si="258"/>
        <v>1066.04</v>
      </c>
      <c r="M265" s="20">
        <f t="shared" si="258"/>
        <v>1654.1999999999998</v>
      </c>
      <c r="P265" s="24"/>
    </row>
    <row r="266" spans="1:16" x14ac:dyDescent="0.35">
      <c r="C266" s="25"/>
      <c r="D266" s="26" t="s">
        <v>1378</v>
      </c>
      <c r="E266" s="40">
        <v>8</v>
      </c>
      <c r="F266" s="41">
        <v>41</v>
      </c>
      <c r="G266" s="29">
        <v>45</v>
      </c>
      <c r="H266" s="30">
        <v>196</v>
      </c>
      <c r="I266" s="31">
        <v>949</v>
      </c>
      <c r="J266" s="32">
        <v>1045</v>
      </c>
      <c r="K266" s="40">
        <f t="shared" si="259"/>
        <v>294.08</v>
      </c>
      <c r="L266" s="41">
        <f t="shared" si="258"/>
        <v>1507.1599999999999</v>
      </c>
      <c r="M266" s="29">
        <f t="shared" si="258"/>
        <v>1654.1999999999998</v>
      </c>
      <c r="N266" s="26"/>
      <c r="O266" s="26"/>
      <c r="P266" s="33"/>
    </row>
    <row r="267" spans="1:16" x14ac:dyDescent="0.35">
      <c r="C267" s="8" t="str">
        <f>'To be deleted'!AO18</f>
        <v>Leather Goods</v>
      </c>
      <c r="D267" s="9" t="s">
        <v>1375</v>
      </c>
      <c r="E267" s="34">
        <v>0</v>
      </c>
      <c r="F267" s="35">
        <v>2</v>
      </c>
      <c r="G267" s="12">
        <v>3</v>
      </c>
      <c r="H267" s="13">
        <v>17</v>
      </c>
      <c r="I267" s="14">
        <v>82</v>
      </c>
      <c r="J267" s="15">
        <v>183</v>
      </c>
      <c r="K267" s="34">
        <f>48.3*E267</f>
        <v>0</v>
      </c>
      <c r="L267" s="35">
        <f t="shared" ref="L267:M269" si="260">48.3*F267</f>
        <v>96.6</v>
      </c>
      <c r="M267" s="12">
        <f t="shared" si="260"/>
        <v>144.89999999999998</v>
      </c>
      <c r="N267" s="9"/>
      <c r="O267" s="9"/>
      <c r="P267" s="16"/>
    </row>
    <row r="268" spans="1:16" x14ac:dyDescent="0.35">
      <c r="D268" t="s">
        <v>1377</v>
      </c>
      <c r="E268" s="37">
        <v>0</v>
      </c>
      <c r="F268" s="38">
        <v>2</v>
      </c>
      <c r="G268" s="20">
        <v>4</v>
      </c>
      <c r="H268" s="21">
        <v>27</v>
      </c>
      <c r="I268" s="22">
        <v>132</v>
      </c>
      <c r="J268" s="23">
        <v>192</v>
      </c>
      <c r="K268" s="37">
        <f t="shared" ref="K268:K269" si="261">48.3*E268</f>
        <v>0</v>
      </c>
      <c r="L268" s="38">
        <f t="shared" si="260"/>
        <v>96.6</v>
      </c>
      <c r="M268" s="20">
        <f t="shared" si="260"/>
        <v>193.2</v>
      </c>
      <c r="P268" s="24"/>
    </row>
    <row r="269" spans="1:16" x14ac:dyDescent="0.35">
      <c r="C269" s="25"/>
      <c r="D269" s="26" t="s">
        <v>1378</v>
      </c>
      <c r="E269" s="40">
        <v>1</v>
      </c>
      <c r="F269" s="41">
        <v>3</v>
      </c>
      <c r="G269" s="29">
        <v>4</v>
      </c>
      <c r="H269" s="30">
        <v>37</v>
      </c>
      <c r="I269" s="31">
        <v>183</v>
      </c>
      <c r="J269" s="32">
        <v>200</v>
      </c>
      <c r="K269" s="40">
        <f t="shared" si="261"/>
        <v>48.3</v>
      </c>
      <c r="L269" s="41">
        <f t="shared" si="260"/>
        <v>144.89999999999998</v>
      </c>
      <c r="M269" s="29">
        <f t="shared" si="260"/>
        <v>193.2</v>
      </c>
      <c r="N269" s="26"/>
      <c r="O269" s="26"/>
      <c r="P269" s="33"/>
    </row>
    <row r="270" spans="1:16" x14ac:dyDescent="0.35">
      <c r="C270" s="8" t="str">
        <f>'To be deleted'!AP18</f>
        <v>Chemicals</v>
      </c>
      <c r="D270" s="9" t="s">
        <v>1375</v>
      </c>
      <c r="E270" s="34">
        <v>0</v>
      </c>
      <c r="F270" s="35">
        <v>1</v>
      </c>
      <c r="G270" s="12">
        <v>2</v>
      </c>
      <c r="H270" s="13">
        <v>27</v>
      </c>
      <c r="I270" s="14">
        <v>112</v>
      </c>
      <c r="J270" s="15">
        <v>266</v>
      </c>
      <c r="K270" s="34">
        <f>223.17*E270</f>
        <v>0</v>
      </c>
      <c r="L270" s="35">
        <f t="shared" ref="L270:M272" si="262">223.17*F270</f>
        <v>223.17</v>
      </c>
      <c r="M270" s="12">
        <f t="shared" si="262"/>
        <v>446.34</v>
      </c>
      <c r="N270" s="9"/>
      <c r="O270" s="9"/>
      <c r="P270" s="16"/>
    </row>
    <row r="271" spans="1:16" x14ac:dyDescent="0.35">
      <c r="D271" t="s">
        <v>1377</v>
      </c>
      <c r="E271" s="37">
        <v>0</v>
      </c>
      <c r="F271" s="38">
        <v>1</v>
      </c>
      <c r="G271" s="20">
        <v>2</v>
      </c>
      <c r="H271" s="21">
        <v>43</v>
      </c>
      <c r="I271" s="22">
        <v>180</v>
      </c>
      <c r="J271" s="23">
        <v>271</v>
      </c>
      <c r="K271" s="37">
        <f t="shared" ref="K271:K272" si="263">223.17*E271</f>
        <v>0</v>
      </c>
      <c r="L271" s="38">
        <f t="shared" si="262"/>
        <v>223.17</v>
      </c>
      <c r="M271" s="20">
        <f t="shared" si="262"/>
        <v>446.34</v>
      </c>
      <c r="P271" s="24"/>
    </row>
    <row r="272" spans="1:16" x14ac:dyDescent="0.35">
      <c r="C272" s="25"/>
      <c r="D272" s="26" t="s">
        <v>1378</v>
      </c>
      <c r="E272" s="40">
        <v>0</v>
      </c>
      <c r="F272" s="41">
        <v>2</v>
      </c>
      <c r="G272" s="29">
        <v>2</v>
      </c>
      <c r="H272" s="30">
        <v>60</v>
      </c>
      <c r="I272" s="31">
        <v>250</v>
      </c>
      <c r="J272" s="32">
        <v>275</v>
      </c>
      <c r="K272" s="40">
        <f t="shared" si="263"/>
        <v>0</v>
      </c>
      <c r="L272" s="41">
        <f t="shared" si="262"/>
        <v>446.34</v>
      </c>
      <c r="M272" s="29">
        <f t="shared" si="262"/>
        <v>446.34</v>
      </c>
      <c r="N272" s="26"/>
      <c r="O272" s="26"/>
      <c r="P272" s="33"/>
    </row>
    <row r="273" spans="1:16" x14ac:dyDescent="0.35">
      <c r="C273" s="8" t="str">
        <f>'To be deleted'!AQ18</f>
        <v>Non-Metallic mineral products</v>
      </c>
      <c r="D273" s="9" t="s">
        <v>1375</v>
      </c>
      <c r="E273" s="34">
        <v>2</v>
      </c>
      <c r="F273" s="35">
        <v>10</v>
      </c>
      <c r="G273" s="12">
        <v>27</v>
      </c>
      <c r="H273" s="13">
        <v>2181</v>
      </c>
      <c r="I273" s="14">
        <v>5895</v>
      </c>
      <c r="J273" s="15">
        <v>16231</v>
      </c>
      <c r="K273" s="34">
        <f>58.82*E273</f>
        <v>117.64</v>
      </c>
      <c r="L273" s="35">
        <f t="shared" ref="L273:M275" si="264">58.82*F273</f>
        <v>588.20000000000005</v>
      </c>
      <c r="M273" s="12">
        <f t="shared" si="264"/>
        <v>1588.14</v>
      </c>
      <c r="N273" s="9"/>
      <c r="O273" s="9"/>
      <c r="P273" s="16"/>
    </row>
    <row r="274" spans="1:16" x14ac:dyDescent="0.35">
      <c r="D274" t="s">
        <v>1377</v>
      </c>
      <c r="E274" s="37">
        <v>3</v>
      </c>
      <c r="F274" s="38">
        <v>16</v>
      </c>
      <c r="G274" s="20">
        <v>25</v>
      </c>
      <c r="H274" s="21">
        <v>3393</v>
      </c>
      <c r="I274" s="22">
        <v>9482</v>
      </c>
      <c r="J274" s="23">
        <v>15299</v>
      </c>
      <c r="K274" s="37">
        <f t="shared" ref="K274:K275" si="265">58.82*E274</f>
        <v>176.46</v>
      </c>
      <c r="L274" s="38">
        <f t="shared" si="264"/>
        <v>941.12</v>
      </c>
      <c r="M274" s="20">
        <f t="shared" si="264"/>
        <v>1470.5</v>
      </c>
      <c r="P274" s="24"/>
    </row>
    <row r="275" spans="1:16" x14ac:dyDescent="0.35">
      <c r="C275" s="25"/>
      <c r="D275" s="26" t="s">
        <v>1378</v>
      </c>
      <c r="E275" s="40">
        <v>4</v>
      </c>
      <c r="F275" s="41">
        <v>22</v>
      </c>
      <c r="G275" s="29">
        <v>24</v>
      </c>
      <c r="H275" s="30">
        <v>2703</v>
      </c>
      <c r="I275" s="31">
        <v>13209</v>
      </c>
      <c r="J275" s="23">
        <v>15299</v>
      </c>
      <c r="K275" s="40">
        <f t="shared" si="265"/>
        <v>235.28</v>
      </c>
      <c r="L275" s="41">
        <f t="shared" si="264"/>
        <v>1294.04</v>
      </c>
      <c r="M275" s="29">
        <f t="shared" si="264"/>
        <v>1411.68</v>
      </c>
      <c r="N275" s="26"/>
      <c r="O275" s="26"/>
      <c r="P275" s="33"/>
    </row>
    <row r="276" spans="1:16" x14ac:dyDescent="0.35">
      <c r="C276" s="8" t="str">
        <f>'To be deleted'!AR18</f>
        <v>Electrical and Electronics</v>
      </c>
      <c r="D276" s="9" t="s">
        <v>1375</v>
      </c>
      <c r="E276" s="34">
        <v>0</v>
      </c>
      <c r="F276" s="35">
        <v>1</v>
      </c>
      <c r="G276" s="12">
        <v>3</v>
      </c>
      <c r="H276" s="13">
        <v>91</v>
      </c>
      <c r="I276" s="14">
        <v>253</v>
      </c>
      <c r="J276" s="15">
        <v>704</v>
      </c>
      <c r="K276" s="34">
        <f>176.13*E276</f>
        <v>0</v>
      </c>
      <c r="L276" s="35">
        <f t="shared" ref="L276:M278" si="266">176.13*F276</f>
        <v>176.13</v>
      </c>
      <c r="M276" s="12">
        <f t="shared" si="266"/>
        <v>528.39</v>
      </c>
      <c r="N276" s="9"/>
      <c r="O276" s="9"/>
      <c r="P276" s="16"/>
    </row>
    <row r="277" spans="1:16" x14ac:dyDescent="0.35">
      <c r="D277" t="s">
        <v>1377</v>
      </c>
      <c r="E277" s="37">
        <v>0</v>
      </c>
      <c r="F277" s="38">
        <v>2</v>
      </c>
      <c r="G277" s="20">
        <v>3</v>
      </c>
      <c r="H277" s="21">
        <v>80</v>
      </c>
      <c r="I277" s="22">
        <v>409</v>
      </c>
      <c r="J277" s="23">
        <v>662</v>
      </c>
      <c r="K277" s="37">
        <f t="shared" ref="K277:K278" si="267">176.13*E277</f>
        <v>0</v>
      </c>
      <c r="L277" s="38">
        <f t="shared" si="266"/>
        <v>352.26</v>
      </c>
      <c r="M277" s="20">
        <f t="shared" si="266"/>
        <v>528.39</v>
      </c>
      <c r="P277" s="24"/>
    </row>
    <row r="278" spans="1:16" x14ac:dyDescent="0.35">
      <c r="C278" s="25"/>
      <c r="D278" s="26" t="s">
        <v>1378</v>
      </c>
      <c r="E278" s="40">
        <v>0</v>
      </c>
      <c r="F278" s="41">
        <v>2</v>
      </c>
      <c r="G278" s="29">
        <v>3</v>
      </c>
      <c r="H278" s="30">
        <v>111</v>
      </c>
      <c r="I278" s="31">
        <v>570</v>
      </c>
      <c r="J278" s="32">
        <v>636</v>
      </c>
      <c r="K278" s="40">
        <f t="shared" si="267"/>
        <v>0</v>
      </c>
      <c r="L278" s="41">
        <f t="shared" si="266"/>
        <v>352.26</v>
      </c>
      <c r="M278" s="29">
        <f t="shared" si="266"/>
        <v>528.39</v>
      </c>
      <c r="N278" s="26"/>
      <c r="O278" s="26"/>
      <c r="P278" s="33"/>
    </row>
    <row r="279" spans="1:16" x14ac:dyDescent="0.35">
      <c r="C279" s="8" t="str">
        <f>'To be deleted'!AS18</f>
        <v>Pharmaceuticals</v>
      </c>
      <c r="D279" s="9" t="s">
        <v>1375</v>
      </c>
      <c r="E279" s="34">
        <v>1</v>
      </c>
      <c r="F279" s="35">
        <v>3</v>
      </c>
      <c r="G279" s="12">
        <v>7</v>
      </c>
      <c r="H279" s="13">
        <v>92</v>
      </c>
      <c r="I279" s="14">
        <v>431</v>
      </c>
      <c r="J279" s="15">
        <v>1073</v>
      </c>
      <c r="K279" s="34">
        <f>153.13*E279</f>
        <v>153.13</v>
      </c>
      <c r="L279" s="35">
        <f t="shared" ref="L279:M281" si="268">153.13*F279</f>
        <v>459.39</v>
      </c>
      <c r="M279" s="12">
        <f t="shared" si="268"/>
        <v>1071.9099999999999</v>
      </c>
      <c r="N279" s="9"/>
      <c r="O279" s="9"/>
      <c r="P279" s="16"/>
    </row>
    <row r="280" spans="1:16" x14ac:dyDescent="0.35">
      <c r="D280" t="s">
        <v>1377</v>
      </c>
      <c r="E280" s="37">
        <v>1</v>
      </c>
      <c r="F280" s="38">
        <v>5</v>
      </c>
      <c r="G280" s="20">
        <v>7</v>
      </c>
      <c r="H280" s="21">
        <v>149</v>
      </c>
      <c r="I280" s="22">
        <v>693</v>
      </c>
      <c r="J280" s="23">
        <v>1064</v>
      </c>
      <c r="K280" s="37">
        <f t="shared" ref="K280:K281" si="269">153.13*E280</f>
        <v>153.13</v>
      </c>
      <c r="L280" s="38">
        <f t="shared" si="268"/>
        <v>765.65</v>
      </c>
      <c r="M280" s="20">
        <f t="shared" si="268"/>
        <v>1071.9099999999999</v>
      </c>
      <c r="P280" s="24"/>
    </row>
    <row r="281" spans="1:16" x14ac:dyDescent="0.35">
      <c r="C281" s="25"/>
      <c r="D281" s="26" t="s">
        <v>1378</v>
      </c>
      <c r="E281" s="40">
        <v>1</v>
      </c>
      <c r="F281" s="41">
        <v>6</v>
      </c>
      <c r="G281" s="29">
        <v>7</v>
      </c>
      <c r="H281" s="30">
        <v>208</v>
      </c>
      <c r="I281" s="31">
        <v>965</v>
      </c>
      <c r="J281" s="32">
        <v>1064</v>
      </c>
      <c r="K281" s="40">
        <f t="shared" si="269"/>
        <v>153.13</v>
      </c>
      <c r="L281" s="41">
        <f t="shared" si="268"/>
        <v>918.78</v>
      </c>
      <c r="M281" s="29">
        <f t="shared" si="268"/>
        <v>1071.9099999999999</v>
      </c>
      <c r="N281" s="26"/>
      <c r="O281" s="26"/>
      <c r="P281" s="33"/>
    </row>
    <row r="283" spans="1:16" x14ac:dyDescent="0.35">
      <c r="A283">
        <v>17</v>
      </c>
      <c r="B283" t="str">
        <f>'To be deleted'!B19</f>
        <v>Nawabganj Economic Zone</v>
      </c>
      <c r="C283" s="8" t="str">
        <f>'To be deleted'!AM19</f>
        <v>Textiles and RMG</v>
      </c>
      <c r="D283" s="9" t="s">
        <v>1375</v>
      </c>
      <c r="E283" s="34">
        <v>11</v>
      </c>
      <c r="F283" s="35">
        <v>94</v>
      </c>
      <c r="G283" s="12">
        <v>189</v>
      </c>
      <c r="H283" s="13">
        <v>1520</v>
      </c>
      <c r="I283" s="14">
        <v>13319</v>
      </c>
      <c r="J283" s="15">
        <v>26861</v>
      </c>
      <c r="K283" s="34">
        <f>35.36*E283</f>
        <v>388.96</v>
      </c>
      <c r="L283" s="35">
        <f t="shared" ref="L283:M285" si="270">35.36*F283</f>
        <v>3323.84</v>
      </c>
      <c r="M283" s="12">
        <f t="shared" si="270"/>
        <v>6683.04</v>
      </c>
      <c r="N283" s="9"/>
      <c r="O283" s="9"/>
      <c r="P283" s="16"/>
    </row>
    <row r="284" spans="1:16" x14ac:dyDescent="0.35">
      <c r="D284" t="s">
        <v>1377</v>
      </c>
      <c r="E284" s="37">
        <v>21</v>
      </c>
      <c r="F284" s="38">
        <v>148</v>
      </c>
      <c r="G284" s="20">
        <v>304</v>
      </c>
      <c r="H284" s="21">
        <v>3030</v>
      </c>
      <c r="I284" s="22">
        <v>21012</v>
      </c>
      <c r="J284" s="23">
        <v>43099</v>
      </c>
      <c r="K284" s="37">
        <f t="shared" ref="K284:K285" si="271">35.36*E284</f>
        <v>742.56</v>
      </c>
      <c r="L284" s="38">
        <f t="shared" si="270"/>
        <v>5233.28</v>
      </c>
      <c r="M284" s="20">
        <f t="shared" si="270"/>
        <v>10749.44</v>
      </c>
      <c r="P284" s="24"/>
    </row>
    <row r="285" spans="1:16" x14ac:dyDescent="0.35">
      <c r="C285" s="25"/>
      <c r="D285" s="26" t="s">
        <v>1378</v>
      </c>
      <c r="E285" s="40">
        <v>33</v>
      </c>
      <c r="F285" s="41">
        <v>205</v>
      </c>
      <c r="G285" s="29">
        <v>337</v>
      </c>
      <c r="H285" s="30">
        <v>4630</v>
      </c>
      <c r="I285" s="31">
        <v>29159</v>
      </c>
      <c r="J285" s="32">
        <v>47858</v>
      </c>
      <c r="K285" s="40">
        <f t="shared" si="271"/>
        <v>1166.8799999999999</v>
      </c>
      <c r="L285" s="41">
        <f t="shared" si="270"/>
        <v>7248.8</v>
      </c>
      <c r="M285" s="29">
        <f t="shared" si="270"/>
        <v>11916.32</v>
      </c>
      <c r="N285" s="26"/>
      <c r="O285" s="26"/>
      <c r="P285" s="33"/>
    </row>
    <row r="286" spans="1:16" x14ac:dyDescent="0.35">
      <c r="C286" s="8" t="str">
        <f>'To be deleted'!AN19</f>
        <v>Food and Beverage</v>
      </c>
      <c r="D286" s="9" t="s">
        <v>1375</v>
      </c>
      <c r="E286" s="34">
        <v>4</v>
      </c>
      <c r="F286" s="35">
        <v>30</v>
      </c>
      <c r="G286" s="12">
        <v>61</v>
      </c>
      <c r="H286" s="13">
        <v>84</v>
      </c>
      <c r="I286" s="14">
        <v>698</v>
      </c>
      <c r="J286" s="15">
        <v>1411</v>
      </c>
      <c r="K286" s="34">
        <f>36.76*E286</f>
        <v>147.04</v>
      </c>
      <c r="L286" s="35">
        <f t="shared" ref="L286:M288" si="272">36.76*F286</f>
        <v>1102.8</v>
      </c>
      <c r="M286" s="12">
        <f t="shared" si="272"/>
        <v>2242.3599999999997</v>
      </c>
      <c r="N286" s="9"/>
      <c r="O286" s="9"/>
      <c r="P286" s="16"/>
    </row>
    <row r="287" spans="1:16" x14ac:dyDescent="0.35">
      <c r="D287" t="s">
        <v>1377</v>
      </c>
      <c r="E287" s="37">
        <v>7</v>
      </c>
      <c r="F287" s="38">
        <v>48</v>
      </c>
      <c r="G287" s="20">
        <v>98</v>
      </c>
      <c r="H287" s="21">
        <v>168</v>
      </c>
      <c r="I287" s="22">
        <v>1106</v>
      </c>
      <c r="J287" s="23">
        <v>2269</v>
      </c>
      <c r="K287" s="37">
        <f t="shared" ref="K287:K288" si="273">36.76*E287</f>
        <v>257.32</v>
      </c>
      <c r="L287" s="38">
        <f t="shared" si="272"/>
        <v>1764.48</v>
      </c>
      <c r="M287" s="20">
        <f t="shared" si="272"/>
        <v>3602.48</v>
      </c>
      <c r="P287" s="24"/>
    </row>
    <row r="288" spans="1:16" x14ac:dyDescent="0.35">
      <c r="C288" s="25"/>
      <c r="D288" s="26" t="s">
        <v>1378</v>
      </c>
      <c r="E288" s="40">
        <v>11</v>
      </c>
      <c r="F288" s="41">
        <v>67</v>
      </c>
      <c r="G288" s="29">
        <v>109</v>
      </c>
      <c r="H288" s="30">
        <v>258</v>
      </c>
      <c r="I288" s="31">
        <v>1539</v>
      </c>
      <c r="J288" s="32">
        <v>2515</v>
      </c>
      <c r="K288" s="40">
        <f t="shared" si="273"/>
        <v>404.35999999999996</v>
      </c>
      <c r="L288" s="41">
        <f t="shared" si="272"/>
        <v>2462.92</v>
      </c>
      <c r="M288" s="29">
        <f t="shared" si="272"/>
        <v>4006.8399999999997</v>
      </c>
      <c r="N288" s="26"/>
      <c r="O288" s="26"/>
      <c r="P288" s="33"/>
    </row>
    <row r="289" spans="3:16" x14ac:dyDescent="0.35">
      <c r="C289" s="8" t="str">
        <f>'To be deleted'!AO19</f>
        <v>Leather Goods</v>
      </c>
      <c r="D289" s="9" t="s">
        <v>1375</v>
      </c>
      <c r="E289" s="34">
        <v>0</v>
      </c>
      <c r="F289" s="35">
        <v>2</v>
      </c>
      <c r="G289" s="12">
        <v>5</v>
      </c>
      <c r="H289" s="13">
        <v>16</v>
      </c>
      <c r="I289" s="14">
        <v>135</v>
      </c>
      <c r="J289" s="15">
        <v>254</v>
      </c>
      <c r="K289" s="34">
        <f>48.3*E289</f>
        <v>0</v>
      </c>
      <c r="L289" s="35">
        <f t="shared" ref="L289:M291" si="274">48.3*F289</f>
        <v>96.6</v>
      </c>
      <c r="M289" s="12">
        <f t="shared" si="274"/>
        <v>241.5</v>
      </c>
      <c r="N289" s="9"/>
      <c r="O289" s="9"/>
      <c r="P289" s="16"/>
    </row>
    <row r="290" spans="3:16" x14ac:dyDescent="0.35">
      <c r="D290" t="s">
        <v>1377</v>
      </c>
      <c r="E290" s="37">
        <v>1</v>
      </c>
      <c r="F290" s="38">
        <v>4</v>
      </c>
      <c r="G290" s="20">
        <v>8</v>
      </c>
      <c r="H290" s="21">
        <v>32</v>
      </c>
      <c r="I290" s="22">
        <v>214</v>
      </c>
      <c r="J290" s="23">
        <v>407</v>
      </c>
      <c r="K290" s="37">
        <f t="shared" ref="K290:K291" si="275">48.3*E290</f>
        <v>48.3</v>
      </c>
      <c r="L290" s="38">
        <f t="shared" si="274"/>
        <v>193.2</v>
      </c>
      <c r="M290" s="20">
        <f t="shared" si="274"/>
        <v>386.4</v>
      </c>
      <c r="P290" s="24"/>
    </row>
    <row r="291" spans="3:16" x14ac:dyDescent="0.35">
      <c r="C291" s="25"/>
      <c r="D291" s="26" t="s">
        <v>1378</v>
      </c>
      <c r="E291" s="40">
        <v>1</v>
      </c>
      <c r="F291" s="41">
        <v>5</v>
      </c>
      <c r="G291" s="29">
        <v>9</v>
      </c>
      <c r="H291" s="30">
        <v>49</v>
      </c>
      <c r="I291" s="31">
        <v>297</v>
      </c>
      <c r="J291" s="32">
        <v>2515</v>
      </c>
      <c r="K291" s="40">
        <f t="shared" si="275"/>
        <v>48.3</v>
      </c>
      <c r="L291" s="41">
        <f t="shared" si="274"/>
        <v>241.5</v>
      </c>
      <c r="M291" s="29">
        <f t="shared" si="274"/>
        <v>434.7</v>
      </c>
      <c r="N291" s="26"/>
      <c r="O291" s="26"/>
      <c r="P291" s="33"/>
    </row>
    <row r="292" spans="3:16" x14ac:dyDescent="0.35">
      <c r="C292" s="8" t="str">
        <f>'To be deleted'!AP19</f>
        <v>Plastic and Rubber</v>
      </c>
      <c r="D292" s="9" t="s">
        <v>1375</v>
      </c>
      <c r="E292" s="34">
        <v>0</v>
      </c>
      <c r="F292" s="35">
        <v>1</v>
      </c>
      <c r="G292" s="12">
        <v>1</v>
      </c>
      <c r="H292" s="13">
        <v>11</v>
      </c>
      <c r="I292" s="14">
        <v>86</v>
      </c>
      <c r="J292" s="15">
        <v>163</v>
      </c>
      <c r="K292" s="34">
        <f>111.58*E292</f>
        <v>0</v>
      </c>
      <c r="L292" s="35">
        <f t="shared" ref="L292:M294" si="276">111.58*F292</f>
        <v>111.58</v>
      </c>
      <c r="M292" s="12">
        <f t="shared" si="276"/>
        <v>111.58</v>
      </c>
      <c r="N292" s="9"/>
      <c r="O292" s="9"/>
      <c r="P292" s="16"/>
    </row>
    <row r="293" spans="3:16" x14ac:dyDescent="0.35">
      <c r="D293" t="s">
        <v>1377</v>
      </c>
      <c r="E293" s="37">
        <v>0</v>
      </c>
      <c r="F293" s="38">
        <v>1</v>
      </c>
      <c r="G293" s="20">
        <v>2</v>
      </c>
      <c r="H293" s="21">
        <v>21</v>
      </c>
      <c r="I293" s="22">
        <v>137</v>
      </c>
      <c r="J293" s="23">
        <v>262</v>
      </c>
      <c r="K293" s="37">
        <f t="shared" ref="K293:K294" si="277">111.58*E293</f>
        <v>0</v>
      </c>
      <c r="L293" s="38">
        <f t="shared" si="276"/>
        <v>111.58</v>
      </c>
      <c r="M293" s="20">
        <f t="shared" si="276"/>
        <v>223.16</v>
      </c>
      <c r="P293" s="24"/>
    </row>
    <row r="294" spans="3:16" x14ac:dyDescent="0.35">
      <c r="C294" s="25"/>
      <c r="D294" s="26" t="s">
        <v>1378</v>
      </c>
      <c r="E294" s="40">
        <v>0</v>
      </c>
      <c r="F294" s="41">
        <v>1</v>
      </c>
      <c r="G294" s="29">
        <v>2</v>
      </c>
      <c r="H294" s="30">
        <v>32</v>
      </c>
      <c r="I294" s="31">
        <v>190</v>
      </c>
      <c r="J294" s="32">
        <v>297</v>
      </c>
      <c r="K294" s="40">
        <f t="shared" si="277"/>
        <v>0</v>
      </c>
      <c r="L294" s="41">
        <f t="shared" si="276"/>
        <v>111.58</v>
      </c>
      <c r="M294" s="29">
        <f t="shared" si="276"/>
        <v>223.16</v>
      </c>
      <c r="N294" s="26"/>
      <c r="O294" s="26"/>
      <c r="P294" s="33"/>
    </row>
    <row r="295" spans="3:16" x14ac:dyDescent="0.35">
      <c r="C295" s="8" t="str">
        <f>'To be deleted'!AQ19</f>
        <v>Chemicals</v>
      </c>
      <c r="D295" s="9" t="s">
        <v>1375</v>
      </c>
      <c r="E295" s="34">
        <v>0</v>
      </c>
      <c r="F295" s="35">
        <v>1</v>
      </c>
      <c r="G295" s="12">
        <v>2</v>
      </c>
      <c r="H295" s="13">
        <v>25</v>
      </c>
      <c r="I295" s="14">
        <v>181</v>
      </c>
      <c r="J295" s="15">
        <v>362</v>
      </c>
      <c r="K295" s="34">
        <f>223.17*E295</f>
        <v>0</v>
      </c>
      <c r="L295" s="35">
        <f t="shared" ref="L295:M297" si="278">223.17*F295</f>
        <v>223.17</v>
      </c>
      <c r="M295" s="12">
        <f t="shared" si="278"/>
        <v>446.34</v>
      </c>
      <c r="N295" s="9"/>
      <c r="O295" s="9"/>
      <c r="P295" s="16"/>
    </row>
    <row r="296" spans="3:16" x14ac:dyDescent="0.35">
      <c r="D296" t="s">
        <v>1377</v>
      </c>
      <c r="E296" s="37">
        <v>0</v>
      </c>
      <c r="F296" s="38">
        <v>2</v>
      </c>
      <c r="G296" s="20">
        <v>4</v>
      </c>
      <c r="H296" s="21">
        <v>51</v>
      </c>
      <c r="I296" s="22">
        <v>288</v>
      </c>
      <c r="J296" s="23">
        <v>584</v>
      </c>
      <c r="K296" s="37">
        <f t="shared" ref="K296:K297" si="279">223.17*E296</f>
        <v>0</v>
      </c>
      <c r="L296" s="38">
        <f t="shared" si="278"/>
        <v>446.34</v>
      </c>
      <c r="M296" s="20">
        <f t="shared" si="278"/>
        <v>892.68</v>
      </c>
      <c r="P296" s="24"/>
    </row>
    <row r="297" spans="3:16" x14ac:dyDescent="0.35">
      <c r="C297" s="25"/>
      <c r="D297" s="26" t="s">
        <v>1378</v>
      </c>
      <c r="E297" s="40">
        <v>0</v>
      </c>
      <c r="F297" s="41">
        <v>2</v>
      </c>
      <c r="G297" s="29">
        <v>4</v>
      </c>
      <c r="H297" s="30">
        <v>78</v>
      </c>
      <c r="I297" s="31">
        <v>402</v>
      </c>
      <c r="J297" s="32">
        <v>652</v>
      </c>
      <c r="K297" s="40">
        <f t="shared" si="279"/>
        <v>0</v>
      </c>
      <c r="L297" s="41">
        <f t="shared" si="278"/>
        <v>446.34</v>
      </c>
      <c r="M297" s="29">
        <f t="shared" si="278"/>
        <v>892.68</v>
      </c>
      <c r="N297" s="26"/>
      <c r="O297" s="26"/>
      <c r="P297" s="33"/>
    </row>
    <row r="298" spans="3:16" x14ac:dyDescent="0.35">
      <c r="C298" s="8" t="str">
        <f>'To be deleted'!AR19</f>
        <v>Non-Metallic mineral products</v>
      </c>
      <c r="D298" s="9" t="s">
        <v>1375</v>
      </c>
      <c r="E298" s="34">
        <v>2</v>
      </c>
      <c r="F298" s="35">
        <v>16</v>
      </c>
      <c r="G298" s="12">
        <v>36</v>
      </c>
      <c r="H298" s="13">
        <v>1156</v>
      </c>
      <c r="I298" s="14">
        <v>9713</v>
      </c>
      <c r="J298" s="15">
        <v>21839</v>
      </c>
      <c r="K298" s="34">
        <f>58.82*E298</f>
        <v>117.64</v>
      </c>
      <c r="L298" s="35">
        <f t="shared" ref="L298:M300" si="280">58.82*F298</f>
        <v>941.12</v>
      </c>
      <c r="M298" s="12">
        <f t="shared" si="280"/>
        <v>2117.52</v>
      </c>
      <c r="N298" s="9"/>
      <c r="O298" s="9"/>
      <c r="P298" s="16"/>
    </row>
    <row r="299" spans="3:16" x14ac:dyDescent="0.35">
      <c r="D299" t="s">
        <v>1377</v>
      </c>
      <c r="E299" s="37">
        <v>4</v>
      </c>
      <c r="F299" s="38">
        <v>26</v>
      </c>
      <c r="G299" s="20">
        <v>58</v>
      </c>
      <c r="H299" s="21">
        <v>2308</v>
      </c>
      <c r="I299" s="22">
        <v>15386</v>
      </c>
      <c r="J299" s="23">
        <v>35137</v>
      </c>
      <c r="K299" s="37">
        <f t="shared" ref="K299:K300" si="281">58.82*E299</f>
        <v>235.28</v>
      </c>
      <c r="L299" s="38">
        <f t="shared" si="280"/>
        <v>1529.32</v>
      </c>
      <c r="M299" s="20">
        <f t="shared" si="280"/>
        <v>3411.56</v>
      </c>
      <c r="P299" s="24"/>
    </row>
    <row r="300" spans="3:16" x14ac:dyDescent="0.35">
      <c r="C300" s="25"/>
      <c r="D300" s="26" t="s">
        <v>1378</v>
      </c>
      <c r="E300" s="40">
        <v>6</v>
      </c>
      <c r="F300" s="41">
        <v>35</v>
      </c>
      <c r="G300" s="29">
        <v>62</v>
      </c>
      <c r="H300" s="30">
        <v>3528</v>
      </c>
      <c r="I300" s="31">
        <v>21393</v>
      </c>
      <c r="J300" s="32">
        <v>37559</v>
      </c>
      <c r="K300" s="40">
        <f t="shared" si="281"/>
        <v>352.92</v>
      </c>
      <c r="L300" s="41">
        <f t="shared" si="280"/>
        <v>2058.6999999999998</v>
      </c>
      <c r="M300" s="29">
        <f t="shared" si="280"/>
        <v>3646.84</v>
      </c>
      <c r="N300" s="26"/>
      <c r="O300" s="26"/>
      <c r="P300" s="33"/>
    </row>
    <row r="301" spans="3:16" x14ac:dyDescent="0.35">
      <c r="C301" s="8" t="str">
        <f>'To be deleted'!AS19</f>
        <v>Electrical and Electronics</v>
      </c>
      <c r="D301" s="9" t="s">
        <v>1375</v>
      </c>
      <c r="E301" s="34">
        <v>0</v>
      </c>
      <c r="F301" s="35">
        <v>2</v>
      </c>
      <c r="G301" s="12">
        <v>4</v>
      </c>
      <c r="H301" s="13">
        <v>47</v>
      </c>
      <c r="I301" s="14">
        <v>421</v>
      </c>
      <c r="J301" s="15">
        <v>950</v>
      </c>
      <c r="K301" s="34">
        <f>176.13*E301</f>
        <v>0</v>
      </c>
      <c r="L301" s="35">
        <f t="shared" ref="L301:M303" si="282">176.13*F301</f>
        <v>352.26</v>
      </c>
      <c r="M301" s="12">
        <f t="shared" si="282"/>
        <v>704.52</v>
      </c>
      <c r="N301" s="9"/>
      <c r="O301" s="9"/>
      <c r="P301" s="16"/>
    </row>
    <row r="302" spans="3:16" x14ac:dyDescent="0.35">
      <c r="D302" t="s">
        <v>1377</v>
      </c>
      <c r="E302" s="37">
        <v>0</v>
      </c>
      <c r="F302" s="38">
        <v>3</v>
      </c>
      <c r="G302" s="20">
        <v>6</v>
      </c>
      <c r="H302" s="21">
        <v>96</v>
      </c>
      <c r="I302" s="22">
        <v>666</v>
      </c>
      <c r="J302" s="23">
        <v>1528</v>
      </c>
      <c r="K302" s="37">
        <f t="shared" ref="K302:K303" si="283">176.13*E302</f>
        <v>0</v>
      </c>
      <c r="L302" s="38">
        <f t="shared" si="282"/>
        <v>528.39</v>
      </c>
      <c r="M302" s="20">
        <f t="shared" si="282"/>
        <v>1056.78</v>
      </c>
      <c r="P302" s="24"/>
    </row>
    <row r="303" spans="3:16" x14ac:dyDescent="0.35">
      <c r="C303" s="25"/>
      <c r="D303" s="26" t="s">
        <v>1378</v>
      </c>
      <c r="E303" s="40">
        <v>1</v>
      </c>
      <c r="F303" s="41">
        <v>4</v>
      </c>
      <c r="G303" s="29">
        <v>6</v>
      </c>
      <c r="H303" s="30">
        <v>147</v>
      </c>
      <c r="I303" s="31">
        <v>926</v>
      </c>
      <c r="J303" s="32">
        <v>1632</v>
      </c>
      <c r="K303" s="40">
        <f t="shared" si="283"/>
        <v>176.13</v>
      </c>
      <c r="L303" s="41">
        <f t="shared" si="282"/>
        <v>704.52</v>
      </c>
      <c r="M303" s="29">
        <f t="shared" si="282"/>
        <v>1056.78</v>
      </c>
      <c r="N303" s="26"/>
      <c r="O303" s="26"/>
      <c r="P303" s="33"/>
    </row>
    <row r="304" spans="3:16" x14ac:dyDescent="0.35">
      <c r="C304" s="17" t="str">
        <f>'To be deleted'!AT19</f>
        <v>Pharmaceuticals</v>
      </c>
      <c r="D304" s="9" t="s">
        <v>1375</v>
      </c>
      <c r="E304" s="37">
        <v>1</v>
      </c>
      <c r="F304" s="38">
        <v>5</v>
      </c>
      <c r="G304" s="20">
        <v>10</v>
      </c>
      <c r="H304" s="21">
        <v>89</v>
      </c>
      <c r="I304" s="22">
        <v>715</v>
      </c>
      <c r="J304" s="23">
        <v>1470</v>
      </c>
      <c r="K304" s="34">
        <f>153.13*E304</f>
        <v>153.13</v>
      </c>
      <c r="L304" s="35">
        <f t="shared" ref="L304:M306" si="284">153.13*F304</f>
        <v>765.65</v>
      </c>
      <c r="M304" s="12">
        <f t="shared" si="284"/>
        <v>1531.3</v>
      </c>
      <c r="P304" s="24"/>
    </row>
    <row r="305" spans="1:18" x14ac:dyDescent="0.35">
      <c r="D305" t="s">
        <v>1377</v>
      </c>
      <c r="E305" s="37">
        <v>1</v>
      </c>
      <c r="F305" s="38">
        <v>8</v>
      </c>
      <c r="G305" s="20">
        <v>16</v>
      </c>
      <c r="H305" s="21">
        <v>179</v>
      </c>
      <c r="I305" s="22">
        <v>1129</v>
      </c>
      <c r="J305" s="23">
        <v>2360</v>
      </c>
      <c r="K305" s="37">
        <f t="shared" ref="K305:K306" si="285">153.13*E305</f>
        <v>153.13</v>
      </c>
      <c r="L305" s="38">
        <f t="shared" si="284"/>
        <v>1225.04</v>
      </c>
      <c r="M305" s="20">
        <f t="shared" si="284"/>
        <v>2450.08</v>
      </c>
      <c r="P305" s="24"/>
    </row>
    <row r="306" spans="1:18" x14ac:dyDescent="0.35">
      <c r="D306" s="26" t="s">
        <v>1378</v>
      </c>
      <c r="E306" s="37">
        <v>2</v>
      </c>
      <c r="F306" s="38">
        <v>11</v>
      </c>
      <c r="G306" s="20">
        <v>17</v>
      </c>
      <c r="H306" s="21">
        <v>274</v>
      </c>
      <c r="I306" s="22">
        <v>1569</v>
      </c>
      <c r="J306" s="23">
        <v>2592</v>
      </c>
      <c r="K306" s="40">
        <f t="shared" si="285"/>
        <v>306.26</v>
      </c>
      <c r="L306" s="41">
        <f t="shared" si="284"/>
        <v>1684.4299999999998</v>
      </c>
      <c r="M306" s="29">
        <f t="shared" si="284"/>
        <v>2603.21</v>
      </c>
      <c r="P306" s="24"/>
    </row>
    <row r="307" spans="1:18" x14ac:dyDescent="0.35">
      <c r="C307" s="8" t="str">
        <f>'To be deleted'!AU19</f>
        <v>Light Machinery, Equipment and Furniture</v>
      </c>
      <c r="D307" s="9" t="s">
        <v>1375</v>
      </c>
      <c r="E307" s="34">
        <v>0</v>
      </c>
      <c r="F307" s="35">
        <v>2</v>
      </c>
      <c r="G307" s="12">
        <v>4</v>
      </c>
      <c r="H307" s="13">
        <v>33</v>
      </c>
      <c r="I307" s="14">
        <v>335</v>
      </c>
      <c r="J307" s="15">
        <v>791</v>
      </c>
      <c r="K307" s="34">
        <f>203.25*E307</f>
        <v>0</v>
      </c>
      <c r="L307" s="35">
        <f t="shared" ref="L307:M309" si="286">203.25*F307</f>
        <v>406.5</v>
      </c>
      <c r="M307" s="12">
        <f t="shared" si="286"/>
        <v>813</v>
      </c>
      <c r="N307" s="9"/>
      <c r="O307" s="9"/>
      <c r="P307" s="16"/>
    </row>
    <row r="308" spans="1:18" x14ac:dyDescent="0.35">
      <c r="D308" t="s">
        <v>1377</v>
      </c>
      <c r="E308" s="37">
        <v>0</v>
      </c>
      <c r="F308" s="38">
        <v>3</v>
      </c>
      <c r="G308" s="20">
        <v>7</v>
      </c>
      <c r="H308" s="21">
        <v>66</v>
      </c>
      <c r="I308" s="22">
        <v>525</v>
      </c>
      <c r="J308" s="23">
        <v>1268</v>
      </c>
      <c r="K308" s="37">
        <f t="shared" ref="K308:K309" si="287">203.25*E308</f>
        <v>0</v>
      </c>
      <c r="L308" s="38">
        <f t="shared" si="286"/>
        <v>609.75</v>
      </c>
      <c r="M308" s="20">
        <f t="shared" si="286"/>
        <v>1422.75</v>
      </c>
      <c r="P308" s="24"/>
    </row>
    <row r="309" spans="1:18" x14ac:dyDescent="0.35">
      <c r="C309" s="25"/>
      <c r="D309" s="26" t="s">
        <v>1378</v>
      </c>
      <c r="E309" s="40">
        <v>1</v>
      </c>
      <c r="F309" s="41">
        <v>4</v>
      </c>
      <c r="G309" s="29">
        <v>7</v>
      </c>
      <c r="H309" s="30">
        <v>101</v>
      </c>
      <c r="I309" s="31">
        <v>727</v>
      </c>
      <c r="J309" s="32">
        <v>1320</v>
      </c>
      <c r="K309" s="40">
        <f t="shared" si="287"/>
        <v>203.25</v>
      </c>
      <c r="L309" s="41">
        <f t="shared" si="286"/>
        <v>813</v>
      </c>
      <c r="M309" s="29">
        <f t="shared" si="286"/>
        <v>1422.75</v>
      </c>
      <c r="N309" s="26"/>
      <c r="O309" s="26"/>
      <c r="P309" s="33"/>
    </row>
    <row r="310" spans="1:18" x14ac:dyDescent="0.35">
      <c r="R310" t="s">
        <v>1391</v>
      </c>
    </row>
    <row r="311" spans="1:18" x14ac:dyDescent="0.35">
      <c r="A311">
        <v>18</v>
      </c>
      <c r="B311" t="str">
        <f>'To be deleted'!B20</f>
        <v>Moheshkhali Economic Zone – 1, Cox’s Bazar</v>
      </c>
      <c r="C311" s="8" t="str">
        <f>'To be deleted'!AM20</f>
        <v>Food and Beverage</v>
      </c>
      <c r="D311" s="9" t="s">
        <v>1375</v>
      </c>
      <c r="E311" s="34">
        <f>4%*R312</f>
        <v>25.64</v>
      </c>
      <c r="F311" s="35">
        <f>20%*R312</f>
        <v>128.20000000000002</v>
      </c>
      <c r="G311" s="12">
        <f>32%*R312</f>
        <v>205.12</v>
      </c>
      <c r="H311" s="13">
        <f>23*E311</f>
        <v>589.72</v>
      </c>
      <c r="I311" s="14">
        <f t="shared" ref="I311:J313" si="288">23*F311</f>
        <v>2948.6000000000004</v>
      </c>
      <c r="J311" s="15">
        <f t="shared" si="288"/>
        <v>4717.76</v>
      </c>
      <c r="K311" s="34">
        <f>36.76*E311</f>
        <v>942.52639999999997</v>
      </c>
      <c r="L311" s="35">
        <f t="shared" ref="L311:M313" si="289">36.76*F311</f>
        <v>4712.6320000000005</v>
      </c>
      <c r="M311" s="12">
        <f t="shared" si="289"/>
        <v>7540.2111999999997</v>
      </c>
      <c r="N311" s="9"/>
      <c r="O311" s="9"/>
      <c r="P311" s="16"/>
    </row>
    <row r="312" spans="1:18" x14ac:dyDescent="0.35">
      <c r="D312" t="s">
        <v>1377</v>
      </c>
      <c r="E312" s="37">
        <f>5%*R312</f>
        <v>32.050000000000004</v>
      </c>
      <c r="F312" s="38">
        <f>25%*R312</f>
        <v>160.25</v>
      </c>
      <c r="G312" s="20">
        <f>45%*R312</f>
        <v>288.45</v>
      </c>
      <c r="H312" s="21">
        <f t="shared" ref="H312:H313" si="290">23*E312</f>
        <v>737.15000000000009</v>
      </c>
      <c r="I312" s="22">
        <f t="shared" si="288"/>
        <v>3685.75</v>
      </c>
      <c r="J312" s="23">
        <f t="shared" si="288"/>
        <v>6634.3499999999995</v>
      </c>
      <c r="K312" s="37">
        <f t="shared" ref="K312:K313" si="291">36.76*E312</f>
        <v>1178.1580000000001</v>
      </c>
      <c r="L312" s="38">
        <f t="shared" si="289"/>
        <v>5890.79</v>
      </c>
      <c r="M312" s="20">
        <f t="shared" si="289"/>
        <v>10603.421999999999</v>
      </c>
      <c r="P312" s="24"/>
      <c r="R312">
        <v>641</v>
      </c>
    </row>
    <row r="313" spans="1:18" x14ac:dyDescent="0.35">
      <c r="C313" s="25"/>
      <c r="D313" s="26" t="s">
        <v>1378</v>
      </c>
      <c r="E313" s="40">
        <f>7%*R312</f>
        <v>44.870000000000005</v>
      </c>
      <c r="F313" s="41">
        <f>46%*R312</f>
        <v>294.86</v>
      </c>
      <c r="G313" s="29">
        <f>82%*R312</f>
        <v>525.62</v>
      </c>
      <c r="H313" s="30">
        <f t="shared" si="290"/>
        <v>1032.0100000000002</v>
      </c>
      <c r="I313" s="31">
        <f t="shared" si="288"/>
        <v>6781.7800000000007</v>
      </c>
      <c r="J313" s="32">
        <f t="shared" si="288"/>
        <v>12089.26</v>
      </c>
      <c r="K313" s="40">
        <f t="shared" si="291"/>
        <v>1649.4212</v>
      </c>
      <c r="L313" s="41">
        <f t="shared" si="289"/>
        <v>10839.053599999999</v>
      </c>
      <c r="M313" s="29">
        <f t="shared" si="289"/>
        <v>19321.7912</v>
      </c>
      <c r="N313" s="26"/>
      <c r="O313" s="26"/>
      <c r="P313" s="33"/>
    </row>
    <row r="314" spans="1:18" x14ac:dyDescent="0.35">
      <c r="C314" s="8" t="str">
        <f>'To be deleted'!AN20</f>
        <v>Agro based</v>
      </c>
      <c r="D314" s="9" t="s">
        <v>1375</v>
      </c>
      <c r="E314" s="34">
        <f>4%*R315</f>
        <v>1.1200000000000001</v>
      </c>
      <c r="F314" s="35">
        <f>20%*R315</f>
        <v>5.6000000000000005</v>
      </c>
      <c r="G314" s="12">
        <f>32%*R315</f>
        <v>8.9600000000000009</v>
      </c>
      <c r="H314" s="13">
        <f>19*E314</f>
        <v>21.28</v>
      </c>
      <c r="I314" s="14">
        <f t="shared" ref="I314:J316" si="292">19*F314</f>
        <v>106.4</v>
      </c>
      <c r="J314" s="15">
        <f t="shared" si="292"/>
        <v>170.24</v>
      </c>
      <c r="K314" s="34">
        <f>51.37*E314</f>
        <v>57.534400000000005</v>
      </c>
      <c r="L314" s="35">
        <f t="shared" ref="L314:M316" si="293">51.37*F314</f>
        <v>287.67200000000003</v>
      </c>
      <c r="M314" s="12">
        <f t="shared" si="293"/>
        <v>460.27520000000004</v>
      </c>
      <c r="N314" s="9"/>
      <c r="O314" s="9"/>
      <c r="P314" s="16"/>
    </row>
    <row r="315" spans="1:18" x14ac:dyDescent="0.35">
      <c r="D315" t="s">
        <v>1377</v>
      </c>
      <c r="E315" s="37">
        <f>5%*R315</f>
        <v>1.4000000000000001</v>
      </c>
      <c r="F315" s="38">
        <f>25%*R315</f>
        <v>7</v>
      </c>
      <c r="G315" s="20">
        <f>45%*R315</f>
        <v>12.6</v>
      </c>
      <c r="H315" s="21">
        <f t="shared" ref="H315:H316" si="294">19*E315</f>
        <v>26.6</v>
      </c>
      <c r="I315" s="22">
        <f t="shared" si="292"/>
        <v>133</v>
      </c>
      <c r="J315" s="23">
        <f t="shared" si="292"/>
        <v>239.4</v>
      </c>
      <c r="K315" s="37">
        <f t="shared" ref="K315:K316" si="295">51.37*E315</f>
        <v>71.918000000000006</v>
      </c>
      <c r="L315" s="38">
        <f t="shared" si="293"/>
        <v>359.59</v>
      </c>
      <c r="M315" s="20">
        <f t="shared" si="293"/>
        <v>647.26199999999994</v>
      </c>
      <c r="P315" s="24"/>
      <c r="R315">
        <v>28</v>
      </c>
    </row>
    <row r="316" spans="1:18" x14ac:dyDescent="0.35">
      <c r="C316" s="25"/>
      <c r="D316" s="26" t="s">
        <v>1378</v>
      </c>
      <c r="E316" s="40">
        <f>7%*R315</f>
        <v>1.9600000000000002</v>
      </c>
      <c r="F316" s="41">
        <f>46%*R315</f>
        <v>12.88</v>
      </c>
      <c r="G316" s="29">
        <f>82%*R315</f>
        <v>22.959999999999997</v>
      </c>
      <c r="H316" s="30">
        <f t="shared" si="294"/>
        <v>37.24</v>
      </c>
      <c r="I316" s="31">
        <f t="shared" si="292"/>
        <v>244.72000000000003</v>
      </c>
      <c r="J316" s="32">
        <f t="shared" si="292"/>
        <v>436.23999999999995</v>
      </c>
      <c r="K316" s="40">
        <f t="shared" si="295"/>
        <v>100.68520000000001</v>
      </c>
      <c r="L316" s="41">
        <f t="shared" si="293"/>
        <v>661.64560000000006</v>
      </c>
      <c r="M316" s="29">
        <f t="shared" si="293"/>
        <v>1179.4551999999999</v>
      </c>
      <c r="N316" s="26"/>
      <c r="O316" s="26"/>
      <c r="P316" s="33"/>
    </row>
    <row r="317" spans="1:18" x14ac:dyDescent="0.35">
      <c r="C317" s="8" t="str">
        <f>'To be deleted'!AO20</f>
        <v>Chemicals</v>
      </c>
      <c r="D317" s="9" t="s">
        <v>1375</v>
      </c>
      <c r="E317" s="34">
        <f>4%*R318</f>
        <v>1.1200000000000001</v>
      </c>
      <c r="F317" s="35">
        <f>20%*R318</f>
        <v>5.6000000000000005</v>
      </c>
      <c r="G317" s="12">
        <f>32%*R318</f>
        <v>8.9600000000000009</v>
      </c>
      <c r="H317" s="13">
        <f>164*E317</f>
        <v>183.68</v>
      </c>
      <c r="I317" s="14">
        <f t="shared" ref="I317:J319" si="296">164*F317</f>
        <v>918.40000000000009</v>
      </c>
      <c r="J317" s="15">
        <f t="shared" si="296"/>
        <v>1469.44</v>
      </c>
      <c r="K317" s="34">
        <f>217.92*E317</f>
        <v>244.07040000000001</v>
      </c>
      <c r="L317" s="35">
        <f t="shared" ref="L317:M319" si="297">217.92*F317</f>
        <v>1220.3520000000001</v>
      </c>
      <c r="M317" s="12">
        <f t="shared" si="297"/>
        <v>1952.5632000000001</v>
      </c>
      <c r="N317" s="9"/>
      <c r="O317" s="9"/>
      <c r="P317" s="16"/>
    </row>
    <row r="318" spans="1:18" x14ac:dyDescent="0.35">
      <c r="D318" t="s">
        <v>1377</v>
      </c>
      <c r="E318" s="37">
        <f>5%*R318</f>
        <v>1.4000000000000001</v>
      </c>
      <c r="F318" s="38">
        <f>25%*R318</f>
        <v>7</v>
      </c>
      <c r="G318" s="20">
        <f>45%*R318</f>
        <v>12.6</v>
      </c>
      <c r="H318" s="21">
        <f t="shared" ref="H318:H319" si="298">164*E318</f>
        <v>229.60000000000002</v>
      </c>
      <c r="I318" s="22">
        <f t="shared" si="296"/>
        <v>1148</v>
      </c>
      <c r="J318" s="23">
        <f t="shared" si="296"/>
        <v>2066.4</v>
      </c>
      <c r="K318" s="37">
        <f t="shared" ref="K318:K319" si="299">217.92*E318</f>
        <v>305.08800000000002</v>
      </c>
      <c r="L318" s="38">
        <f t="shared" si="297"/>
        <v>1525.4399999999998</v>
      </c>
      <c r="M318" s="20">
        <f t="shared" si="297"/>
        <v>2745.7919999999999</v>
      </c>
      <c r="P318" s="24"/>
      <c r="R318">
        <v>28</v>
      </c>
    </row>
    <row r="319" spans="1:18" x14ac:dyDescent="0.35">
      <c r="C319" s="25"/>
      <c r="D319" s="26" t="s">
        <v>1378</v>
      </c>
      <c r="E319" s="40">
        <f>7%*R318</f>
        <v>1.9600000000000002</v>
      </c>
      <c r="F319" s="41">
        <f>46%*R318</f>
        <v>12.88</v>
      </c>
      <c r="G319" s="29">
        <f>82%*R318</f>
        <v>22.959999999999997</v>
      </c>
      <c r="H319" s="30">
        <f t="shared" si="298"/>
        <v>321.44000000000005</v>
      </c>
      <c r="I319" s="31">
        <f t="shared" si="296"/>
        <v>2112.3200000000002</v>
      </c>
      <c r="J319" s="32">
        <f t="shared" si="296"/>
        <v>3765.4399999999996</v>
      </c>
      <c r="K319" s="40">
        <f t="shared" si="299"/>
        <v>427.1232</v>
      </c>
      <c r="L319" s="41">
        <f t="shared" si="297"/>
        <v>2806.8096</v>
      </c>
      <c r="M319" s="29">
        <f t="shared" si="297"/>
        <v>5003.4431999999988</v>
      </c>
      <c r="N319" s="26"/>
      <c r="O319" s="26"/>
      <c r="P319" s="33"/>
    </row>
    <row r="320" spans="1:18" x14ac:dyDescent="0.35">
      <c r="C320" s="8" t="str">
        <f>'To be deleted'!AP20</f>
        <v>Non-Metallic mineral products</v>
      </c>
      <c r="D320" s="9" t="s">
        <v>1375</v>
      </c>
      <c r="E320" s="34">
        <f>4%*R321</f>
        <v>34.880000000000003</v>
      </c>
      <c r="F320" s="35">
        <f>20%*R321</f>
        <v>174.4</v>
      </c>
      <c r="G320" s="12">
        <f>32%*R321</f>
        <v>279.04000000000002</v>
      </c>
      <c r="H320" s="13">
        <f>603*E320</f>
        <v>21032.640000000003</v>
      </c>
      <c r="I320" s="14">
        <f t="shared" ref="I320:J322" si="300">603*F320</f>
        <v>105163.2</v>
      </c>
      <c r="J320" s="15">
        <f t="shared" si="300"/>
        <v>168261.12000000002</v>
      </c>
      <c r="K320" s="34">
        <f>58.82*E320</f>
        <v>2051.6416000000004</v>
      </c>
      <c r="L320" s="35">
        <f t="shared" ref="L320:M322" si="301">58.82*F320</f>
        <v>10258.208000000001</v>
      </c>
      <c r="M320" s="12">
        <f t="shared" si="301"/>
        <v>16413.132800000003</v>
      </c>
      <c r="N320" s="9"/>
      <c r="O320" s="9"/>
      <c r="P320" s="16"/>
    </row>
    <row r="321" spans="1:18" x14ac:dyDescent="0.35">
      <c r="D321" t="s">
        <v>1377</v>
      </c>
      <c r="E321" s="37">
        <f>5%*R321</f>
        <v>43.6</v>
      </c>
      <c r="F321" s="38">
        <f>25%*R321</f>
        <v>218</v>
      </c>
      <c r="G321" s="20">
        <f>45%*R321</f>
        <v>392.40000000000003</v>
      </c>
      <c r="H321" s="21">
        <f t="shared" ref="H321:H322" si="302">603*E321</f>
        <v>26290.799999999999</v>
      </c>
      <c r="I321" s="22">
        <f t="shared" si="300"/>
        <v>131454</v>
      </c>
      <c r="J321" s="23">
        <f t="shared" si="300"/>
        <v>236617.2</v>
      </c>
      <c r="K321" s="37">
        <f t="shared" ref="K321:K322" si="303">58.82*E321</f>
        <v>2564.5520000000001</v>
      </c>
      <c r="L321" s="38">
        <f t="shared" si="301"/>
        <v>12822.76</v>
      </c>
      <c r="M321" s="20">
        <f t="shared" si="301"/>
        <v>23080.968000000001</v>
      </c>
      <c r="P321" s="24"/>
      <c r="R321">
        <v>872</v>
      </c>
    </row>
    <row r="322" spans="1:18" x14ac:dyDescent="0.35">
      <c r="C322" s="25"/>
      <c r="D322" s="26" t="s">
        <v>1378</v>
      </c>
      <c r="E322" s="40">
        <f>7%*R321</f>
        <v>61.040000000000006</v>
      </c>
      <c r="F322" s="41">
        <f>46%*R321</f>
        <v>401.12</v>
      </c>
      <c r="G322" s="29">
        <f>82%*R321</f>
        <v>715.04</v>
      </c>
      <c r="H322" s="30">
        <f t="shared" si="302"/>
        <v>36807.120000000003</v>
      </c>
      <c r="I322" s="31">
        <f t="shared" si="300"/>
        <v>241875.36000000002</v>
      </c>
      <c r="J322" s="32">
        <f t="shared" si="300"/>
        <v>431169.12</v>
      </c>
      <c r="K322" s="40">
        <f t="shared" si="303"/>
        <v>3590.3728000000006</v>
      </c>
      <c r="L322" s="41">
        <f t="shared" si="301"/>
        <v>23593.878400000001</v>
      </c>
      <c r="M322" s="29">
        <f t="shared" si="301"/>
        <v>42058.652799999996</v>
      </c>
      <c r="N322" s="26"/>
      <c r="O322" s="26"/>
      <c r="P322" s="33"/>
    </row>
    <row r="323" spans="1:18" x14ac:dyDescent="0.35">
      <c r="C323" s="8" t="str">
        <f>'To be deleted'!AQ20</f>
        <v>Pharmaceuticals</v>
      </c>
      <c r="D323" s="9" t="s">
        <v>1375</v>
      </c>
      <c r="E323" s="34">
        <f>4%*R324</f>
        <v>36.4</v>
      </c>
      <c r="F323" s="35">
        <f>20%*R324</f>
        <v>182</v>
      </c>
      <c r="G323" s="12">
        <f>32%*R324</f>
        <v>291.2</v>
      </c>
      <c r="H323" s="13">
        <f>149*E323</f>
        <v>5423.5999999999995</v>
      </c>
      <c r="I323" s="14">
        <f t="shared" ref="I323:J325" si="304">149*F323</f>
        <v>27118</v>
      </c>
      <c r="J323" s="15">
        <f t="shared" si="304"/>
        <v>43388.799999999996</v>
      </c>
      <c r="K323" s="34">
        <f t="shared" ref="K323:M325" si="305">153.13*E323</f>
        <v>5573.9319999999998</v>
      </c>
      <c r="L323" s="35">
        <f t="shared" si="305"/>
        <v>27869.66</v>
      </c>
      <c r="M323" s="12">
        <f t="shared" si="305"/>
        <v>44591.455999999998</v>
      </c>
      <c r="N323" s="9"/>
      <c r="O323" s="9"/>
      <c r="P323" s="16"/>
    </row>
    <row r="324" spans="1:18" x14ac:dyDescent="0.35">
      <c r="D324" t="s">
        <v>1377</v>
      </c>
      <c r="E324" s="37">
        <f>5%*R324</f>
        <v>45.5</v>
      </c>
      <c r="F324" s="38">
        <f>25%*R324</f>
        <v>227.5</v>
      </c>
      <c r="G324" s="20">
        <f>45%*R324</f>
        <v>409.5</v>
      </c>
      <c r="H324" s="21">
        <f t="shared" ref="H324:H325" si="306">149*E324</f>
        <v>6779.5</v>
      </c>
      <c r="I324" s="22">
        <f t="shared" si="304"/>
        <v>33897.5</v>
      </c>
      <c r="J324" s="23">
        <f t="shared" si="304"/>
        <v>61015.5</v>
      </c>
      <c r="K324" s="37">
        <f t="shared" si="305"/>
        <v>6967.415</v>
      </c>
      <c r="L324" s="38">
        <f t="shared" si="305"/>
        <v>34837.074999999997</v>
      </c>
      <c r="M324" s="20">
        <f t="shared" si="305"/>
        <v>62706.735000000001</v>
      </c>
      <c r="P324" s="24"/>
      <c r="R324">
        <v>910</v>
      </c>
    </row>
    <row r="325" spans="1:18" x14ac:dyDescent="0.35">
      <c r="C325" s="25"/>
      <c r="D325" s="26" t="s">
        <v>1378</v>
      </c>
      <c r="E325" s="40">
        <f>7%*R324</f>
        <v>63.7</v>
      </c>
      <c r="F325" s="41">
        <f>46%*R324</f>
        <v>418.6</v>
      </c>
      <c r="G325" s="29">
        <f>82%*R324</f>
        <v>746.19999999999993</v>
      </c>
      <c r="H325" s="30">
        <f t="shared" si="306"/>
        <v>9491.3000000000011</v>
      </c>
      <c r="I325" s="31">
        <f t="shared" si="304"/>
        <v>62371.4</v>
      </c>
      <c r="J325" s="32">
        <f t="shared" si="304"/>
        <v>111183.79999999999</v>
      </c>
      <c r="K325" s="40">
        <f t="shared" si="305"/>
        <v>9754.3809999999994</v>
      </c>
      <c r="L325" s="41">
        <f t="shared" si="305"/>
        <v>64100.218000000001</v>
      </c>
      <c r="M325" s="29">
        <f t="shared" si="305"/>
        <v>114265.60599999999</v>
      </c>
      <c r="N325" s="26"/>
      <c r="O325" s="26"/>
      <c r="P325" s="33"/>
    </row>
    <row r="326" spans="1:18" x14ac:dyDescent="0.35">
      <c r="C326" s="8" t="str">
        <f>'To be deleted'!AR20</f>
        <v>Heavy Machinery, Iron &amp; Steel and metals</v>
      </c>
      <c r="D326" s="9" t="s">
        <v>1375</v>
      </c>
      <c r="E326" s="34">
        <f>4%*R327</f>
        <v>8.68</v>
      </c>
      <c r="F326" s="35">
        <f>20%*R327</f>
        <v>43.400000000000006</v>
      </c>
      <c r="G326" s="12">
        <f>32%*R327</f>
        <v>69.44</v>
      </c>
      <c r="H326" s="13">
        <f>82*E326</f>
        <v>711.76</v>
      </c>
      <c r="I326" s="14">
        <f t="shared" ref="I326:J328" si="307">82*F326</f>
        <v>3558.8000000000006</v>
      </c>
      <c r="J326" s="15">
        <f t="shared" si="307"/>
        <v>5694.08</v>
      </c>
      <c r="K326" s="34">
        <f>84.52*E326</f>
        <v>733.63359999999989</v>
      </c>
      <c r="L326" s="35">
        <f t="shared" ref="L326:M328" si="308">84.52*F326</f>
        <v>3668.1680000000001</v>
      </c>
      <c r="M326" s="12">
        <f t="shared" si="308"/>
        <v>5869.0687999999991</v>
      </c>
      <c r="N326" s="9"/>
      <c r="O326" s="9"/>
      <c r="P326" s="16"/>
    </row>
    <row r="327" spans="1:18" x14ac:dyDescent="0.35">
      <c r="D327" t="s">
        <v>1377</v>
      </c>
      <c r="E327" s="37">
        <f>5%*R327</f>
        <v>10.850000000000001</v>
      </c>
      <c r="F327" s="38">
        <f>25%*R327</f>
        <v>54.25</v>
      </c>
      <c r="G327" s="20">
        <f>45%*R327</f>
        <v>97.65</v>
      </c>
      <c r="H327" s="21">
        <f t="shared" ref="H327:H328" si="309">82*E327</f>
        <v>889.70000000000016</v>
      </c>
      <c r="I327" s="22">
        <f t="shared" si="307"/>
        <v>4448.5</v>
      </c>
      <c r="J327" s="23">
        <f t="shared" si="307"/>
        <v>8007.3</v>
      </c>
      <c r="K327" s="37">
        <f t="shared" ref="K327:K328" si="310">84.52*E327</f>
        <v>917.04200000000003</v>
      </c>
      <c r="L327" s="38">
        <f t="shared" si="308"/>
        <v>4585.21</v>
      </c>
      <c r="M327" s="20">
        <f t="shared" si="308"/>
        <v>8253.3780000000006</v>
      </c>
      <c r="P327" s="24"/>
      <c r="R327">
        <v>217</v>
      </c>
    </row>
    <row r="328" spans="1:18" x14ac:dyDescent="0.35">
      <c r="C328" s="25"/>
      <c r="D328" s="26" t="s">
        <v>1378</v>
      </c>
      <c r="E328" s="40">
        <f>7%*R327</f>
        <v>15.190000000000001</v>
      </c>
      <c r="F328" s="41">
        <f>46%*R327</f>
        <v>99.820000000000007</v>
      </c>
      <c r="G328" s="29">
        <f>82%*R327</f>
        <v>177.94</v>
      </c>
      <c r="H328" s="30">
        <f t="shared" si="309"/>
        <v>1245.5800000000002</v>
      </c>
      <c r="I328" s="31">
        <f t="shared" si="307"/>
        <v>8185.2400000000007</v>
      </c>
      <c r="J328" s="32">
        <f t="shared" si="307"/>
        <v>14591.08</v>
      </c>
      <c r="K328" s="40">
        <f t="shared" si="310"/>
        <v>1283.8588</v>
      </c>
      <c r="L328" s="41">
        <f t="shared" si="308"/>
        <v>8436.7864000000009</v>
      </c>
      <c r="M328" s="29">
        <f t="shared" si="308"/>
        <v>15039.488799999999</v>
      </c>
      <c r="N328" s="26"/>
      <c r="O328" s="26"/>
      <c r="P328" s="33"/>
    </row>
    <row r="329" spans="1:18" x14ac:dyDescent="0.35">
      <c r="C329" s="8" t="str">
        <f>'To be deleted'!AS20</f>
        <v>Shipbuilding</v>
      </c>
      <c r="D329" s="9" t="s">
        <v>1375</v>
      </c>
      <c r="E329" s="34">
        <f>4%*R330</f>
        <v>0.04</v>
      </c>
      <c r="F329" s="35">
        <f>20%*R330</f>
        <v>0.2</v>
      </c>
      <c r="G329" s="12">
        <f>32%*R330</f>
        <v>0.32</v>
      </c>
      <c r="H329" s="13">
        <f>40*E329</f>
        <v>1.6</v>
      </c>
      <c r="I329" s="14">
        <f t="shared" ref="I329:J331" si="311">40*F329</f>
        <v>8</v>
      </c>
      <c r="J329" s="15">
        <f t="shared" si="311"/>
        <v>12.8</v>
      </c>
      <c r="K329" s="34">
        <f>107.42*E329</f>
        <v>4.2968000000000002</v>
      </c>
      <c r="L329" s="35">
        <f t="shared" ref="L329:M334" si="312">107.42*F329</f>
        <v>21.484000000000002</v>
      </c>
      <c r="M329" s="12">
        <f t="shared" si="312"/>
        <v>34.374400000000001</v>
      </c>
      <c r="N329" s="9"/>
      <c r="O329" s="9"/>
      <c r="P329" s="16"/>
    </row>
    <row r="330" spans="1:18" x14ac:dyDescent="0.35">
      <c r="D330" t="s">
        <v>1377</v>
      </c>
      <c r="E330" s="37">
        <f>5%*R330</f>
        <v>0.05</v>
      </c>
      <c r="F330" s="38">
        <f>25%*R330</f>
        <v>0.25</v>
      </c>
      <c r="G330" s="20">
        <f>45%*R330</f>
        <v>0.45</v>
      </c>
      <c r="H330" s="21">
        <f t="shared" ref="H330:H331" si="313">40*E330</f>
        <v>2</v>
      </c>
      <c r="I330" s="22">
        <f t="shared" si="311"/>
        <v>10</v>
      </c>
      <c r="J330" s="23">
        <f t="shared" si="311"/>
        <v>18</v>
      </c>
      <c r="K330" s="37">
        <f t="shared" ref="K330:K334" si="314">107.42*E330</f>
        <v>5.3710000000000004</v>
      </c>
      <c r="L330" s="38">
        <f t="shared" si="312"/>
        <v>26.855</v>
      </c>
      <c r="M330" s="20">
        <f t="shared" si="312"/>
        <v>48.338999999999999</v>
      </c>
      <c r="P330" s="24"/>
      <c r="R330">
        <v>1</v>
      </c>
    </row>
    <row r="331" spans="1:18" x14ac:dyDescent="0.35">
      <c r="C331" s="25"/>
      <c r="D331" s="26" t="s">
        <v>1378</v>
      </c>
      <c r="E331" s="40">
        <f>7%*R330</f>
        <v>7.0000000000000007E-2</v>
      </c>
      <c r="F331" s="41">
        <f>46%*R330</f>
        <v>0.46</v>
      </c>
      <c r="G331" s="29">
        <f>82%*R330</f>
        <v>0.82</v>
      </c>
      <c r="H331" s="30">
        <f t="shared" si="313"/>
        <v>2.8000000000000003</v>
      </c>
      <c r="I331" s="31">
        <f t="shared" si="311"/>
        <v>18.400000000000002</v>
      </c>
      <c r="J331" s="32">
        <f t="shared" si="311"/>
        <v>32.799999999999997</v>
      </c>
      <c r="K331" s="40">
        <f t="shared" si="314"/>
        <v>7.519400000000001</v>
      </c>
      <c r="L331" s="41">
        <f t="shared" si="312"/>
        <v>49.413200000000003</v>
      </c>
      <c r="M331" s="29">
        <f t="shared" si="312"/>
        <v>88.084400000000002</v>
      </c>
      <c r="N331" s="26"/>
      <c r="O331" s="26"/>
      <c r="P331" s="33"/>
    </row>
    <row r="332" spans="1:18" x14ac:dyDescent="0.35">
      <c r="C332" s="8" t="str">
        <f>'To be deleted'!AT20</f>
        <v>Petroleum and petroleum products</v>
      </c>
      <c r="D332" s="9" t="s">
        <v>1375</v>
      </c>
      <c r="E332" s="34">
        <f>4%*R333</f>
        <v>0.52</v>
      </c>
      <c r="F332" s="35">
        <f>20%*R333</f>
        <v>2.6</v>
      </c>
      <c r="G332" s="12">
        <f>32%*R333</f>
        <v>4.16</v>
      </c>
      <c r="H332" s="13">
        <f>36*E332</f>
        <v>18.72</v>
      </c>
      <c r="I332" s="14">
        <f t="shared" ref="I332:J334" si="315">36*F332</f>
        <v>93.600000000000009</v>
      </c>
      <c r="J332" s="15">
        <f t="shared" si="315"/>
        <v>149.76</v>
      </c>
      <c r="K332" s="34">
        <f t="shared" si="314"/>
        <v>55.858400000000003</v>
      </c>
      <c r="L332" s="35">
        <f t="shared" si="312"/>
        <v>279.29200000000003</v>
      </c>
      <c r="M332" s="12">
        <f t="shared" si="312"/>
        <v>446.86720000000003</v>
      </c>
      <c r="N332" s="34"/>
      <c r="O332" s="35"/>
      <c r="P332" s="12"/>
    </row>
    <row r="333" spans="1:18" x14ac:dyDescent="0.35">
      <c r="D333" t="s">
        <v>1377</v>
      </c>
      <c r="E333" s="37">
        <f>5%*R333</f>
        <v>0.65</v>
      </c>
      <c r="F333" s="38">
        <f>25%*R333</f>
        <v>3.25</v>
      </c>
      <c r="G333" s="20">
        <f>45%*R333</f>
        <v>5.8500000000000005</v>
      </c>
      <c r="H333" s="21">
        <f t="shared" ref="H333:H334" si="316">36*E333</f>
        <v>23.400000000000002</v>
      </c>
      <c r="I333" s="22">
        <f t="shared" si="315"/>
        <v>117</v>
      </c>
      <c r="J333" s="23">
        <f t="shared" si="315"/>
        <v>210.60000000000002</v>
      </c>
      <c r="K333" s="37">
        <f t="shared" si="314"/>
        <v>69.823000000000008</v>
      </c>
      <c r="L333" s="38">
        <f t="shared" si="312"/>
        <v>349.11500000000001</v>
      </c>
      <c r="M333" s="20">
        <f t="shared" si="312"/>
        <v>628.40700000000004</v>
      </c>
      <c r="N333" s="37"/>
      <c r="O333" s="38"/>
      <c r="P333" s="20"/>
      <c r="R333">
        <v>13</v>
      </c>
    </row>
    <row r="334" spans="1:18" x14ac:dyDescent="0.35">
      <c r="C334" s="25"/>
      <c r="D334" s="26" t="s">
        <v>1378</v>
      </c>
      <c r="E334" s="40">
        <f>7%*R333</f>
        <v>0.91000000000000014</v>
      </c>
      <c r="F334" s="41">
        <f>46%*R333</f>
        <v>5.98</v>
      </c>
      <c r="G334" s="29">
        <f>82%*R333</f>
        <v>10.66</v>
      </c>
      <c r="H334" s="30">
        <f t="shared" si="316"/>
        <v>32.760000000000005</v>
      </c>
      <c r="I334" s="31">
        <f t="shared" si="315"/>
        <v>215.28000000000003</v>
      </c>
      <c r="J334" s="32">
        <f t="shared" si="315"/>
        <v>383.76</v>
      </c>
      <c r="K334" s="40">
        <f t="shared" si="314"/>
        <v>97.752200000000016</v>
      </c>
      <c r="L334" s="41">
        <f t="shared" si="312"/>
        <v>642.37160000000006</v>
      </c>
      <c r="M334" s="29">
        <f t="shared" si="312"/>
        <v>1145.0971999999999</v>
      </c>
      <c r="N334" s="40"/>
      <c r="O334" s="41"/>
      <c r="P334" s="29"/>
    </row>
    <row r="336" spans="1:18" x14ac:dyDescent="0.35">
      <c r="A336">
        <v>19</v>
      </c>
      <c r="B336" t="str">
        <f>'To be deleted'!B21</f>
        <v>Nilphamari Economic Zone</v>
      </c>
      <c r="C336" s="8" t="str">
        <f>'To be deleted'!AM21</f>
        <v>Textiles and RMG</v>
      </c>
      <c r="D336" s="9" t="s">
        <v>1375</v>
      </c>
      <c r="E336" s="34">
        <v>8</v>
      </c>
      <c r="F336" s="35">
        <v>42</v>
      </c>
      <c r="G336" s="12">
        <v>100</v>
      </c>
      <c r="H336" s="13">
        <v>1114</v>
      </c>
      <c r="I336" s="14">
        <v>5948</v>
      </c>
      <c r="J336" s="15">
        <v>14169</v>
      </c>
      <c r="K336" s="34">
        <f>E336*35.36</f>
        <v>282.88</v>
      </c>
      <c r="L336" s="35">
        <f t="shared" ref="L336:M338" si="317">F336*35.36</f>
        <v>1485.12</v>
      </c>
      <c r="M336" s="12">
        <f t="shared" si="317"/>
        <v>3536</v>
      </c>
      <c r="N336" s="9"/>
      <c r="O336" s="9"/>
      <c r="P336" s="16"/>
      <c r="R336" t="s">
        <v>1388</v>
      </c>
    </row>
    <row r="337" spans="3:16" x14ac:dyDescent="0.35">
      <c r="D337" t="s">
        <v>1377</v>
      </c>
      <c r="E337" s="37">
        <v>9</v>
      </c>
      <c r="F337" s="38">
        <v>49</v>
      </c>
      <c r="G337" s="20">
        <v>116</v>
      </c>
      <c r="H337" s="21">
        <v>1296</v>
      </c>
      <c r="I337" s="22">
        <v>6917</v>
      </c>
      <c r="J337" s="23">
        <v>16477</v>
      </c>
      <c r="K337" s="37">
        <f t="shared" ref="K337:K338" si="318">E337*35.36</f>
        <v>318.24</v>
      </c>
      <c r="L337" s="38">
        <f t="shared" si="317"/>
        <v>1732.6399999999999</v>
      </c>
      <c r="M337" s="20">
        <f t="shared" si="317"/>
        <v>4101.76</v>
      </c>
      <c r="P337" s="24"/>
    </row>
    <row r="338" spans="3:16" x14ac:dyDescent="0.35">
      <c r="C338" s="25"/>
      <c r="D338" s="26" t="s">
        <v>1378</v>
      </c>
      <c r="E338" s="40">
        <v>10</v>
      </c>
      <c r="F338" s="41">
        <v>56</v>
      </c>
      <c r="G338" s="29">
        <v>133</v>
      </c>
      <c r="H338" s="30">
        <v>1490</v>
      </c>
      <c r="I338" s="31">
        <v>7955</v>
      </c>
      <c r="J338" s="32">
        <v>18949</v>
      </c>
      <c r="K338" s="40">
        <f t="shared" si="318"/>
        <v>353.6</v>
      </c>
      <c r="L338" s="41">
        <f t="shared" si="317"/>
        <v>1980.1599999999999</v>
      </c>
      <c r="M338" s="29">
        <f t="shared" si="317"/>
        <v>4702.88</v>
      </c>
      <c r="N338" s="26"/>
      <c r="O338" s="26"/>
      <c r="P338" s="33"/>
    </row>
    <row r="339" spans="3:16" x14ac:dyDescent="0.35">
      <c r="C339" s="8" t="str">
        <f>'To be deleted'!AN21</f>
        <v>Food and Beverage</v>
      </c>
      <c r="D339" s="9" t="s">
        <v>1375</v>
      </c>
      <c r="E339" s="34">
        <v>2</v>
      </c>
      <c r="F339" s="35">
        <v>13</v>
      </c>
      <c r="G339" s="12">
        <v>32</v>
      </c>
      <c r="H339" s="13">
        <v>53</v>
      </c>
      <c r="I339" s="14">
        <v>312</v>
      </c>
      <c r="J339" s="15">
        <v>744</v>
      </c>
      <c r="K339" s="34">
        <f>E339*36.76</f>
        <v>73.52</v>
      </c>
      <c r="L339" s="35">
        <f t="shared" ref="L339:M341" si="319">F339*36.76</f>
        <v>477.88</v>
      </c>
      <c r="M339" s="12">
        <f t="shared" si="319"/>
        <v>1176.32</v>
      </c>
      <c r="N339" s="9"/>
      <c r="O339" s="9"/>
      <c r="P339" s="16"/>
    </row>
    <row r="340" spans="3:16" x14ac:dyDescent="0.35">
      <c r="D340" t="s">
        <v>1377</v>
      </c>
      <c r="E340" s="37">
        <v>3</v>
      </c>
      <c r="F340" s="38">
        <v>16</v>
      </c>
      <c r="G340" s="20">
        <v>37</v>
      </c>
      <c r="H340" s="21">
        <v>62</v>
      </c>
      <c r="I340" s="22">
        <v>362</v>
      </c>
      <c r="J340" s="23">
        <v>865</v>
      </c>
      <c r="K340" s="37">
        <f t="shared" ref="K340:K341" si="320">E340*36.76</f>
        <v>110.28</v>
      </c>
      <c r="L340" s="38">
        <f t="shared" si="319"/>
        <v>588.16</v>
      </c>
      <c r="M340" s="20">
        <f t="shared" si="319"/>
        <v>1360.12</v>
      </c>
      <c r="P340" s="24"/>
    </row>
    <row r="341" spans="3:16" x14ac:dyDescent="0.35">
      <c r="C341" s="25"/>
      <c r="D341" s="26" t="s">
        <v>1378</v>
      </c>
      <c r="E341" s="40">
        <v>3</v>
      </c>
      <c r="F341" s="41">
        <v>18</v>
      </c>
      <c r="G341" s="29">
        <v>43</v>
      </c>
      <c r="H341" s="30">
        <v>71</v>
      </c>
      <c r="I341" s="31">
        <v>417</v>
      </c>
      <c r="J341" s="32">
        <v>995</v>
      </c>
      <c r="K341" s="40">
        <f t="shared" si="320"/>
        <v>110.28</v>
      </c>
      <c r="L341" s="41">
        <f t="shared" si="319"/>
        <v>661.68</v>
      </c>
      <c r="M341" s="29">
        <f t="shared" si="319"/>
        <v>1580.6799999999998</v>
      </c>
      <c r="N341" s="26"/>
      <c r="O341" s="26"/>
      <c r="P341" s="33"/>
    </row>
    <row r="342" spans="3:16" x14ac:dyDescent="0.35">
      <c r="C342" s="8" t="str">
        <f>'To be deleted'!AO21</f>
        <v>Agro based</v>
      </c>
      <c r="D342" s="9" t="s">
        <v>1375</v>
      </c>
      <c r="E342" s="34">
        <v>0</v>
      </c>
      <c r="F342" s="35">
        <v>1</v>
      </c>
      <c r="G342" s="12">
        <v>1</v>
      </c>
      <c r="H342" s="13">
        <v>12</v>
      </c>
      <c r="I342" s="14">
        <v>74</v>
      </c>
      <c r="J342" s="15">
        <v>164</v>
      </c>
      <c r="K342" s="34">
        <f>52.87*E342</f>
        <v>0</v>
      </c>
      <c r="L342" s="35">
        <f t="shared" ref="L342:M344" si="321">52.87*F342</f>
        <v>52.87</v>
      </c>
      <c r="M342" s="12">
        <f t="shared" si="321"/>
        <v>52.87</v>
      </c>
      <c r="N342" s="9"/>
      <c r="O342" s="9"/>
      <c r="P342" s="16"/>
    </row>
    <row r="343" spans="3:16" x14ac:dyDescent="0.35">
      <c r="D343" t="s">
        <v>1377</v>
      </c>
      <c r="E343" s="37">
        <v>0</v>
      </c>
      <c r="F343" s="38">
        <v>1</v>
      </c>
      <c r="G343" s="20">
        <v>2</v>
      </c>
      <c r="H343" s="21">
        <v>14</v>
      </c>
      <c r="I343" s="22">
        <v>86</v>
      </c>
      <c r="J343" s="23">
        <v>191</v>
      </c>
      <c r="K343" s="37">
        <f t="shared" ref="K343:K344" si="322">52.87*E343</f>
        <v>0</v>
      </c>
      <c r="L343" s="38">
        <f t="shared" si="321"/>
        <v>52.87</v>
      </c>
      <c r="M343" s="20">
        <f t="shared" si="321"/>
        <v>105.74</v>
      </c>
      <c r="P343" s="24"/>
    </row>
    <row r="344" spans="3:16" x14ac:dyDescent="0.35">
      <c r="C344" s="25"/>
      <c r="D344" s="26" t="s">
        <v>1378</v>
      </c>
      <c r="E344" s="40">
        <v>0</v>
      </c>
      <c r="F344" s="41">
        <v>1</v>
      </c>
      <c r="G344" s="29">
        <v>2</v>
      </c>
      <c r="H344" s="30">
        <v>16</v>
      </c>
      <c r="I344" s="31">
        <v>99</v>
      </c>
      <c r="J344" s="32">
        <v>219</v>
      </c>
      <c r="K344" s="40">
        <f t="shared" si="322"/>
        <v>0</v>
      </c>
      <c r="L344" s="41">
        <f t="shared" si="321"/>
        <v>52.87</v>
      </c>
      <c r="M344" s="29">
        <f t="shared" si="321"/>
        <v>105.74</v>
      </c>
      <c r="N344" s="26"/>
      <c r="O344" s="26"/>
      <c r="P344" s="33"/>
    </row>
    <row r="345" spans="3:16" x14ac:dyDescent="0.35">
      <c r="C345" s="8" t="str">
        <f>'To be deleted'!AP21</f>
        <v>Electrical and Electronics</v>
      </c>
      <c r="D345" s="9" t="s">
        <v>1375</v>
      </c>
      <c r="E345" s="34">
        <v>0</v>
      </c>
      <c r="F345" s="35">
        <v>2</v>
      </c>
      <c r="G345" s="12">
        <v>5</v>
      </c>
      <c r="H345" s="13">
        <v>86</v>
      </c>
      <c r="I345" s="14">
        <v>505</v>
      </c>
      <c r="J345" s="15">
        <v>1358</v>
      </c>
      <c r="K345" s="34">
        <f>176.13*E345</f>
        <v>0</v>
      </c>
      <c r="L345" s="35">
        <f t="shared" ref="L345:M347" si="323">176.13*F345</f>
        <v>352.26</v>
      </c>
      <c r="M345" s="12">
        <f t="shared" si="323"/>
        <v>880.65</v>
      </c>
      <c r="N345" s="9"/>
      <c r="O345" s="9"/>
      <c r="P345" s="16"/>
    </row>
    <row r="346" spans="3:16" x14ac:dyDescent="0.35">
      <c r="D346" t="s">
        <v>1377</v>
      </c>
      <c r="E346" s="37">
        <v>0</v>
      </c>
      <c r="F346" s="38">
        <v>2</v>
      </c>
      <c r="G346" s="20">
        <v>6</v>
      </c>
      <c r="H346" s="21">
        <v>99</v>
      </c>
      <c r="I346" s="22">
        <v>588</v>
      </c>
      <c r="J346" s="23">
        <v>1579</v>
      </c>
      <c r="K346" s="37">
        <f t="shared" ref="K346:K347" si="324">176.13*E346</f>
        <v>0</v>
      </c>
      <c r="L346" s="38">
        <f t="shared" si="323"/>
        <v>352.26</v>
      </c>
      <c r="M346" s="20">
        <f t="shared" si="323"/>
        <v>1056.78</v>
      </c>
      <c r="P346" s="24"/>
    </row>
    <row r="347" spans="3:16" x14ac:dyDescent="0.35">
      <c r="C347" s="25"/>
      <c r="D347" s="26" t="s">
        <v>1378</v>
      </c>
      <c r="E347" s="40">
        <v>0</v>
      </c>
      <c r="F347" s="41">
        <v>3</v>
      </c>
      <c r="G347" s="29">
        <v>7</v>
      </c>
      <c r="H347" s="30">
        <v>114</v>
      </c>
      <c r="I347" s="31">
        <v>676</v>
      </c>
      <c r="J347" s="32">
        <v>1816</v>
      </c>
      <c r="K347" s="40">
        <f t="shared" si="324"/>
        <v>0</v>
      </c>
      <c r="L347" s="41">
        <f t="shared" si="323"/>
        <v>528.39</v>
      </c>
      <c r="M347" s="29">
        <f t="shared" si="323"/>
        <v>1232.9099999999999</v>
      </c>
      <c r="N347" s="26"/>
      <c r="O347" s="26"/>
      <c r="P347" s="33"/>
    </row>
    <row r="348" spans="3:16" x14ac:dyDescent="0.35">
      <c r="C348" s="8" t="str">
        <f>'To be deleted'!AQ21</f>
        <v>Pharmaceuticals</v>
      </c>
      <c r="D348" s="9" t="s">
        <v>1375</v>
      </c>
      <c r="E348" s="34">
        <v>1</v>
      </c>
      <c r="F348" s="35">
        <v>6</v>
      </c>
      <c r="G348" s="12">
        <v>14</v>
      </c>
      <c r="H348" s="13">
        <v>145</v>
      </c>
      <c r="I348" s="14">
        <v>832</v>
      </c>
      <c r="J348" s="15">
        <v>2050</v>
      </c>
      <c r="K348" s="34">
        <f>153.13*E348</f>
        <v>153.13</v>
      </c>
      <c r="L348" s="35">
        <f t="shared" ref="L348:M350" si="325">153.13*F348</f>
        <v>918.78</v>
      </c>
      <c r="M348" s="12">
        <f t="shared" si="325"/>
        <v>2143.8199999999997</v>
      </c>
      <c r="N348" s="9"/>
      <c r="O348" s="9"/>
      <c r="P348" s="16"/>
    </row>
    <row r="349" spans="3:16" x14ac:dyDescent="0.35">
      <c r="D349" t="s">
        <v>1377</v>
      </c>
      <c r="E349" s="37">
        <v>1</v>
      </c>
      <c r="F349" s="38">
        <v>7</v>
      </c>
      <c r="G349" s="20">
        <v>16</v>
      </c>
      <c r="H349" s="21">
        <v>169</v>
      </c>
      <c r="I349" s="22">
        <v>967</v>
      </c>
      <c r="J349" s="23">
        <v>2383</v>
      </c>
      <c r="K349" s="37">
        <f t="shared" ref="K349:K350" si="326">153.13*E349</f>
        <v>153.13</v>
      </c>
      <c r="L349" s="38">
        <f t="shared" si="325"/>
        <v>1071.9099999999999</v>
      </c>
      <c r="M349" s="20">
        <f t="shared" si="325"/>
        <v>2450.08</v>
      </c>
      <c r="P349" s="24"/>
    </row>
    <row r="350" spans="3:16" x14ac:dyDescent="0.35">
      <c r="C350" s="25"/>
      <c r="D350" s="26" t="s">
        <v>1378</v>
      </c>
      <c r="E350" s="40">
        <v>1</v>
      </c>
      <c r="F350" s="41">
        <v>7</v>
      </c>
      <c r="G350" s="29">
        <v>18</v>
      </c>
      <c r="H350" s="30">
        <v>194</v>
      </c>
      <c r="I350" s="31">
        <v>1112</v>
      </c>
      <c r="J350" s="32">
        <v>2741</v>
      </c>
      <c r="K350" s="40">
        <f t="shared" si="326"/>
        <v>153.13</v>
      </c>
      <c r="L350" s="41">
        <f t="shared" si="325"/>
        <v>1071.9099999999999</v>
      </c>
      <c r="M350" s="29">
        <f t="shared" si="325"/>
        <v>2756.34</v>
      </c>
      <c r="N350" s="26"/>
      <c r="O350" s="26"/>
      <c r="P350" s="33"/>
    </row>
    <row r="351" spans="3:16" x14ac:dyDescent="0.35">
      <c r="C351" s="8" t="str">
        <f>'To be deleted'!AR21</f>
        <v>Light Machinery, Equipment and Furniture</v>
      </c>
      <c r="D351" s="9" t="s">
        <v>1375</v>
      </c>
      <c r="E351" s="34">
        <v>1</v>
      </c>
      <c r="F351" s="35">
        <v>4</v>
      </c>
      <c r="G351" s="12">
        <v>12</v>
      </c>
      <c r="H351" s="13">
        <v>130</v>
      </c>
      <c r="I351" s="14">
        <v>806</v>
      </c>
      <c r="J351" s="15">
        <v>2269</v>
      </c>
      <c r="K351" s="34">
        <f>203.25*E351</f>
        <v>203.25</v>
      </c>
      <c r="L351" s="35">
        <f t="shared" ref="L351:M353" si="327">203.25*F351</f>
        <v>813</v>
      </c>
      <c r="M351" s="12">
        <f t="shared" si="327"/>
        <v>2439</v>
      </c>
      <c r="N351" s="9"/>
      <c r="O351" s="9"/>
      <c r="P351" s="16"/>
    </row>
    <row r="352" spans="3:16" x14ac:dyDescent="0.35">
      <c r="D352" t="s">
        <v>1377</v>
      </c>
      <c r="E352" s="37">
        <v>1</v>
      </c>
      <c r="F352" s="38">
        <v>5</v>
      </c>
      <c r="G352" s="20">
        <v>14</v>
      </c>
      <c r="H352" s="21">
        <v>151</v>
      </c>
      <c r="I352" s="22">
        <v>937</v>
      </c>
      <c r="J352" s="23">
        <v>2639</v>
      </c>
      <c r="K352" s="37">
        <f t="shared" ref="K352:K353" si="328">203.25*E352</f>
        <v>203.25</v>
      </c>
      <c r="L352" s="38">
        <f t="shared" si="327"/>
        <v>1016.25</v>
      </c>
      <c r="M352" s="20">
        <f t="shared" si="327"/>
        <v>2845.5</v>
      </c>
      <c r="P352" s="24"/>
    </row>
    <row r="353" spans="1:16" x14ac:dyDescent="0.35">
      <c r="C353" s="25"/>
      <c r="D353" s="26" t="s">
        <v>1378</v>
      </c>
      <c r="E353" s="40">
        <v>1</v>
      </c>
      <c r="F353" s="41">
        <v>6</v>
      </c>
      <c r="G353" s="29">
        <v>16</v>
      </c>
      <c r="H353" s="30">
        <v>173</v>
      </c>
      <c r="I353" s="31">
        <v>1077</v>
      </c>
      <c r="J353" s="32">
        <v>3035</v>
      </c>
      <c r="K353" s="40">
        <f t="shared" si="328"/>
        <v>203.25</v>
      </c>
      <c r="L353" s="41">
        <f t="shared" si="327"/>
        <v>1219.5</v>
      </c>
      <c r="M353" s="29">
        <f t="shared" si="327"/>
        <v>3252</v>
      </c>
      <c r="N353" s="26"/>
      <c r="O353" s="26"/>
      <c r="P353" s="33"/>
    </row>
    <row r="354" spans="1:16" x14ac:dyDescent="0.35">
      <c r="E354" s="38"/>
      <c r="F354" s="38"/>
      <c r="G354" s="19"/>
      <c r="H354" s="22"/>
      <c r="I354" s="22"/>
      <c r="J354" s="22"/>
      <c r="K354" s="38"/>
      <c r="L354" s="38"/>
      <c r="M354" s="19"/>
    </row>
    <row r="355" spans="1:16" x14ac:dyDescent="0.35">
      <c r="A355">
        <v>20</v>
      </c>
      <c r="B355" t="str">
        <f>'To be deleted'!B22</f>
        <v>Panchagarh Economic Zone</v>
      </c>
      <c r="C355" s="8" t="str">
        <f>'To be deleted'!AM22</f>
        <v>Textiles and RMG</v>
      </c>
      <c r="D355" s="9" t="s">
        <v>1375</v>
      </c>
      <c r="E355" s="34">
        <v>10</v>
      </c>
      <c r="F355" s="35">
        <v>31</v>
      </c>
      <c r="G355" s="12">
        <v>102</v>
      </c>
      <c r="H355" s="13">
        <v>1368</v>
      </c>
      <c r="I355" s="14">
        <v>4441</v>
      </c>
      <c r="J355" s="15">
        <v>14550</v>
      </c>
      <c r="K355" s="34">
        <f>35.36*E355</f>
        <v>353.6</v>
      </c>
      <c r="L355" s="35">
        <f t="shared" ref="L355:M357" si="329">35.36*F355</f>
        <v>1096.1600000000001</v>
      </c>
      <c r="M355" s="12">
        <f t="shared" si="329"/>
        <v>3606.72</v>
      </c>
      <c r="N355" s="9"/>
      <c r="O355" s="9"/>
      <c r="P355" s="16"/>
    </row>
    <row r="356" spans="1:16" x14ac:dyDescent="0.35">
      <c r="D356" t="s">
        <v>1377</v>
      </c>
      <c r="E356" s="37">
        <v>11</v>
      </c>
      <c r="F356" s="38">
        <v>36</v>
      </c>
      <c r="G356" s="20">
        <v>119</v>
      </c>
      <c r="H356" s="21">
        <v>1591</v>
      </c>
      <c r="I356" s="22">
        <v>5164</v>
      </c>
      <c r="J356" s="23">
        <v>16920</v>
      </c>
      <c r="K356" s="37">
        <f t="shared" ref="K356:K357" si="330">35.36*E356</f>
        <v>388.96</v>
      </c>
      <c r="L356" s="38">
        <f t="shared" si="329"/>
        <v>1272.96</v>
      </c>
      <c r="M356" s="20">
        <f t="shared" si="329"/>
        <v>4207.84</v>
      </c>
      <c r="P356" s="24"/>
    </row>
    <row r="357" spans="1:16" x14ac:dyDescent="0.35">
      <c r="C357" s="25"/>
      <c r="D357" s="26" t="s">
        <v>1378</v>
      </c>
      <c r="E357" s="40">
        <v>13</v>
      </c>
      <c r="F357" s="41">
        <v>42</v>
      </c>
      <c r="G357" s="29">
        <v>137</v>
      </c>
      <c r="H357" s="30">
        <v>1829</v>
      </c>
      <c r="I357" s="31">
        <v>5939</v>
      </c>
      <c r="J357" s="32">
        <v>19459</v>
      </c>
      <c r="K357" s="40">
        <f t="shared" si="330"/>
        <v>459.68</v>
      </c>
      <c r="L357" s="41">
        <f t="shared" si="329"/>
        <v>1485.12</v>
      </c>
      <c r="M357" s="29">
        <f t="shared" si="329"/>
        <v>4844.32</v>
      </c>
      <c r="N357" s="26"/>
      <c r="O357" s="26"/>
      <c r="P357" s="33"/>
    </row>
    <row r="358" spans="1:16" x14ac:dyDescent="0.35">
      <c r="C358" s="8" t="str">
        <f>'To be deleted'!AN22</f>
        <v>Food and Beverage</v>
      </c>
      <c r="D358" s="9" t="s">
        <v>1375</v>
      </c>
      <c r="E358" s="34">
        <v>3</v>
      </c>
      <c r="F358" s="35">
        <v>11</v>
      </c>
      <c r="G358" s="12">
        <v>34</v>
      </c>
      <c r="H358" s="13">
        <v>74</v>
      </c>
      <c r="I358" s="14">
        <v>245</v>
      </c>
      <c r="J358" s="15">
        <v>777</v>
      </c>
      <c r="K358" s="34">
        <f>36.76*E358</f>
        <v>110.28</v>
      </c>
      <c r="L358" s="35">
        <f t="shared" ref="L358:M360" si="331">36.76*F358</f>
        <v>404.35999999999996</v>
      </c>
      <c r="M358" s="12">
        <f t="shared" si="331"/>
        <v>1249.8399999999999</v>
      </c>
      <c r="N358" s="9"/>
      <c r="O358" s="9"/>
      <c r="P358" s="16"/>
    </row>
    <row r="359" spans="1:16" x14ac:dyDescent="0.35">
      <c r="D359" t="s">
        <v>1377</v>
      </c>
      <c r="E359" s="37">
        <v>4</v>
      </c>
      <c r="F359" s="38">
        <v>12</v>
      </c>
      <c r="G359" s="20">
        <v>39</v>
      </c>
      <c r="H359" s="21">
        <v>86</v>
      </c>
      <c r="I359" s="22">
        <v>285</v>
      </c>
      <c r="J359" s="23">
        <v>904</v>
      </c>
      <c r="K359" s="37">
        <f t="shared" ref="K359:K360" si="332">36.76*E359</f>
        <v>147.04</v>
      </c>
      <c r="L359" s="38">
        <f t="shared" si="331"/>
        <v>441.12</v>
      </c>
      <c r="M359" s="20">
        <f t="shared" si="331"/>
        <v>1433.6399999999999</v>
      </c>
      <c r="P359" s="24"/>
    </row>
    <row r="360" spans="1:16" x14ac:dyDescent="0.35">
      <c r="C360" s="25"/>
      <c r="D360" s="26" t="s">
        <v>1378</v>
      </c>
      <c r="E360" s="40">
        <v>4</v>
      </c>
      <c r="F360" s="41">
        <v>14</v>
      </c>
      <c r="G360" s="29">
        <v>45</v>
      </c>
      <c r="H360" s="30">
        <v>99</v>
      </c>
      <c r="I360" s="31">
        <v>328</v>
      </c>
      <c r="J360" s="32">
        <v>1039</v>
      </c>
      <c r="K360" s="40">
        <f t="shared" si="332"/>
        <v>147.04</v>
      </c>
      <c r="L360" s="41">
        <f t="shared" si="331"/>
        <v>514.64</v>
      </c>
      <c r="M360" s="29">
        <f t="shared" si="331"/>
        <v>1654.1999999999998</v>
      </c>
      <c r="N360" s="26"/>
      <c r="O360" s="26"/>
      <c r="P360" s="33"/>
    </row>
    <row r="361" spans="1:16" x14ac:dyDescent="0.35">
      <c r="C361" s="8" t="str">
        <f>'To be deleted'!AO22</f>
        <v>Agro based</v>
      </c>
      <c r="D361" s="9" t="s">
        <v>1375</v>
      </c>
      <c r="E361" s="34">
        <v>0</v>
      </c>
      <c r="F361" s="35">
        <v>0</v>
      </c>
      <c r="G361" s="12">
        <v>1</v>
      </c>
      <c r="H361" s="13">
        <v>18</v>
      </c>
      <c r="I361" s="14">
        <v>59</v>
      </c>
      <c r="J361" s="15">
        <v>170</v>
      </c>
      <c r="K361" s="34">
        <f>52.87*E361</f>
        <v>0</v>
      </c>
      <c r="L361" s="35">
        <f t="shared" ref="L361:M363" si="333">52.87*F361</f>
        <v>0</v>
      </c>
      <c r="M361" s="12">
        <f t="shared" si="333"/>
        <v>52.87</v>
      </c>
      <c r="N361" s="9"/>
      <c r="O361" s="9"/>
      <c r="P361" s="16"/>
    </row>
    <row r="362" spans="1:16" x14ac:dyDescent="0.35">
      <c r="D362" t="s">
        <v>1377</v>
      </c>
      <c r="E362" s="37">
        <v>0</v>
      </c>
      <c r="F362" s="38">
        <v>1</v>
      </c>
      <c r="G362" s="20">
        <v>2</v>
      </c>
      <c r="H362" s="21">
        <v>21</v>
      </c>
      <c r="I362" s="22">
        <v>68</v>
      </c>
      <c r="J362" s="23">
        <v>197</v>
      </c>
      <c r="K362" s="37">
        <f t="shared" ref="K362:K363" si="334">52.87*E362</f>
        <v>0</v>
      </c>
      <c r="L362" s="38">
        <f t="shared" si="333"/>
        <v>52.87</v>
      </c>
      <c r="M362" s="20">
        <f t="shared" si="333"/>
        <v>105.74</v>
      </c>
      <c r="P362" s="24"/>
    </row>
    <row r="363" spans="1:16" x14ac:dyDescent="0.35">
      <c r="C363" s="25"/>
      <c r="D363" s="26" t="s">
        <v>1378</v>
      </c>
      <c r="E363" s="40">
        <v>0</v>
      </c>
      <c r="F363" s="41">
        <v>1</v>
      </c>
      <c r="G363" s="29">
        <v>2</v>
      </c>
      <c r="H363" s="30">
        <v>24</v>
      </c>
      <c r="I363" s="31">
        <v>79</v>
      </c>
      <c r="J363" s="32">
        <v>227</v>
      </c>
      <c r="K363" s="40">
        <f t="shared" si="334"/>
        <v>0</v>
      </c>
      <c r="L363" s="41">
        <f t="shared" si="333"/>
        <v>52.87</v>
      </c>
      <c r="M363" s="29">
        <f t="shared" si="333"/>
        <v>105.74</v>
      </c>
      <c r="N363" s="26"/>
      <c r="O363" s="26"/>
      <c r="P363" s="33"/>
    </row>
    <row r="364" spans="1:16" x14ac:dyDescent="0.35">
      <c r="C364" s="8" t="str">
        <f>'To be deleted'!AP22</f>
        <v>Plastic and Rubber</v>
      </c>
      <c r="D364" s="9" t="s">
        <v>1375</v>
      </c>
      <c r="E364" s="34">
        <v>0</v>
      </c>
      <c r="F364" s="35">
        <v>0</v>
      </c>
      <c r="G364" s="12">
        <v>1</v>
      </c>
      <c r="H364" s="13">
        <v>15</v>
      </c>
      <c r="I364" s="14">
        <v>48</v>
      </c>
      <c r="J364" s="15">
        <v>142</v>
      </c>
      <c r="K364" s="34">
        <f>111.58*E364</f>
        <v>0</v>
      </c>
      <c r="L364" s="35">
        <f t="shared" ref="L364:M366" si="335">111.58*F364</f>
        <v>0</v>
      </c>
      <c r="M364" s="12">
        <f t="shared" si="335"/>
        <v>111.58</v>
      </c>
      <c r="N364" s="9"/>
      <c r="O364" s="9"/>
      <c r="P364" s="16"/>
    </row>
    <row r="365" spans="1:16" x14ac:dyDescent="0.35">
      <c r="D365" t="s">
        <v>1377</v>
      </c>
      <c r="E365" s="37">
        <v>0</v>
      </c>
      <c r="F365" s="38">
        <v>0</v>
      </c>
      <c r="G365" s="20">
        <v>1</v>
      </c>
      <c r="H365" s="21">
        <v>17</v>
      </c>
      <c r="I365" s="22">
        <v>56</v>
      </c>
      <c r="J365" s="23">
        <v>165</v>
      </c>
      <c r="K365" s="37">
        <f t="shared" ref="K365:K366" si="336">111.58*E365</f>
        <v>0</v>
      </c>
      <c r="L365" s="38">
        <f t="shared" si="335"/>
        <v>0</v>
      </c>
      <c r="M365" s="20">
        <f t="shared" si="335"/>
        <v>111.58</v>
      </c>
      <c r="P365" s="24"/>
    </row>
    <row r="366" spans="1:16" x14ac:dyDescent="0.35">
      <c r="C366" s="25"/>
      <c r="D366" s="26" t="s">
        <v>1378</v>
      </c>
      <c r="E366" s="40">
        <v>0</v>
      </c>
      <c r="F366" s="41">
        <v>0</v>
      </c>
      <c r="G366" s="29">
        <v>1</v>
      </c>
      <c r="H366" s="30">
        <v>20</v>
      </c>
      <c r="I366" s="31">
        <v>64</v>
      </c>
      <c r="J366" s="32">
        <v>190</v>
      </c>
      <c r="K366" s="40">
        <f t="shared" si="336"/>
        <v>0</v>
      </c>
      <c r="L366" s="41">
        <f t="shared" si="335"/>
        <v>0</v>
      </c>
      <c r="M366" s="29">
        <f t="shared" si="335"/>
        <v>111.58</v>
      </c>
      <c r="N366" s="26"/>
      <c r="O366" s="26"/>
      <c r="P366" s="33"/>
    </row>
    <row r="367" spans="1:16" x14ac:dyDescent="0.35">
      <c r="C367" s="8" t="str">
        <f>'To be deleted'!AQ22</f>
        <v>Chemicals</v>
      </c>
      <c r="D367" s="9" t="s">
        <v>1375</v>
      </c>
      <c r="E367" s="34">
        <v>0</v>
      </c>
      <c r="F367" s="35">
        <v>1</v>
      </c>
      <c r="G367" s="12">
        <v>2</v>
      </c>
      <c r="H367" s="13">
        <v>30</v>
      </c>
      <c r="I367" s="14">
        <v>98</v>
      </c>
      <c r="J367" s="15">
        <v>320</v>
      </c>
      <c r="K367" s="34">
        <f>223.17*E367</f>
        <v>0</v>
      </c>
      <c r="L367" s="35">
        <f t="shared" ref="L367:M369" si="337">223.17*F367</f>
        <v>223.17</v>
      </c>
      <c r="M367" s="12">
        <f t="shared" si="337"/>
        <v>446.34</v>
      </c>
      <c r="N367" s="9"/>
      <c r="O367" s="9"/>
      <c r="P367" s="16"/>
    </row>
    <row r="368" spans="1:16" x14ac:dyDescent="0.35">
      <c r="D368" t="s">
        <v>1377</v>
      </c>
      <c r="E368" s="37">
        <v>0</v>
      </c>
      <c r="F368" s="38">
        <v>1</v>
      </c>
      <c r="G368" s="20">
        <v>2</v>
      </c>
      <c r="H368" s="21">
        <v>35</v>
      </c>
      <c r="I368" s="22">
        <v>114</v>
      </c>
      <c r="J368" s="23">
        <v>372</v>
      </c>
      <c r="K368" s="37">
        <f t="shared" ref="K368:K369" si="338">223.17*E368</f>
        <v>0</v>
      </c>
      <c r="L368" s="38">
        <f t="shared" si="337"/>
        <v>223.17</v>
      </c>
      <c r="M368" s="20">
        <f t="shared" si="337"/>
        <v>446.34</v>
      </c>
      <c r="P368" s="24"/>
    </row>
    <row r="369" spans="1:19" x14ac:dyDescent="0.35">
      <c r="C369" s="25"/>
      <c r="D369" s="26" t="s">
        <v>1378</v>
      </c>
      <c r="E369" s="40">
        <v>0</v>
      </c>
      <c r="F369" s="41">
        <v>1</v>
      </c>
      <c r="G369" s="29">
        <v>3</v>
      </c>
      <c r="H369" s="30">
        <v>40</v>
      </c>
      <c r="I369" s="31">
        <v>131</v>
      </c>
      <c r="J369" s="32">
        <v>428</v>
      </c>
      <c r="K369" s="40">
        <f t="shared" si="338"/>
        <v>0</v>
      </c>
      <c r="L369" s="41">
        <f t="shared" si="337"/>
        <v>223.17</v>
      </c>
      <c r="M369" s="29">
        <f t="shared" si="337"/>
        <v>669.51</v>
      </c>
      <c r="N369" s="26"/>
      <c r="O369" s="26"/>
      <c r="P369" s="33"/>
    </row>
    <row r="370" spans="1:19" x14ac:dyDescent="0.35">
      <c r="R370" t="s">
        <v>1392</v>
      </c>
      <c r="S370" t="s">
        <v>1393</v>
      </c>
    </row>
    <row r="371" spans="1:19" x14ac:dyDescent="0.35">
      <c r="A371">
        <v>21</v>
      </c>
      <c r="B371" t="str">
        <f>'To be deleted'!B23</f>
        <v>Mongla Economic Zone</v>
      </c>
      <c r="C371" s="8" t="str">
        <f>'To be deleted'!AM23</f>
        <v>Textiles and RMG</v>
      </c>
      <c r="D371" s="9" t="s">
        <v>1375</v>
      </c>
      <c r="E371" s="34">
        <f>2.47105*R371</f>
        <v>69.189400000000006</v>
      </c>
      <c r="F371" s="35">
        <f>2.47105*S371</f>
        <v>69.189400000000006</v>
      </c>
      <c r="G371" s="12"/>
      <c r="H371" s="13">
        <f>278*R371</f>
        <v>7784</v>
      </c>
      <c r="I371" s="14">
        <f t="shared" ref="I371:I373" si="339">278*S371</f>
        <v>7784</v>
      </c>
      <c r="J371" s="15"/>
      <c r="K371" s="34"/>
      <c r="L371" s="35"/>
      <c r="M371" s="12"/>
      <c r="N371" s="9"/>
      <c r="O371" s="9"/>
      <c r="P371" s="16"/>
      <c r="R371">
        <v>28</v>
      </c>
      <c r="S371">
        <v>28</v>
      </c>
    </row>
    <row r="372" spans="1:19" x14ac:dyDescent="0.35">
      <c r="D372" t="s">
        <v>1377</v>
      </c>
      <c r="E372" s="37">
        <f t="shared" ref="E372:F379" si="340">2.47105*R372</f>
        <v>69.189400000000006</v>
      </c>
      <c r="F372" s="38">
        <f t="shared" si="340"/>
        <v>69.189400000000006</v>
      </c>
      <c r="G372" s="20"/>
      <c r="H372" s="21">
        <f t="shared" ref="H372:H373" si="341">278*R372</f>
        <v>7784</v>
      </c>
      <c r="I372" s="22">
        <f t="shared" si="339"/>
        <v>7784</v>
      </c>
      <c r="J372" s="23"/>
      <c r="K372" s="37"/>
      <c r="L372" s="38"/>
      <c r="M372" s="20"/>
      <c r="P372" s="24"/>
      <c r="R372">
        <v>28</v>
      </c>
      <c r="S372">
        <v>28</v>
      </c>
    </row>
    <row r="373" spans="1:19" x14ac:dyDescent="0.35">
      <c r="C373" s="25"/>
      <c r="D373" s="26" t="s">
        <v>1378</v>
      </c>
      <c r="E373" s="40">
        <f t="shared" si="340"/>
        <v>71.660449999999997</v>
      </c>
      <c r="F373" s="41">
        <f t="shared" si="340"/>
        <v>71.660449999999997</v>
      </c>
      <c r="G373" s="29"/>
      <c r="H373" s="30">
        <f t="shared" si="341"/>
        <v>8062</v>
      </c>
      <c r="I373" s="31">
        <f t="shared" si="339"/>
        <v>8062</v>
      </c>
      <c r="J373" s="32"/>
      <c r="K373" s="40"/>
      <c r="L373" s="41"/>
      <c r="M373" s="29"/>
      <c r="N373" s="26"/>
      <c r="O373" s="26"/>
      <c r="P373" s="33"/>
      <c r="R373">
        <v>29</v>
      </c>
      <c r="S373">
        <v>29</v>
      </c>
    </row>
    <row r="374" spans="1:19" x14ac:dyDescent="0.35">
      <c r="C374" s="8" t="str">
        <f>'To be deleted'!AN23</f>
        <v>Food processing</v>
      </c>
      <c r="D374" s="9" t="s">
        <v>1375</v>
      </c>
      <c r="E374" s="34">
        <f t="shared" si="340"/>
        <v>34.594700000000003</v>
      </c>
      <c r="F374" s="35">
        <f t="shared" si="340"/>
        <v>34.594700000000003</v>
      </c>
      <c r="G374" s="12"/>
      <c r="H374" s="13">
        <f>67*R374</f>
        <v>938</v>
      </c>
      <c r="I374" s="14">
        <f t="shared" ref="I374:I376" si="342">67*S374</f>
        <v>938</v>
      </c>
      <c r="J374" s="15"/>
      <c r="K374" s="34"/>
      <c r="L374" s="35"/>
      <c r="M374" s="12"/>
      <c r="N374" s="9"/>
      <c r="O374" s="9"/>
      <c r="P374" s="16"/>
      <c r="R374">
        <v>14</v>
      </c>
      <c r="S374">
        <v>14</v>
      </c>
    </row>
    <row r="375" spans="1:19" x14ac:dyDescent="0.35">
      <c r="D375" t="s">
        <v>1377</v>
      </c>
      <c r="E375" s="37">
        <f t="shared" si="340"/>
        <v>34.594700000000003</v>
      </c>
      <c r="F375" s="38">
        <f t="shared" si="340"/>
        <v>34.594700000000003</v>
      </c>
      <c r="G375" s="20"/>
      <c r="H375" s="21">
        <f t="shared" ref="H375:H376" si="343">67*R375</f>
        <v>938</v>
      </c>
      <c r="I375" s="22">
        <f t="shared" si="342"/>
        <v>938</v>
      </c>
      <c r="J375" s="23"/>
      <c r="K375" s="37"/>
      <c r="L375" s="38"/>
      <c r="M375" s="20"/>
      <c r="P375" s="24"/>
      <c r="R375">
        <v>14</v>
      </c>
      <c r="S375">
        <v>14</v>
      </c>
    </row>
    <row r="376" spans="1:19" x14ac:dyDescent="0.35">
      <c r="C376" s="25"/>
      <c r="D376" s="26" t="s">
        <v>1378</v>
      </c>
      <c r="E376" s="40">
        <f t="shared" si="340"/>
        <v>37.065750000000001</v>
      </c>
      <c r="F376" s="41">
        <f t="shared" si="340"/>
        <v>37.065750000000001</v>
      </c>
      <c r="G376" s="29"/>
      <c r="H376" s="30">
        <f t="shared" si="343"/>
        <v>1005</v>
      </c>
      <c r="I376" s="31">
        <f t="shared" si="342"/>
        <v>1005</v>
      </c>
      <c r="J376" s="32"/>
      <c r="K376" s="40"/>
      <c r="L376" s="41"/>
      <c r="M376" s="29"/>
      <c r="N376" s="26"/>
      <c r="O376" s="26"/>
      <c r="P376" s="33"/>
      <c r="R376">
        <v>15</v>
      </c>
      <c r="S376">
        <v>15</v>
      </c>
    </row>
    <row r="377" spans="1:19" x14ac:dyDescent="0.35">
      <c r="C377" s="8" t="str">
        <f>'To be deleted'!AO23</f>
        <v>Light engineering</v>
      </c>
      <c r="D377" s="9" t="s">
        <v>1375</v>
      </c>
      <c r="E377" s="34">
        <f t="shared" si="340"/>
        <v>12.35525</v>
      </c>
      <c r="F377" s="35">
        <f t="shared" si="340"/>
        <v>12.35525</v>
      </c>
      <c r="G377" s="12"/>
      <c r="H377" s="13">
        <f>167*R377</f>
        <v>835</v>
      </c>
      <c r="I377" s="14">
        <f t="shared" ref="I377:I379" si="344">167*S377</f>
        <v>835</v>
      </c>
      <c r="J377" s="15"/>
      <c r="K377" s="34"/>
      <c r="L377" s="35"/>
      <c r="M377" s="12"/>
      <c r="N377" s="9"/>
      <c r="O377" s="9"/>
      <c r="P377" s="16"/>
      <c r="R377">
        <v>5</v>
      </c>
      <c r="S377">
        <v>5</v>
      </c>
    </row>
    <row r="378" spans="1:19" x14ac:dyDescent="0.35">
      <c r="D378" t="s">
        <v>1377</v>
      </c>
      <c r="E378" s="37">
        <f t="shared" si="340"/>
        <v>14.8263</v>
      </c>
      <c r="F378" s="38">
        <f t="shared" si="340"/>
        <v>14.8263</v>
      </c>
      <c r="G378" s="20"/>
      <c r="H378" s="21">
        <f t="shared" ref="H378:H379" si="345">167*R378</f>
        <v>1002</v>
      </c>
      <c r="I378" s="22">
        <f t="shared" si="344"/>
        <v>1002</v>
      </c>
      <c r="J378" s="23"/>
      <c r="K378" s="37"/>
      <c r="L378" s="38"/>
      <c r="M378" s="20"/>
      <c r="P378" s="24"/>
      <c r="R378">
        <v>6</v>
      </c>
      <c r="S378">
        <v>6</v>
      </c>
    </row>
    <row r="379" spans="1:19" x14ac:dyDescent="0.35">
      <c r="C379" s="25"/>
      <c r="D379" s="26" t="s">
        <v>1378</v>
      </c>
      <c r="E379" s="40">
        <f t="shared" si="340"/>
        <v>14.8263</v>
      </c>
      <c r="F379" s="41">
        <f t="shared" si="340"/>
        <v>14.8263</v>
      </c>
      <c r="G379" s="29"/>
      <c r="H379" s="30">
        <f t="shared" si="345"/>
        <v>1002</v>
      </c>
      <c r="I379" s="31">
        <f t="shared" si="344"/>
        <v>1002</v>
      </c>
      <c r="J379" s="32"/>
      <c r="K379" s="40"/>
      <c r="L379" s="41"/>
      <c r="M379" s="29"/>
      <c r="N379" s="26"/>
      <c r="O379" s="26"/>
      <c r="P379" s="33"/>
      <c r="R379">
        <v>6</v>
      </c>
      <c r="S379">
        <v>6</v>
      </c>
    </row>
    <row r="380" spans="1:19" x14ac:dyDescent="0.35">
      <c r="E380" s="38"/>
      <c r="F380" s="38"/>
      <c r="G380" s="19"/>
      <c r="H380" s="22"/>
      <c r="I380" s="22"/>
      <c r="J380" s="22"/>
      <c r="K380" s="38"/>
      <c r="L380" s="38"/>
      <c r="M380" s="19"/>
    </row>
    <row r="381" spans="1:19" x14ac:dyDescent="0.35">
      <c r="A381">
        <v>22</v>
      </c>
      <c r="B381" t="str">
        <f>'To be deleted'!B24</f>
        <v>Naf Tourism Park</v>
      </c>
      <c r="C381" s="8" t="str">
        <f>'To be deleted'!AM24</f>
        <v>Tourism</v>
      </c>
      <c r="D381" s="9" t="s">
        <v>1375</v>
      </c>
      <c r="E381" s="34">
        <f>95%*$R$383</f>
        <v>76.978499999999997</v>
      </c>
      <c r="F381" s="35">
        <f t="shared" ref="F381:G383" si="346">95%*$R$383</f>
        <v>76.978499999999997</v>
      </c>
      <c r="G381" s="12">
        <f t="shared" si="346"/>
        <v>76.978499999999997</v>
      </c>
      <c r="H381" s="13">
        <f>376*E381</f>
        <v>28943.915999999997</v>
      </c>
      <c r="I381" s="14">
        <f t="shared" ref="I381:J383" si="347">376*F381</f>
        <v>28943.915999999997</v>
      </c>
      <c r="J381" s="15">
        <f t="shared" si="347"/>
        <v>28943.915999999997</v>
      </c>
      <c r="K381" s="34"/>
      <c r="L381" s="35"/>
      <c r="M381" s="12"/>
      <c r="N381" s="9"/>
      <c r="O381" s="9"/>
      <c r="P381" s="16"/>
      <c r="R381" t="s">
        <v>1394</v>
      </c>
    </row>
    <row r="382" spans="1:19" x14ac:dyDescent="0.35">
      <c r="D382" t="s">
        <v>1377</v>
      </c>
      <c r="E382" s="37">
        <f t="shared" ref="E382:E383" si="348">95%*$R$383</f>
        <v>76.978499999999997</v>
      </c>
      <c r="F382" s="38">
        <f t="shared" si="346"/>
        <v>76.978499999999997</v>
      </c>
      <c r="G382" s="20">
        <f t="shared" si="346"/>
        <v>76.978499999999997</v>
      </c>
      <c r="H382" s="21">
        <f t="shared" ref="H382:H383" si="349">376*E382</f>
        <v>28943.915999999997</v>
      </c>
      <c r="I382" s="22">
        <f t="shared" si="347"/>
        <v>28943.915999999997</v>
      </c>
      <c r="J382" s="23">
        <f t="shared" si="347"/>
        <v>28943.915999999997</v>
      </c>
      <c r="K382" s="37"/>
      <c r="L382" s="38"/>
      <c r="M382" s="20"/>
      <c r="P382" s="24"/>
      <c r="R382" t="s">
        <v>1395</v>
      </c>
    </row>
    <row r="383" spans="1:19" x14ac:dyDescent="0.35">
      <c r="C383" s="25"/>
      <c r="D383" s="26" t="s">
        <v>1378</v>
      </c>
      <c r="E383" s="40">
        <f t="shared" si="348"/>
        <v>76.978499999999997</v>
      </c>
      <c r="F383" s="41">
        <f t="shared" si="346"/>
        <v>76.978499999999997</v>
      </c>
      <c r="G383" s="29">
        <f t="shared" si="346"/>
        <v>76.978499999999997</v>
      </c>
      <c r="H383" s="30">
        <f t="shared" si="349"/>
        <v>28943.915999999997</v>
      </c>
      <c r="I383" s="31">
        <f t="shared" si="347"/>
        <v>28943.915999999997</v>
      </c>
      <c r="J383" s="32">
        <f t="shared" si="347"/>
        <v>28943.915999999997</v>
      </c>
      <c r="K383" s="40"/>
      <c r="L383" s="41"/>
      <c r="M383" s="29"/>
      <c r="N383" s="26"/>
      <c r="O383" s="26"/>
      <c r="P383" s="33"/>
      <c r="R383">
        <f>56.55+24.48</f>
        <v>81.03</v>
      </c>
    </row>
    <row r="384" spans="1:19" x14ac:dyDescent="0.35">
      <c r="C384" s="8">
        <f>'To be deleted'!AN24</f>
        <v>0</v>
      </c>
      <c r="D384" s="9" t="s">
        <v>1375</v>
      </c>
      <c r="E384" s="34">
        <f>95%*$R$385</f>
        <v>124.10799999999998</v>
      </c>
      <c r="F384" s="35">
        <f t="shared" ref="F384:G386" si="350">95%*$R$385</f>
        <v>124.10799999999998</v>
      </c>
      <c r="G384" s="12">
        <f t="shared" si="350"/>
        <v>124.10799999999998</v>
      </c>
      <c r="H384" s="13">
        <f>1156*E384</f>
        <v>143468.84799999997</v>
      </c>
      <c r="I384" s="14">
        <f t="shared" ref="I384:J386" si="351">1156*F384</f>
        <v>143468.84799999997</v>
      </c>
      <c r="J384" s="15">
        <f t="shared" si="351"/>
        <v>143468.84799999997</v>
      </c>
      <c r="K384" s="34"/>
      <c r="L384" s="35"/>
      <c r="M384" s="12"/>
      <c r="N384" s="9"/>
      <c r="O384" s="9"/>
      <c r="P384" s="16"/>
    </row>
    <row r="385" spans="3:18" x14ac:dyDescent="0.35">
      <c r="D385" t="s">
        <v>1377</v>
      </c>
      <c r="E385" s="37">
        <f t="shared" ref="E385:E386" si="352">95%*$R$385</f>
        <v>124.10799999999998</v>
      </c>
      <c r="F385" s="38">
        <f t="shared" si="350"/>
        <v>124.10799999999998</v>
      </c>
      <c r="G385" s="20">
        <f t="shared" si="350"/>
        <v>124.10799999999998</v>
      </c>
      <c r="H385" s="21">
        <f t="shared" ref="H385:H386" si="353">1156*E385</f>
        <v>143468.84799999997</v>
      </c>
      <c r="I385" s="22">
        <f t="shared" si="351"/>
        <v>143468.84799999997</v>
      </c>
      <c r="J385" s="23">
        <f t="shared" si="351"/>
        <v>143468.84799999997</v>
      </c>
      <c r="K385" s="37"/>
      <c r="L385" s="38"/>
      <c r="M385" s="20"/>
      <c r="P385" s="24"/>
      <c r="R385">
        <f>71.6+59.04</f>
        <v>130.63999999999999</v>
      </c>
    </row>
    <row r="386" spans="3:18" x14ac:dyDescent="0.35">
      <c r="C386" s="25"/>
      <c r="D386" s="26" t="s">
        <v>1378</v>
      </c>
      <c r="E386" s="40">
        <f t="shared" si="352"/>
        <v>124.10799999999998</v>
      </c>
      <c r="F386" s="41">
        <f t="shared" si="350"/>
        <v>124.10799999999998</v>
      </c>
      <c r="G386" s="29">
        <f t="shared" si="350"/>
        <v>124.10799999999998</v>
      </c>
      <c r="H386" s="30">
        <f t="shared" si="353"/>
        <v>143468.84799999997</v>
      </c>
      <c r="I386" s="31">
        <f t="shared" si="351"/>
        <v>143468.84799999997</v>
      </c>
      <c r="J386" s="32">
        <f t="shared" si="351"/>
        <v>143468.84799999997</v>
      </c>
      <c r="K386" s="40"/>
      <c r="L386" s="41"/>
      <c r="M386" s="29"/>
      <c r="N386" s="26"/>
      <c r="O386" s="26"/>
      <c r="P386" s="33"/>
    </row>
    <row r="387" spans="3:18" x14ac:dyDescent="0.35">
      <c r="C387" s="8">
        <f>'To be deleted'!AO24</f>
        <v>0</v>
      </c>
      <c r="D387" s="9" t="s">
        <v>1375</v>
      </c>
      <c r="E387" s="34">
        <f>95%*$R$388</f>
        <v>129.124</v>
      </c>
      <c r="F387" s="35">
        <f t="shared" ref="F387:G389" si="354">95%*$R$388</f>
        <v>129.124</v>
      </c>
      <c r="G387" s="12">
        <f t="shared" si="354"/>
        <v>129.124</v>
      </c>
      <c r="H387" s="13">
        <f>25*E387</f>
        <v>3228.1</v>
      </c>
      <c r="I387" s="14">
        <f t="shared" ref="I387:J389" si="355">25*F387</f>
        <v>3228.1</v>
      </c>
      <c r="J387" s="15">
        <f t="shared" si="355"/>
        <v>3228.1</v>
      </c>
      <c r="K387" s="34"/>
      <c r="L387" s="35"/>
      <c r="M387" s="12"/>
      <c r="N387" s="9"/>
      <c r="O387" s="9"/>
      <c r="P387" s="16"/>
    </row>
    <row r="388" spans="3:18" x14ac:dyDescent="0.35">
      <c r="D388" t="s">
        <v>1377</v>
      </c>
      <c r="E388" s="37">
        <f t="shared" ref="E388:E389" si="356">95%*$R$388</f>
        <v>129.124</v>
      </c>
      <c r="F388" s="38">
        <f t="shared" si="354"/>
        <v>129.124</v>
      </c>
      <c r="G388" s="20">
        <f t="shared" si="354"/>
        <v>129.124</v>
      </c>
      <c r="H388" s="21">
        <f t="shared" ref="H388:H389" si="357">25*E388</f>
        <v>3228.1</v>
      </c>
      <c r="I388" s="22">
        <f t="shared" si="355"/>
        <v>3228.1</v>
      </c>
      <c r="J388" s="23">
        <f t="shared" si="355"/>
        <v>3228.1</v>
      </c>
      <c r="K388" s="37"/>
      <c r="L388" s="38"/>
      <c r="M388" s="20"/>
      <c r="P388" s="24"/>
      <c r="R388">
        <f>60.76+75.16</f>
        <v>135.91999999999999</v>
      </c>
    </row>
    <row r="389" spans="3:18" x14ac:dyDescent="0.35">
      <c r="C389" s="25"/>
      <c r="D389" s="26" t="s">
        <v>1378</v>
      </c>
      <c r="E389" s="40">
        <f t="shared" si="356"/>
        <v>129.124</v>
      </c>
      <c r="F389" s="41">
        <f t="shared" si="354"/>
        <v>129.124</v>
      </c>
      <c r="G389" s="29">
        <f t="shared" si="354"/>
        <v>129.124</v>
      </c>
      <c r="H389" s="30">
        <f t="shared" si="357"/>
        <v>3228.1</v>
      </c>
      <c r="I389" s="31">
        <f t="shared" si="355"/>
        <v>3228.1</v>
      </c>
      <c r="J389" s="32">
        <f t="shared" si="355"/>
        <v>3228.1</v>
      </c>
      <c r="K389" s="40"/>
      <c r="L389" s="41"/>
      <c r="M389" s="29"/>
      <c r="N389" s="26"/>
      <c r="O389" s="26"/>
      <c r="P389" s="33"/>
    </row>
    <row r="390" spans="3:18" x14ac:dyDescent="0.35">
      <c r="C390" s="8">
        <f>'To be deleted'!AP24</f>
        <v>0</v>
      </c>
      <c r="D390" s="9" t="s">
        <v>1375</v>
      </c>
      <c r="E390" s="34">
        <f>95%*$R$391</f>
        <v>38.094999999999999</v>
      </c>
      <c r="F390" s="35">
        <f t="shared" ref="F390:G392" si="358">95%*$R$391</f>
        <v>38.094999999999999</v>
      </c>
      <c r="G390" s="12">
        <f t="shared" si="358"/>
        <v>38.094999999999999</v>
      </c>
      <c r="H390" s="13">
        <f>170*E390</f>
        <v>6476.15</v>
      </c>
      <c r="I390" s="14">
        <f t="shared" ref="I390:J392" si="359">170*F390</f>
        <v>6476.15</v>
      </c>
      <c r="J390" s="15">
        <f t="shared" si="359"/>
        <v>6476.15</v>
      </c>
      <c r="K390" s="34"/>
      <c r="L390" s="35"/>
      <c r="M390" s="12"/>
      <c r="N390" s="9"/>
      <c r="O390" s="9"/>
      <c r="P390" s="16"/>
    </row>
    <row r="391" spans="3:18" x14ac:dyDescent="0.35">
      <c r="D391" t="s">
        <v>1377</v>
      </c>
      <c r="E391" s="37">
        <f t="shared" ref="E391:E392" si="360">95%*$R$391</f>
        <v>38.094999999999999</v>
      </c>
      <c r="F391" s="38">
        <f t="shared" si="358"/>
        <v>38.094999999999999</v>
      </c>
      <c r="G391" s="20">
        <f t="shared" si="358"/>
        <v>38.094999999999999</v>
      </c>
      <c r="H391" s="21">
        <f t="shared" ref="H391:H392" si="361">170*E391</f>
        <v>6476.15</v>
      </c>
      <c r="I391" s="22">
        <f t="shared" si="359"/>
        <v>6476.15</v>
      </c>
      <c r="J391" s="23">
        <f t="shared" si="359"/>
        <v>6476.15</v>
      </c>
      <c r="K391" s="37"/>
      <c r="L391" s="38"/>
      <c r="M391" s="20"/>
      <c r="P391" s="24"/>
      <c r="R391">
        <f>40.1</f>
        <v>40.1</v>
      </c>
    </row>
    <row r="392" spans="3:18" x14ac:dyDescent="0.35">
      <c r="C392" s="25"/>
      <c r="D392" s="26" t="s">
        <v>1378</v>
      </c>
      <c r="E392" s="40">
        <f t="shared" si="360"/>
        <v>38.094999999999999</v>
      </c>
      <c r="F392" s="41">
        <f t="shared" si="358"/>
        <v>38.094999999999999</v>
      </c>
      <c r="G392" s="29">
        <f t="shared" si="358"/>
        <v>38.094999999999999</v>
      </c>
      <c r="H392" s="30">
        <f t="shared" si="361"/>
        <v>6476.15</v>
      </c>
      <c r="I392" s="31">
        <f t="shared" si="359"/>
        <v>6476.15</v>
      </c>
      <c r="J392" s="32">
        <f t="shared" si="359"/>
        <v>6476.15</v>
      </c>
      <c r="K392" s="40"/>
      <c r="L392" s="41"/>
      <c r="M392" s="29"/>
      <c r="N392" s="26"/>
      <c r="O392" s="26"/>
      <c r="P392" s="33"/>
    </row>
    <row r="393" spans="3:18" x14ac:dyDescent="0.35">
      <c r="C393" s="8">
        <f>'To be deleted'!AQ24</f>
        <v>0</v>
      </c>
      <c r="D393" s="9" t="s">
        <v>1375</v>
      </c>
      <c r="E393" s="34">
        <f>70%*R394</f>
        <v>55.670999999999999</v>
      </c>
      <c r="F393" s="35">
        <f>95%*$R$394</f>
        <v>75.5535</v>
      </c>
      <c r="G393" s="12">
        <f>95%*$R$394</f>
        <v>75.5535</v>
      </c>
      <c r="H393" s="13"/>
      <c r="I393" s="14"/>
      <c r="J393" s="15"/>
      <c r="K393" s="34"/>
      <c r="L393" s="35"/>
      <c r="M393" s="12"/>
      <c r="N393" s="9"/>
      <c r="O393" s="9"/>
      <c r="P393" s="16"/>
    </row>
    <row r="394" spans="3:18" x14ac:dyDescent="0.35">
      <c r="D394" t="s">
        <v>1377</v>
      </c>
      <c r="E394" s="37">
        <f t="shared" ref="E394:G395" si="362">95%*$R$394</f>
        <v>75.5535</v>
      </c>
      <c r="F394" s="38">
        <f t="shared" si="362"/>
        <v>75.5535</v>
      </c>
      <c r="G394" s="20">
        <f t="shared" si="362"/>
        <v>75.5535</v>
      </c>
      <c r="H394" s="21"/>
      <c r="I394" s="22"/>
      <c r="J394" s="23"/>
      <c r="K394" s="37"/>
      <c r="L394" s="38"/>
      <c r="M394" s="20"/>
      <c r="P394" s="24"/>
      <c r="R394">
        <f>79.53</f>
        <v>79.53</v>
      </c>
    </row>
    <row r="395" spans="3:18" x14ac:dyDescent="0.35">
      <c r="C395" s="25"/>
      <c r="D395" s="26" t="s">
        <v>1378</v>
      </c>
      <c r="E395" s="40">
        <f t="shared" si="362"/>
        <v>75.5535</v>
      </c>
      <c r="F395" s="41">
        <f t="shared" si="362"/>
        <v>75.5535</v>
      </c>
      <c r="G395" s="29">
        <f t="shared" si="362"/>
        <v>75.5535</v>
      </c>
      <c r="H395" s="30"/>
      <c r="I395" s="31"/>
      <c r="J395" s="32"/>
      <c r="K395" s="40"/>
      <c r="L395" s="41"/>
      <c r="M395" s="29"/>
      <c r="N395" s="26"/>
      <c r="O395" s="26"/>
      <c r="P395" s="33"/>
    </row>
    <row r="396" spans="3:18" x14ac:dyDescent="0.35">
      <c r="C396" s="8">
        <f>'To be deleted'!AR24</f>
        <v>0</v>
      </c>
      <c r="D396" s="9" t="s">
        <v>1375</v>
      </c>
      <c r="E396" s="34">
        <f>60%*R397</f>
        <v>32.591999999999999</v>
      </c>
      <c r="F396" s="35">
        <f>95%*$R$397</f>
        <v>51.603999999999999</v>
      </c>
      <c r="G396" s="12">
        <f>95%*$R$397</f>
        <v>51.603999999999999</v>
      </c>
      <c r="H396" s="13">
        <f>18*E396</f>
        <v>586.65599999999995</v>
      </c>
      <c r="I396" s="14">
        <f t="shared" ref="I396:J398" si="363">18*F396</f>
        <v>928.87199999999996</v>
      </c>
      <c r="J396" s="15">
        <f t="shared" si="363"/>
        <v>928.87199999999996</v>
      </c>
      <c r="K396" s="34"/>
      <c r="L396" s="35"/>
      <c r="M396" s="12"/>
      <c r="N396" s="9"/>
      <c r="O396" s="9"/>
      <c r="P396" s="16"/>
    </row>
    <row r="397" spans="3:18" x14ac:dyDescent="0.35">
      <c r="D397" t="s">
        <v>1377</v>
      </c>
      <c r="E397" s="37">
        <f t="shared" ref="E397:G398" si="364">95%*$R$397</f>
        <v>51.603999999999999</v>
      </c>
      <c r="F397" s="38">
        <f t="shared" si="364"/>
        <v>51.603999999999999</v>
      </c>
      <c r="G397" s="20">
        <f t="shared" si="364"/>
        <v>51.603999999999999</v>
      </c>
      <c r="H397" s="21">
        <f t="shared" ref="H397:H398" si="365">18*E397</f>
        <v>928.87199999999996</v>
      </c>
      <c r="I397" s="22">
        <f t="shared" si="363"/>
        <v>928.87199999999996</v>
      </c>
      <c r="J397" s="23">
        <f t="shared" si="363"/>
        <v>928.87199999999996</v>
      </c>
      <c r="K397" s="37"/>
      <c r="L397" s="38"/>
      <c r="M397" s="20"/>
      <c r="P397" s="24"/>
      <c r="R397">
        <f>54.32</f>
        <v>54.32</v>
      </c>
    </row>
    <row r="398" spans="3:18" x14ac:dyDescent="0.35">
      <c r="C398" s="25"/>
      <c r="D398" s="26" t="s">
        <v>1378</v>
      </c>
      <c r="E398" s="40">
        <f t="shared" si="364"/>
        <v>51.603999999999999</v>
      </c>
      <c r="F398" s="41">
        <f t="shared" si="364"/>
        <v>51.603999999999999</v>
      </c>
      <c r="G398" s="29">
        <f t="shared" si="364"/>
        <v>51.603999999999999</v>
      </c>
      <c r="H398" s="30">
        <f t="shared" si="365"/>
        <v>928.87199999999996</v>
      </c>
      <c r="I398" s="31">
        <f t="shared" si="363"/>
        <v>928.87199999999996</v>
      </c>
      <c r="J398" s="32">
        <f t="shared" si="363"/>
        <v>928.87199999999996</v>
      </c>
      <c r="K398" s="40"/>
      <c r="L398" s="41"/>
      <c r="M398" s="29"/>
      <c r="N398" s="26"/>
      <c r="O398" s="26"/>
      <c r="P398" s="33"/>
    </row>
    <row r="399" spans="3:18" x14ac:dyDescent="0.35">
      <c r="C399" s="8">
        <f>'To be deleted'!AS24</f>
        <v>0</v>
      </c>
      <c r="D399" s="9" t="s">
        <v>1375</v>
      </c>
      <c r="E399" s="34">
        <f>95%*$R$400</f>
        <v>60.192</v>
      </c>
      <c r="F399" s="35">
        <f t="shared" ref="F399:G401" si="366">95%*$R$400</f>
        <v>60.192</v>
      </c>
      <c r="G399" s="12">
        <f t="shared" si="366"/>
        <v>60.192</v>
      </c>
      <c r="H399" s="13">
        <f>74*E399</f>
        <v>4454.2079999999996</v>
      </c>
      <c r="I399" s="14">
        <f t="shared" ref="I399:J401" si="367">74*F399</f>
        <v>4454.2079999999996</v>
      </c>
      <c r="J399" s="15">
        <f t="shared" si="367"/>
        <v>4454.2079999999996</v>
      </c>
      <c r="K399" s="34"/>
      <c r="L399" s="35"/>
      <c r="M399" s="12"/>
      <c r="N399" s="9"/>
      <c r="O399" s="9"/>
      <c r="P399" s="16"/>
    </row>
    <row r="400" spans="3:18" x14ac:dyDescent="0.35">
      <c r="D400" t="s">
        <v>1377</v>
      </c>
      <c r="E400" s="37">
        <f t="shared" ref="E400:E401" si="368">95%*$R$400</f>
        <v>60.192</v>
      </c>
      <c r="F400" s="38">
        <f t="shared" si="366"/>
        <v>60.192</v>
      </c>
      <c r="G400" s="20">
        <f t="shared" si="366"/>
        <v>60.192</v>
      </c>
      <c r="H400" s="21">
        <f t="shared" ref="H400:H401" si="369">74*E400</f>
        <v>4454.2079999999996</v>
      </c>
      <c r="I400" s="22">
        <f t="shared" si="367"/>
        <v>4454.2079999999996</v>
      </c>
      <c r="J400" s="23">
        <f t="shared" si="367"/>
        <v>4454.2079999999996</v>
      </c>
      <c r="K400" s="37"/>
      <c r="L400" s="38"/>
      <c r="M400" s="20"/>
      <c r="P400" s="24"/>
      <c r="R400">
        <f>63.36</f>
        <v>63.36</v>
      </c>
    </row>
    <row r="401" spans="1:20" x14ac:dyDescent="0.35">
      <c r="C401" s="25"/>
      <c r="D401" s="26" t="s">
        <v>1378</v>
      </c>
      <c r="E401" s="40">
        <f t="shared" si="368"/>
        <v>60.192</v>
      </c>
      <c r="F401" s="41">
        <f t="shared" si="366"/>
        <v>60.192</v>
      </c>
      <c r="G401" s="29">
        <f t="shared" si="366"/>
        <v>60.192</v>
      </c>
      <c r="H401" s="30">
        <f t="shared" si="369"/>
        <v>4454.2079999999996</v>
      </c>
      <c r="I401" s="31">
        <f t="shared" si="367"/>
        <v>4454.2079999999996</v>
      </c>
      <c r="J401" s="32">
        <f t="shared" si="367"/>
        <v>4454.2079999999996</v>
      </c>
      <c r="K401" s="40"/>
      <c r="L401" s="41"/>
      <c r="M401" s="29"/>
      <c r="N401" s="26"/>
      <c r="O401" s="26"/>
      <c r="P401" s="33"/>
    </row>
    <row r="402" spans="1:20" x14ac:dyDescent="0.35">
      <c r="C402" s="8">
        <f>'To be deleted'!AT24</f>
        <v>0</v>
      </c>
      <c r="D402" s="9" t="s">
        <v>1375</v>
      </c>
      <c r="E402" s="34">
        <f>60%*R403</f>
        <v>17.777999999999999</v>
      </c>
      <c r="F402" s="35">
        <f>95%*$R$403</f>
        <v>28.148499999999999</v>
      </c>
      <c r="G402" s="12">
        <f>95%*$R$403</f>
        <v>28.148499999999999</v>
      </c>
      <c r="H402" s="13">
        <f>151*E402</f>
        <v>2684.4779999999996</v>
      </c>
      <c r="I402" s="14">
        <f t="shared" ref="I402:J404" si="370">151*F402</f>
        <v>4250.4234999999999</v>
      </c>
      <c r="J402" s="15">
        <f t="shared" si="370"/>
        <v>4250.4234999999999</v>
      </c>
      <c r="K402" s="34"/>
      <c r="L402" s="35"/>
      <c r="M402" s="12"/>
      <c r="N402" s="9"/>
      <c r="O402" s="9"/>
      <c r="P402" s="16"/>
    </row>
    <row r="403" spans="1:20" x14ac:dyDescent="0.35">
      <c r="D403" t="s">
        <v>1377</v>
      </c>
      <c r="E403" s="37">
        <f t="shared" ref="E403:G404" si="371">95%*$R$403</f>
        <v>28.148499999999999</v>
      </c>
      <c r="F403" s="38">
        <f t="shared" si="371"/>
        <v>28.148499999999999</v>
      </c>
      <c r="G403" s="20">
        <f t="shared" si="371"/>
        <v>28.148499999999999</v>
      </c>
      <c r="H403" s="21">
        <f t="shared" ref="H403:H404" si="372">151*E403</f>
        <v>4250.4234999999999</v>
      </c>
      <c r="I403" s="22">
        <f t="shared" si="370"/>
        <v>4250.4234999999999</v>
      </c>
      <c r="J403" s="23">
        <f t="shared" si="370"/>
        <v>4250.4234999999999</v>
      </c>
      <c r="K403" s="37"/>
      <c r="L403" s="38"/>
      <c r="M403" s="20"/>
      <c r="P403" s="24"/>
      <c r="R403">
        <v>29.63</v>
      </c>
    </row>
    <row r="404" spans="1:20" x14ac:dyDescent="0.35">
      <c r="C404" s="25"/>
      <c r="D404" s="26" t="s">
        <v>1378</v>
      </c>
      <c r="E404" s="40">
        <f t="shared" si="371"/>
        <v>28.148499999999999</v>
      </c>
      <c r="F404" s="41">
        <f t="shared" si="371"/>
        <v>28.148499999999999</v>
      </c>
      <c r="G404" s="29">
        <f t="shared" si="371"/>
        <v>28.148499999999999</v>
      </c>
      <c r="H404" s="30">
        <f t="shared" si="372"/>
        <v>4250.4234999999999</v>
      </c>
      <c r="I404" s="31">
        <f t="shared" si="370"/>
        <v>4250.4234999999999</v>
      </c>
      <c r="J404" s="32">
        <f t="shared" si="370"/>
        <v>4250.4234999999999</v>
      </c>
      <c r="K404" s="40"/>
      <c r="L404" s="41"/>
      <c r="M404" s="29"/>
      <c r="N404" s="26"/>
      <c r="O404" s="26"/>
      <c r="P404" s="33"/>
    </row>
    <row r="405" spans="1:20" x14ac:dyDescent="0.35">
      <c r="R405" t="s">
        <v>1396</v>
      </c>
      <c r="S405" t="s">
        <v>1397</v>
      </c>
    </row>
    <row r="406" spans="1:20" x14ac:dyDescent="0.35">
      <c r="A406">
        <v>24</v>
      </c>
      <c r="B406" t="str">
        <f>'To be deleted'!B26</f>
        <v>Dhaka SEZ, Keraniganj</v>
      </c>
      <c r="C406" s="8" t="str">
        <f>'To be deleted'!AM26</f>
        <v>RMG</v>
      </c>
      <c r="D406" s="9" t="s">
        <v>1375</v>
      </c>
      <c r="E406" s="34">
        <f>0.000247105*R406</f>
        <v>14.826300000000002</v>
      </c>
      <c r="F406" s="35">
        <f t="shared" ref="F406:G420" si="373">0.000247105*S406</f>
        <v>32.123650000000005</v>
      </c>
      <c r="G406" s="12">
        <f t="shared" si="373"/>
        <v>61.776250000000005</v>
      </c>
      <c r="H406" s="13"/>
      <c r="I406" s="14"/>
      <c r="J406" s="15"/>
      <c r="K406" s="34"/>
      <c r="L406" s="35"/>
      <c r="M406" s="12"/>
      <c r="N406" s="9"/>
      <c r="O406" s="9"/>
      <c r="P406" s="16"/>
      <c r="R406" s="6">
        <v>60000</v>
      </c>
      <c r="S406" s="6">
        <v>130000</v>
      </c>
      <c r="T406" s="6">
        <v>250000</v>
      </c>
    </row>
    <row r="407" spans="1:20" x14ac:dyDescent="0.35">
      <c r="D407" t="s">
        <v>1377</v>
      </c>
      <c r="E407" s="37">
        <f t="shared" ref="E407:E420" si="374">0.000247105*R407</f>
        <v>79.073599999999999</v>
      </c>
      <c r="F407" s="38">
        <f t="shared" si="373"/>
        <v>148.26300000000001</v>
      </c>
      <c r="G407" s="20">
        <f t="shared" si="373"/>
        <v>190.27085000000002</v>
      </c>
      <c r="H407" s="21"/>
      <c r="I407" s="22"/>
      <c r="J407" s="23"/>
      <c r="K407" s="37"/>
      <c r="L407" s="38"/>
      <c r="M407" s="20"/>
      <c r="P407" s="24"/>
      <c r="R407">
        <v>320000</v>
      </c>
      <c r="S407">
        <v>600000</v>
      </c>
      <c r="T407" s="6">
        <v>770000</v>
      </c>
    </row>
    <row r="408" spans="1:20" x14ac:dyDescent="0.35">
      <c r="C408" s="25"/>
      <c r="D408" s="26" t="s">
        <v>1378</v>
      </c>
      <c r="E408" s="40">
        <f t="shared" si="374"/>
        <v>79.073599999999999</v>
      </c>
      <c r="F408" s="41">
        <f t="shared" si="373"/>
        <v>192.74190000000002</v>
      </c>
      <c r="G408" s="29">
        <f t="shared" si="373"/>
        <v>192.74190000000002</v>
      </c>
      <c r="H408" s="30"/>
      <c r="I408" s="31"/>
      <c r="J408" s="32"/>
      <c r="K408" s="40"/>
      <c r="L408" s="41"/>
      <c r="M408" s="29"/>
      <c r="N408" s="26"/>
      <c r="O408" s="26"/>
      <c r="P408" s="33"/>
      <c r="R408">
        <v>320000</v>
      </c>
      <c r="S408">
        <v>780000</v>
      </c>
      <c r="T408">
        <v>780000</v>
      </c>
    </row>
    <row r="409" spans="1:20" x14ac:dyDescent="0.35">
      <c r="C409" s="8" t="str">
        <f>'To be deleted'!AN26</f>
        <v>Integrated Textiles</v>
      </c>
      <c r="D409" s="9" t="s">
        <v>1375</v>
      </c>
      <c r="E409" s="34">
        <f t="shared" si="374"/>
        <v>4.9420999999999999</v>
      </c>
      <c r="F409" s="35">
        <f t="shared" si="373"/>
        <v>9.8841999999999999</v>
      </c>
      <c r="G409" s="12">
        <f t="shared" si="373"/>
        <v>19.7684</v>
      </c>
      <c r="H409" s="13"/>
      <c r="I409" s="14"/>
      <c r="J409" s="15"/>
      <c r="K409" s="34"/>
      <c r="L409" s="35"/>
      <c r="M409" s="12"/>
      <c r="N409" s="9"/>
      <c r="O409" s="9"/>
      <c r="P409" s="16"/>
      <c r="R409">
        <v>20000</v>
      </c>
      <c r="S409">
        <v>40000</v>
      </c>
      <c r="T409">
        <v>80000</v>
      </c>
    </row>
    <row r="410" spans="1:20" x14ac:dyDescent="0.35">
      <c r="D410" t="s">
        <v>1377</v>
      </c>
      <c r="E410" s="37">
        <f t="shared" si="374"/>
        <v>19.7684</v>
      </c>
      <c r="F410" s="38">
        <f t="shared" si="373"/>
        <v>44.478900000000003</v>
      </c>
      <c r="G410" s="20">
        <f t="shared" si="373"/>
        <v>44.478900000000003</v>
      </c>
      <c r="H410" s="21"/>
      <c r="I410" s="22"/>
      <c r="J410" s="23"/>
      <c r="K410" s="37"/>
      <c r="L410" s="38"/>
      <c r="M410" s="20"/>
      <c r="P410" s="24"/>
      <c r="R410">
        <v>80000</v>
      </c>
      <c r="S410">
        <v>180000</v>
      </c>
      <c r="T410">
        <v>180000</v>
      </c>
    </row>
    <row r="411" spans="1:20" x14ac:dyDescent="0.35">
      <c r="C411" s="25"/>
      <c r="D411" s="26" t="s">
        <v>1378</v>
      </c>
      <c r="E411" s="40">
        <f t="shared" si="374"/>
        <v>19.7684</v>
      </c>
      <c r="F411" s="41">
        <f t="shared" si="373"/>
        <v>44.478900000000003</v>
      </c>
      <c r="G411" s="29">
        <f t="shared" si="373"/>
        <v>44.478900000000003</v>
      </c>
      <c r="H411" s="30"/>
      <c r="I411" s="31"/>
      <c r="J411" s="32"/>
      <c r="K411" s="40"/>
      <c r="L411" s="41"/>
      <c r="M411" s="29"/>
      <c r="N411" s="26"/>
      <c r="O411" s="26"/>
      <c r="P411" s="33"/>
      <c r="R411">
        <v>80000</v>
      </c>
      <c r="S411">
        <v>180000</v>
      </c>
      <c r="T411">
        <v>180000</v>
      </c>
    </row>
    <row r="412" spans="1:20" x14ac:dyDescent="0.35">
      <c r="C412" s="8" t="str">
        <f>'To be deleted'!AO26</f>
        <v>Pharmaceuticals</v>
      </c>
      <c r="D412" s="9" t="s">
        <v>1375</v>
      </c>
      <c r="E412" s="34">
        <f t="shared" si="374"/>
        <v>2.47105</v>
      </c>
      <c r="F412" s="35">
        <f t="shared" si="373"/>
        <v>3.7065750000000004</v>
      </c>
      <c r="G412" s="12">
        <f t="shared" si="373"/>
        <v>9.8841999999999999</v>
      </c>
      <c r="H412" s="13"/>
      <c r="I412" s="14"/>
      <c r="J412" s="15"/>
      <c r="K412" s="34"/>
      <c r="L412" s="35"/>
      <c r="M412" s="12"/>
      <c r="N412" s="9"/>
      <c r="O412" s="9"/>
      <c r="P412" s="16"/>
      <c r="R412">
        <v>10000</v>
      </c>
      <c r="S412">
        <v>15000</v>
      </c>
      <c r="T412">
        <v>40000</v>
      </c>
    </row>
    <row r="413" spans="1:20" x14ac:dyDescent="0.35">
      <c r="D413" t="s">
        <v>1377</v>
      </c>
      <c r="E413" s="37">
        <f t="shared" si="374"/>
        <v>23.474975000000001</v>
      </c>
      <c r="F413" s="38">
        <f t="shared" si="373"/>
        <v>34.594700000000003</v>
      </c>
      <c r="G413" s="20">
        <f t="shared" si="373"/>
        <v>55.598625000000006</v>
      </c>
      <c r="H413" s="21"/>
      <c r="I413" s="22"/>
      <c r="J413" s="23"/>
      <c r="K413" s="37"/>
      <c r="L413" s="38"/>
      <c r="M413" s="20"/>
      <c r="P413" s="24"/>
      <c r="R413">
        <v>95000</v>
      </c>
      <c r="S413">
        <v>140000</v>
      </c>
      <c r="T413" s="6">
        <v>225000</v>
      </c>
    </row>
    <row r="414" spans="1:20" x14ac:dyDescent="0.35">
      <c r="C414" s="25"/>
      <c r="D414" s="26" t="s">
        <v>1378</v>
      </c>
      <c r="E414" s="40">
        <f t="shared" si="374"/>
        <v>23.474975000000001</v>
      </c>
      <c r="F414" s="41">
        <f t="shared" si="373"/>
        <v>64.24730000000001</v>
      </c>
      <c r="G414" s="29">
        <f t="shared" si="373"/>
        <v>64.24730000000001</v>
      </c>
      <c r="H414" s="30"/>
      <c r="I414" s="31"/>
      <c r="J414" s="32"/>
      <c r="K414" s="40"/>
      <c r="L414" s="41"/>
      <c r="M414" s="29"/>
      <c r="N414" s="26"/>
      <c r="O414" s="26"/>
      <c r="P414" s="33"/>
      <c r="R414">
        <v>95000</v>
      </c>
      <c r="S414">
        <v>260000</v>
      </c>
      <c r="T414">
        <v>260000</v>
      </c>
    </row>
    <row r="415" spans="1:20" x14ac:dyDescent="0.35">
      <c r="C415" s="8" t="str">
        <f>'To be deleted'!AP26</f>
        <v>Light engineering</v>
      </c>
      <c r="D415" s="9" t="s">
        <v>1375</v>
      </c>
      <c r="E415" s="34">
        <f t="shared" si="374"/>
        <v>7.4131500000000008</v>
      </c>
      <c r="F415" s="35">
        <f t="shared" si="373"/>
        <v>14.826300000000002</v>
      </c>
      <c r="G415" s="12">
        <f t="shared" si="373"/>
        <v>25.946025000000002</v>
      </c>
      <c r="H415" s="13"/>
      <c r="I415" s="14"/>
      <c r="J415" s="15"/>
      <c r="K415" s="34"/>
      <c r="L415" s="35"/>
      <c r="M415" s="12"/>
      <c r="N415" s="9"/>
      <c r="O415" s="9"/>
      <c r="P415" s="16"/>
      <c r="R415">
        <v>30000</v>
      </c>
      <c r="S415">
        <v>60000</v>
      </c>
      <c r="T415">
        <v>105000</v>
      </c>
    </row>
    <row r="416" spans="1:20" x14ac:dyDescent="0.35">
      <c r="D416" t="s">
        <v>1377</v>
      </c>
      <c r="E416" s="37">
        <f>0.000247105*R416</f>
        <v>27.799312500000003</v>
      </c>
      <c r="F416" s="38">
        <f t="shared" si="373"/>
        <v>45.096662500000001</v>
      </c>
      <c r="G416" s="20">
        <f t="shared" si="373"/>
        <v>74.131500000000003</v>
      </c>
      <c r="H416" s="21"/>
      <c r="I416" s="22"/>
      <c r="J416" s="23"/>
      <c r="K416" s="37"/>
      <c r="L416" s="38"/>
      <c r="M416" s="20"/>
      <c r="P416" s="24"/>
      <c r="R416">
        <v>112500</v>
      </c>
      <c r="S416">
        <v>182500</v>
      </c>
      <c r="T416" s="6">
        <v>300000</v>
      </c>
    </row>
    <row r="417" spans="1:20" x14ac:dyDescent="0.35">
      <c r="C417" s="25"/>
      <c r="D417" s="26" t="s">
        <v>1378</v>
      </c>
      <c r="E417" s="40">
        <f>0.000247105*R417</f>
        <v>27.799312500000003</v>
      </c>
      <c r="F417" s="41">
        <f t="shared" si="373"/>
        <v>66.718350000000001</v>
      </c>
      <c r="G417" s="29">
        <f t="shared" si="373"/>
        <v>66.718350000000001</v>
      </c>
      <c r="H417" s="30"/>
      <c r="I417" s="31"/>
      <c r="J417" s="32"/>
      <c r="K417" s="40"/>
      <c r="L417" s="41"/>
      <c r="M417" s="29"/>
      <c r="N417" s="26"/>
      <c r="O417" s="26"/>
      <c r="P417" s="33"/>
      <c r="R417">
        <v>112500</v>
      </c>
      <c r="S417" s="6">
        <v>270000</v>
      </c>
      <c r="T417" s="6">
        <v>270000</v>
      </c>
    </row>
    <row r="418" spans="1:20" x14ac:dyDescent="0.35">
      <c r="C418" s="8" t="str">
        <f>'To be deleted'!AQ26</f>
        <v>Plastics</v>
      </c>
      <c r="D418" s="9" t="s">
        <v>1375</v>
      </c>
      <c r="E418" s="34">
        <f t="shared" si="374"/>
        <v>3.7065750000000004</v>
      </c>
      <c r="F418" s="35">
        <f t="shared" si="373"/>
        <v>8.6486750000000008</v>
      </c>
      <c r="G418" s="12">
        <f t="shared" si="373"/>
        <v>14.826300000000002</v>
      </c>
      <c r="H418" s="13"/>
      <c r="I418" s="14"/>
      <c r="J418" s="15"/>
      <c r="K418" s="34"/>
      <c r="L418" s="35"/>
      <c r="M418" s="12"/>
      <c r="N418" s="9"/>
      <c r="O418" s="9"/>
      <c r="P418" s="16"/>
      <c r="R418">
        <v>15000</v>
      </c>
      <c r="S418">
        <v>35000</v>
      </c>
      <c r="T418">
        <v>60000</v>
      </c>
    </row>
    <row r="419" spans="1:20" x14ac:dyDescent="0.35">
      <c r="D419" t="s">
        <v>1377</v>
      </c>
      <c r="E419" s="37">
        <f t="shared" si="374"/>
        <v>22.239450000000001</v>
      </c>
      <c r="F419" s="38">
        <f t="shared" si="373"/>
        <v>37.065750000000001</v>
      </c>
      <c r="G419" s="20">
        <f t="shared" si="373"/>
        <v>51.892050000000005</v>
      </c>
      <c r="H419" s="21"/>
      <c r="I419" s="22"/>
      <c r="J419" s="23"/>
      <c r="K419" s="37"/>
      <c r="L419" s="38"/>
      <c r="M419" s="20"/>
      <c r="P419" s="24"/>
      <c r="R419">
        <v>90000</v>
      </c>
      <c r="S419">
        <v>150000</v>
      </c>
      <c r="T419" s="6">
        <v>210000</v>
      </c>
    </row>
    <row r="420" spans="1:20" x14ac:dyDescent="0.35">
      <c r="C420" s="25"/>
      <c r="D420" s="26" t="s">
        <v>1378</v>
      </c>
      <c r="E420" s="40">
        <f t="shared" si="374"/>
        <v>22.239450000000001</v>
      </c>
      <c r="F420" s="41">
        <f t="shared" si="373"/>
        <v>58.069675000000004</v>
      </c>
      <c r="G420" s="29">
        <f t="shared" si="373"/>
        <v>58.069675000000004</v>
      </c>
      <c r="H420" s="30"/>
      <c r="I420" s="31"/>
      <c r="J420" s="32"/>
      <c r="K420" s="40"/>
      <c r="L420" s="41"/>
      <c r="M420" s="29"/>
      <c r="N420" s="26"/>
      <c r="O420" s="26"/>
      <c r="P420" s="33"/>
      <c r="R420">
        <v>90000</v>
      </c>
      <c r="S420" s="6">
        <v>235000</v>
      </c>
      <c r="T420" s="6">
        <v>235000</v>
      </c>
    </row>
    <row r="422" spans="1:20" x14ac:dyDescent="0.35">
      <c r="A422">
        <v>25</v>
      </c>
      <c r="B422" t="str">
        <f>'To be deleted'!B27</f>
        <v>Sitakundo Economic Zone</v>
      </c>
      <c r="C422" s="8" t="str">
        <f>'To be deleted'!AM27</f>
        <v>Chemicals</v>
      </c>
      <c r="D422" s="9" t="s">
        <v>1375</v>
      </c>
      <c r="E422" s="34">
        <f>95%*$R$423</f>
        <v>14.872249999999999</v>
      </c>
      <c r="F422" s="35">
        <f t="shared" ref="F422:G424" si="375">95%*$R$423</f>
        <v>14.872249999999999</v>
      </c>
      <c r="G422" s="12">
        <f t="shared" si="375"/>
        <v>14.872249999999999</v>
      </c>
      <c r="H422" s="13">
        <f>E422*$T$423</f>
        <v>18926.287781687501</v>
      </c>
      <c r="I422" s="14">
        <f t="shared" ref="I422:J436" si="376">F422*$T$423</f>
        <v>18926.287781687501</v>
      </c>
      <c r="J422" s="15">
        <f t="shared" si="376"/>
        <v>18926.287781687501</v>
      </c>
      <c r="K422" s="34"/>
      <c r="L422" s="35"/>
      <c r="M422" s="12"/>
      <c r="N422" s="9"/>
      <c r="O422" s="9"/>
      <c r="P422" s="16"/>
      <c r="R422" t="s">
        <v>1398</v>
      </c>
      <c r="S422" t="s">
        <v>1399</v>
      </c>
      <c r="T422" t="s">
        <v>1400</v>
      </c>
    </row>
    <row r="423" spans="1:20" x14ac:dyDescent="0.35">
      <c r="D423" t="s">
        <v>1377</v>
      </c>
      <c r="E423" s="37">
        <f t="shared" ref="E423:E424" si="377">95%*$R$423</f>
        <v>14.872249999999999</v>
      </c>
      <c r="F423" s="38">
        <f t="shared" si="375"/>
        <v>14.872249999999999</v>
      </c>
      <c r="G423" s="20">
        <f t="shared" si="375"/>
        <v>14.872249999999999</v>
      </c>
      <c r="H423" s="21">
        <f t="shared" ref="H423:H436" si="378">E423*$T$423</f>
        <v>18926.287781687501</v>
      </c>
      <c r="I423" s="22">
        <f t="shared" si="376"/>
        <v>18926.287781687501</v>
      </c>
      <c r="J423" s="23">
        <f t="shared" si="376"/>
        <v>18926.287781687501</v>
      </c>
      <c r="K423" s="37"/>
      <c r="L423" s="38"/>
      <c r="M423" s="20"/>
      <c r="P423" s="24"/>
      <c r="R423">
        <v>15.654999999999999</v>
      </c>
      <c r="S423">
        <v>515</v>
      </c>
      <c r="T423">
        <f>S423*2.47105</f>
        <v>1272.5907500000001</v>
      </c>
    </row>
    <row r="424" spans="1:20" x14ac:dyDescent="0.35">
      <c r="C424" s="25"/>
      <c r="D424" s="26" t="s">
        <v>1378</v>
      </c>
      <c r="E424" s="40">
        <f t="shared" si="377"/>
        <v>14.872249999999999</v>
      </c>
      <c r="F424" s="41">
        <f t="shared" si="375"/>
        <v>14.872249999999999</v>
      </c>
      <c r="G424" s="29">
        <f t="shared" si="375"/>
        <v>14.872249999999999</v>
      </c>
      <c r="H424" s="30">
        <f t="shared" si="378"/>
        <v>18926.287781687501</v>
      </c>
      <c r="I424" s="31">
        <f t="shared" si="376"/>
        <v>18926.287781687501</v>
      </c>
      <c r="J424" s="32">
        <f t="shared" si="376"/>
        <v>18926.287781687501</v>
      </c>
      <c r="K424" s="40"/>
      <c r="L424" s="41"/>
      <c r="M424" s="29"/>
      <c r="N424" s="26"/>
      <c r="O424" s="26"/>
      <c r="P424" s="33"/>
    </row>
    <row r="425" spans="1:20" x14ac:dyDescent="0.35">
      <c r="C425" s="8" t="str">
        <f>'To be deleted'!AN27</f>
        <v>Non-Metallic mineral products</v>
      </c>
      <c r="D425" s="9" t="s">
        <v>1375</v>
      </c>
      <c r="E425" s="34">
        <f>95%*$R$426</f>
        <v>9.6861999999999995</v>
      </c>
      <c r="F425" s="35">
        <f t="shared" ref="F425:G427" si="379">95%*$R$426</f>
        <v>9.6861999999999995</v>
      </c>
      <c r="G425" s="12">
        <f t="shared" si="379"/>
        <v>9.6861999999999995</v>
      </c>
      <c r="H425" s="13">
        <f t="shared" si="378"/>
        <v>12326.568522650001</v>
      </c>
      <c r="I425" s="14">
        <f t="shared" si="376"/>
        <v>12326.568522650001</v>
      </c>
      <c r="J425" s="15">
        <f t="shared" si="376"/>
        <v>12326.568522650001</v>
      </c>
      <c r="K425" s="34"/>
      <c r="L425" s="35"/>
      <c r="M425" s="12"/>
      <c r="N425" s="9"/>
      <c r="O425" s="9"/>
      <c r="P425" s="16"/>
    </row>
    <row r="426" spans="1:20" x14ac:dyDescent="0.35">
      <c r="D426" t="s">
        <v>1377</v>
      </c>
      <c r="E426" s="37">
        <f t="shared" ref="E426:E427" si="380">95%*$R$426</f>
        <v>9.6861999999999995</v>
      </c>
      <c r="F426" s="38">
        <f t="shared" si="379"/>
        <v>9.6861999999999995</v>
      </c>
      <c r="G426" s="20">
        <f t="shared" si="379"/>
        <v>9.6861999999999995</v>
      </c>
      <c r="H426" s="21">
        <f t="shared" si="378"/>
        <v>12326.568522650001</v>
      </c>
      <c r="I426" s="22">
        <f t="shared" si="376"/>
        <v>12326.568522650001</v>
      </c>
      <c r="J426" s="23">
        <f t="shared" si="376"/>
        <v>12326.568522650001</v>
      </c>
      <c r="K426" s="37"/>
      <c r="L426" s="38"/>
      <c r="M426" s="20"/>
      <c r="P426" s="24"/>
      <c r="R426">
        <v>10.196</v>
      </c>
    </row>
    <row r="427" spans="1:20" x14ac:dyDescent="0.35">
      <c r="C427" s="25"/>
      <c r="D427" s="26" t="s">
        <v>1378</v>
      </c>
      <c r="E427" s="40">
        <f t="shared" si="380"/>
        <v>9.6861999999999995</v>
      </c>
      <c r="F427" s="41">
        <f t="shared" si="379"/>
        <v>9.6861999999999995</v>
      </c>
      <c r="G427" s="29">
        <f t="shared" si="379"/>
        <v>9.6861999999999995</v>
      </c>
      <c r="H427" s="30">
        <f t="shared" si="378"/>
        <v>12326.568522650001</v>
      </c>
      <c r="I427" s="31">
        <f t="shared" si="376"/>
        <v>12326.568522650001</v>
      </c>
      <c r="J427" s="32">
        <f t="shared" si="376"/>
        <v>12326.568522650001</v>
      </c>
      <c r="K427" s="40"/>
      <c r="L427" s="41"/>
      <c r="M427" s="29"/>
      <c r="N427" s="26"/>
      <c r="O427" s="26"/>
      <c r="P427" s="33"/>
    </row>
    <row r="428" spans="1:20" x14ac:dyDescent="0.35">
      <c r="C428" s="8" t="str">
        <f>'To be deleted'!AO27</f>
        <v>Automobile Parts and Assembly</v>
      </c>
      <c r="D428" s="9" t="s">
        <v>1375</v>
      </c>
      <c r="E428" s="34">
        <f>60%*$R$429</f>
        <v>4.1530799999999992</v>
      </c>
      <c r="F428" s="35">
        <f t="shared" ref="F428:G430" si="381">95%*$R$429</f>
        <v>6.5757099999999991</v>
      </c>
      <c r="G428" s="12">
        <f t="shared" si="381"/>
        <v>6.5757099999999991</v>
      </c>
      <c r="H428" s="13">
        <f t="shared" si="378"/>
        <v>5285.1711920099997</v>
      </c>
      <c r="I428" s="14">
        <f t="shared" si="376"/>
        <v>8368.1877206824993</v>
      </c>
      <c r="J428" s="15">
        <f t="shared" si="376"/>
        <v>8368.1877206824993</v>
      </c>
      <c r="K428" s="34"/>
      <c r="L428" s="35"/>
      <c r="M428" s="12"/>
      <c r="N428" s="9"/>
      <c r="O428" s="9"/>
      <c r="P428" s="16"/>
    </row>
    <row r="429" spans="1:20" x14ac:dyDescent="0.35">
      <c r="D429" t="s">
        <v>1377</v>
      </c>
      <c r="E429" s="37">
        <f t="shared" ref="E429:E430" si="382">95%*$R$429</f>
        <v>6.5757099999999991</v>
      </c>
      <c r="F429" s="38">
        <f t="shared" si="381"/>
        <v>6.5757099999999991</v>
      </c>
      <c r="G429" s="20">
        <f t="shared" si="381"/>
        <v>6.5757099999999991</v>
      </c>
      <c r="H429" s="21">
        <f t="shared" si="378"/>
        <v>8368.1877206824993</v>
      </c>
      <c r="I429" s="22">
        <f t="shared" si="376"/>
        <v>8368.1877206824993</v>
      </c>
      <c r="J429" s="23">
        <f t="shared" si="376"/>
        <v>8368.1877206824993</v>
      </c>
      <c r="K429" s="37"/>
      <c r="L429" s="38"/>
      <c r="M429" s="20"/>
      <c r="P429" s="24"/>
      <c r="R429">
        <f>2.7688+4.153</f>
        <v>6.9217999999999993</v>
      </c>
    </row>
    <row r="430" spans="1:20" x14ac:dyDescent="0.35">
      <c r="C430" s="25"/>
      <c r="D430" s="26" t="s">
        <v>1378</v>
      </c>
      <c r="E430" s="40">
        <f t="shared" si="382"/>
        <v>6.5757099999999991</v>
      </c>
      <c r="F430" s="41">
        <f t="shared" si="381"/>
        <v>6.5757099999999991</v>
      </c>
      <c r="G430" s="29">
        <f t="shared" si="381"/>
        <v>6.5757099999999991</v>
      </c>
      <c r="H430" s="30">
        <f t="shared" si="378"/>
        <v>8368.1877206824993</v>
      </c>
      <c r="I430" s="31">
        <f t="shared" si="376"/>
        <v>8368.1877206824993</v>
      </c>
      <c r="J430" s="32">
        <f t="shared" si="376"/>
        <v>8368.1877206824993</v>
      </c>
      <c r="K430" s="40"/>
      <c r="L430" s="41"/>
      <c r="M430" s="29"/>
      <c r="N430" s="26"/>
      <c r="O430" s="26"/>
      <c r="P430" s="33"/>
    </row>
    <row r="431" spans="1:20" x14ac:dyDescent="0.35">
      <c r="C431" s="8" t="str">
        <f>'To be deleted'!AP27</f>
        <v>Heavy Machinery, Iron &amp; Steel and metals</v>
      </c>
      <c r="D431" s="9" t="s">
        <v>1375</v>
      </c>
      <c r="E431" s="34">
        <f>95%*$R$432</f>
        <v>11.0656</v>
      </c>
      <c r="F431" s="35">
        <f t="shared" ref="F431:G433" si="383">95%*$R$432</f>
        <v>11.0656</v>
      </c>
      <c r="G431" s="12">
        <f t="shared" si="383"/>
        <v>11.0656</v>
      </c>
      <c r="H431" s="13">
        <f t="shared" si="378"/>
        <v>14081.980203200001</v>
      </c>
      <c r="I431" s="14">
        <f t="shared" si="376"/>
        <v>14081.980203200001</v>
      </c>
      <c r="J431" s="15">
        <f t="shared" si="376"/>
        <v>14081.980203200001</v>
      </c>
      <c r="K431" s="34"/>
      <c r="L431" s="35"/>
      <c r="M431" s="12"/>
      <c r="N431" s="9"/>
      <c r="O431" s="9"/>
      <c r="P431" s="16"/>
    </row>
    <row r="432" spans="1:20" x14ac:dyDescent="0.35">
      <c r="D432" t="s">
        <v>1377</v>
      </c>
      <c r="E432" s="37">
        <f t="shared" ref="E432:E433" si="384">95%*$R$432</f>
        <v>11.0656</v>
      </c>
      <c r="F432" s="38">
        <f t="shared" si="383"/>
        <v>11.0656</v>
      </c>
      <c r="G432" s="20">
        <f t="shared" si="383"/>
        <v>11.0656</v>
      </c>
      <c r="H432" s="21">
        <f t="shared" si="378"/>
        <v>14081.980203200001</v>
      </c>
      <c r="I432" s="22">
        <f t="shared" si="376"/>
        <v>14081.980203200001</v>
      </c>
      <c r="J432" s="23">
        <f t="shared" si="376"/>
        <v>14081.980203200001</v>
      </c>
      <c r="K432" s="37"/>
      <c r="L432" s="38"/>
      <c r="M432" s="20"/>
      <c r="P432" s="24"/>
      <c r="R432">
        <f>5.824+5.824</f>
        <v>11.648</v>
      </c>
    </row>
    <row r="433" spans="1:19" x14ac:dyDescent="0.35">
      <c r="C433" s="25"/>
      <c r="D433" s="26" t="s">
        <v>1378</v>
      </c>
      <c r="E433" s="40">
        <f t="shared" si="384"/>
        <v>11.0656</v>
      </c>
      <c r="F433" s="41">
        <f t="shared" si="383"/>
        <v>11.0656</v>
      </c>
      <c r="G433" s="29">
        <f t="shared" si="383"/>
        <v>11.0656</v>
      </c>
      <c r="H433" s="30">
        <f t="shared" si="378"/>
        <v>14081.980203200001</v>
      </c>
      <c r="I433" s="31">
        <f t="shared" si="376"/>
        <v>14081.980203200001</v>
      </c>
      <c r="J433" s="32">
        <f t="shared" si="376"/>
        <v>14081.980203200001</v>
      </c>
      <c r="K433" s="40"/>
      <c r="L433" s="41"/>
      <c r="M433" s="29"/>
      <c r="N433" s="26"/>
      <c r="O433" s="26"/>
      <c r="P433" s="33"/>
    </row>
    <row r="434" spans="1:19" x14ac:dyDescent="0.35">
      <c r="C434" s="8" t="str">
        <f>'To be deleted'!AQ27</f>
        <v>Petroleum and petroleum products</v>
      </c>
      <c r="D434" s="9" t="s">
        <v>1375</v>
      </c>
      <c r="E434" s="34">
        <f>95%*$R$435</f>
        <v>5.6772</v>
      </c>
      <c r="F434" s="35">
        <f t="shared" ref="F434:G436" si="385">95%*$R$435</f>
        <v>5.6772</v>
      </c>
      <c r="G434" s="12">
        <f t="shared" si="385"/>
        <v>5.6772</v>
      </c>
      <c r="H434" s="13">
        <f t="shared" si="378"/>
        <v>7224.7522059000003</v>
      </c>
      <c r="I434" s="14">
        <f t="shared" si="376"/>
        <v>7224.7522059000003</v>
      </c>
      <c r="J434" s="15">
        <f t="shared" si="376"/>
        <v>7224.7522059000003</v>
      </c>
      <c r="K434" s="34"/>
      <c r="L434" s="35"/>
      <c r="M434" s="12"/>
      <c r="N434" s="9"/>
      <c r="O434" s="9"/>
      <c r="P434" s="16"/>
    </row>
    <row r="435" spans="1:19" x14ac:dyDescent="0.35">
      <c r="D435" t="s">
        <v>1377</v>
      </c>
      <c r="E435" s="37">
        <f t="shared" ref="E435:E436" si="386">95%*$R$435</f>
        <v>5.6772</v>
      </c>
      <c r="F435" s="38">
        <f t="shared" si="385"/>
        <v>5.6772</v>
      </c>
      <c r="G435" s="20">
        <f t="shared" si="385"/>
        <v>5.6772</v>
      </c>
      <c r="H435" s="21">
        <f t="shared" si="378"/>
        <v>7224.7522059000003</v>
      </c>
      <c r="I435" s="22">
        <f t="shared" si="376"/>
        <v>7224.7522059000003</v>
      </c>
      <c r="J435" s="23">
        <f t="shared" si="376"/>
        <v>7224.7522059000003</v>
      </c>
      <c r="K435" s="37"/>
      <c r="L435" s="38"/>
      <c r="M435" s="20"/>
      <c r="P435" s="24"/>
      <c r="R435">
        <v>5.976</v>
      </c>
    </row>
    <row r="436" spans="1:19" x14ac:dyDescent="0.35">
      <c r="C436" s="25"/>
      <c r="D436" s="26" t="s">
        <v>1378</v>
      </c>
      <c r="E436" s="40">
        <f t="shared" si="386"/>
        <v>5.6772</v>
      </c>
      <c r="F436" s="41">
        <f t="shared" si="385"/>
        <v>5.6772</v>
      </c>
      <c r="G436" s="29">
        <f t="shared" si="385"/>
        <v>5.6772</v>
      </c>
      <c r="H436" s="30">
        <f t="shared" si="378"/>
        <v>7224.7522059000003</v>
      </c>
      <c r="I436" s="31">
        <f t="shared" si="376"/>
        <v>7224.7522059000003</v>
      </c>
      <c r="J436" s="32">
        <f t="shared" si="376"/>
        <v>7224.7522059000003</v>
      </c>
      <c r="K436" s="40"/>
      <c r="L436" s="41"/>
      <c r="M436" s="29"/>
      <c r="N436" s="26"/>
      <c r="O436" s="26"/>
      <c r="P436" s="33"/>
    </row>
    <row r="438" spans="1:19" x14ac:dyDescent="0.35">
      <c r="A438">
        <v>26</v>
      </c>
      <c r="B438" t="str">
        <f>'To be deleted'!B28</f>
        <v>Sylhet Special Economic Zone</v>
      </c>
      <c r="C438" s="8" t="str">
        <f>'To be deleted'!AM28</f>
        <v>Textiles and RMG</v>
      </c>
      <c r="D438" s="9" t="s">
        <v>1375</v>
      </c>
      <c r="E438" s="34">
        <v>2</v>
      </c>
      <c r="F438" s="35">
        <v>12</v>
      </c>
      <c r="G438" s="12">
        <v>26</v>
      </c>
      <c r="H438" s="13">
        <f>E438*S$439</f>
        <v>328</v>
      </c>
      <c r="I438" s="14">
        <f>F438*S$439</f>
        <v>1968</v>
      </c>
      <c r="J438" s="15">
        <f>G438*S$439</f>
        <v>4264</v>
      </c>
      <c r="K438" s="34">
        <f>$R439*E438</f>
        <v>446.34</v>
      </c>
      <c r="L438" s="35">
        <f>$R439*F438</f>
        <v>2678.04</v>
      </c>
      <c r="M438" s="12">
        <f>$R439*G438</f>
        <v>5802.42</v>
      </c>
      <c r="N438" s="9"/>
      <c r="O438" s="9"/>
      <c r="P438" s="16"/>
      <c r="R438" t="s">
        <v>1401</v>
      </c>
      <c r="S438" t="s">
        <v>1402</v>
      </c>
    </row>
    <row r="439" spans="1:19" x14ac:dyDescent="0.35">
      <c r="D439" t="s">
        <v>1377</v>
      </c>
      <c r="E439" s="37">
        <v>2</v>
      </c>
      <c r="F439" s="38">
        <v>13</v>
      </c>
      <c r="G439" s="20">
        <v>28</v>
      </c>
      <c r="H439" s="21">
        <f>E439*S$439</f>
        <v>328</v>
      </c>
      <c r="I439" s="22">
        <f>F439*S$439</f>
        <v>2132</v>
      </c>
      <c r="J439" s="23">
        <f>G439*S$439</f>
        <v>4592</v>
      </c>
      <c r="K439" s="37">
        <f>R$439*E439</f>
        <v>446.34</v>
      </c>
      <c r="L439" s="38">
        <f>R$439*F439</f>
        <v>2901.21</v>
      </c>
      <c r="M439" s="20">
        <f>R$439*G439</f>
        <v>6248.7599999999993</v>
      </c>
      <c r="P439" s="24"/>
      <c r="R439" s="9">
        <v>223.17</v>
      </c>
      <c r="S439" s="9">
        <v>164</v>
      </c>
    </row>
    <row r="440" spans="1:19" x14ac:dyDescent="0.35">
      <c r="C440" s="25"/>
      <c r="D440" s="26" t="s">
        <v>1378</v>
      </c>
      <c r="E440" s="40">
        <v>2</v>
      </c>
      <c r="F440" s="41">
        <v>14</v>
      </c>
      <c r="G440" s="29">
        <v>31</v>
      </c>
      <c r="H440" s="30">
        <f>E440*S$439</f>
        <v>328</v>
      </c>
      <c r="I440" s="31">
        <f>F440*S$439</f>
        <v>2296</v>
      </c>
      <c r="J440" s="32">
        <f>G440*S$439</f>
        <v>5084</v>
      </c>
      <c r="K440" s="40">
        <f>R$439*E440</f>
        <v>446.34</v>
      </c>
      <c r="L440" s="41">
        <f>R439*F440</f>
        <v>3124.3799999999997</v>
      </c>
      <c r="M440" s="29">
        <f>R$439*G440</f>
        <v>6918.2699999999995</v>
      </c>
      <c r="N440" s="26"/>
      <c r="O440" s="26"/>
      <c r="P440" s="33"/>
    </row>
    <row r="441" spans="1:19" x14ac:dyDescent="0.35">
      <c r="C441" s="8" t="str">
        <f>'To be deleted'!AN28</f>
        <v>Food and Beverage</v>
      </c>
      <c r="D441" s="9" t="s">
        <v>1375</v>
      </c>
      <c r="E441" s="34">
        <v>24</v>
      </c>
      <c r="F441" s="35">
        <v>172</v>
      </c>
      <c r="G441" s="12">
        <v>430</v>
      </c>
      <c r="H441" s="13">
        <f>E441*S$441</f>
        <v>14472</v>
      </c>
      <c r="I441" s="14">
        <f>S$441*F441</f>
        <v>103716</v>
      </c>
      <c r="J441" s="15">
        <f>S$441*G441</f>
        <v>259290</v>
      </c>
      <c r="K441" s="34">
        <f>R$441*E441</f>
        <v>1411.68</v>
      </c>
      <c r="L441" s="35">
        <f>$R441*F441</f>
        <v>10117.040000000001</v>
      </c>
      <c r="M441" s="12">
        <f>$R441*G441</f>
        <v>25292.6</v>
      </c>
      <c r="N441" s="9"/>
      <c r="O441" s="9"/>
      <c r="P441" s="16"/>
      <c r="R441">
        <v>58.82</v>
      </c>
      <c r="S441">
        <v>603</v>
      </c>
    </row>
    <row r="442" spans="1:19" x14ac:dyDescent="0.35">
      <c r="D442" t="s">
        <v>1377</v>
      </c>
      <c r="E442" s="37">
        <v>26</v>
      </c>
      <c r="F442" s="38">
        <v>188</v>
      </c>
      <c r="G442" s="20">
        <v>470</v>
      </c>
      <c r="H442" s="21">
        <f>E442*S$441</f>
        <v>15678</v>
      </c>
      <c r="I442" s="22">
        <f>S$441*F442</f>
        <v>113364</v>
      </c>
      <c r="J442" s="23">
        <f>S$441*G442</f>
        <v>283410</v>
      </c>
      <c r="K442" s="37">
        <f>R$441*E442</f>
        <v>1529.32</v>
      </c>
      <c r="L442" s="38">
        <f>R$441*F442</f>
        <v>11058.16</v>
      </c>
      <c r="M442" s="20">
        <f>R$441*G442</f>
        <v>27645.4</v>
      </c>
      <c r="P442" s="24"/>
    </row>
    <row r="443" spans="1:19" x14ac:dyDescent="0.35">
      <c r="C443" s="25"/>
      <c r="D443" s="26" t="s">
        <v>1378</v>
      </c>
      <c r="E443" s="40">
        <v>29</v>
      </c>
      <c r="F443" s="41">
        <v>205</v>
      </c>
      <c r="G443" s="29">
        <v>512</v>
      </c>
      <c r="H443" s="30">
        <f>E443*S$441</f>
        <v>17487</v>
      </c>
      <c r="I443" s="31">
        <f>S$441*F443</f>
        <v>123615</v>
      </c>
      <c r="J443" s="32">
        <f>S$441*G443</f>
        <v>308736</v>
      </c>
      <c r="K443" s="40">
        <f>R$441*E443</f>
        <v>1705.78</v>
      </c>
      <c r="L443" s="41">
        <f>R$441*F443</f>
        <v>12058.1</v>
      </c>
      <c r="M443" s="29">
        <f>R$441*G443</f>
        <v>30115.84</v>
      </c>
      <c r="N443" s="26"/>
      <c r="O443" s="26"/>
      <c r="P443" s="33"/>
    </row>
    <row r="444" spans="1:19" x14ac:dyDescent="0.35">
      <c r="C444" s="8" t="str">
        <f>'To be deleted'!AO28</f>
        <v>Agro based</v>
      </c>
      <c r="D444" s="9" t="s">
        <v>1375</v>
      </c>
      <c r="E444" s="34">
        <v>3</v>
      </c>
      <c r="F444" s="35">
        <v>24</v>
      </c>
      <c r="G444" s="12">
        <v>66</v>
      </c>
      <c r="H444" s="13">
        <f>E444*S$444</f>
        <v>246</v>
      </c>
      <c r="I444" s="14">
        <f>S$444*F444</f>
        <v>1968</v>
      </c>
      <c r="J444" s="15">
        <f>S$444*G444</f>
        <v>5412</v>
      </c>
      <c r="K444" s="34">
        <f>$R444*E444</f>
        <v>329.04</v>
      </c>
      <c r="L444" s="35">
        <f>R$444*F444</f>
        <v>2632.32</v>
      </c>
      <c r="M444" s="12">
        <f>R$444*G444</f>
        <v>7238.88</v>
      </c>
      <c r="N444" s="9"/>
      <c r="O444" s="9"/>
      <c r="P444" s="16"/>
      <c r="R444">
        <v>109.68</v>
      </c>
      <c r="S444">
        <v>82</v>
      </c>
    </row>
    <row r="445" spans="1:19" x14ac:dyDescent="0.35">
      <c r="D445" t="s">
        <v>1377</v>
      </c>
      <c r="E445" s="37">
        <v>3</v>
      </c>
      <c r="F445" s="38">
        <v>26</v>
      </c>
      <c r="G445" s="20">
        <v>72</v>
      </c>
      <c r="H445" s="21">
        <f>E445*S$444</f>
        <v>246</v>
      </c>
      <c r="I445" s="22">
        <f>S$444*F445</f>
        <v>2132</v>
      </c>
      <c r="J445" s="23">
        <f>S$444*G445</f>
        <v>5904</v>
      </c>
      <c r="K445" s="37">
        <f>R$444*E445</f>
        <v>329.04</v>
      </c>
      <c r="L445" s="38">
        <f>R$444*F445</f>
        <v>2851.6800000000003</v>
      </c>
      <c r="M445" s="20">
        <f>R$444*G445</f>
        <v>7896.9600000000009</v>
      </c>
      <c r="P445" s="24"/>
    </row>
    <row r="446" spans="1:19" x14ac:dyDescent="0.35">
      <c r="C446" s="25"/>
      <c r="D446" s="26" t="s">
        <v>1378</v>
      </c>
      <c r="E446" s="40">
        <v>3</v>
      </c>
      <c r="F446" s="41">
        <v>28</v>
      </c>
      <c r="G446" s="29">
        <v>79</v>
      </c>
      <c r="H446" s="30">
        <f>E446*S$444</f>
        <v>246</v>
      </c>
      <c r="I446" s="31">
        <f>S$444*F446</f>
        <v>2296</v>
      </c>
      <c r="J446" s="32">
        <f>S$444*G446</f>
        <v>6478</v>
      </c>
      <c r="K446" s="40">
        <f>R$444*E446</f>
        <v>329.04</v>
      </c>
      <c r="L446" s="41">
        <f>R$444*F446</f>
        <v>3071.04</v>
      </c>
      <c r="M446" s="29">
        <f>R$444*G446</f>
        <v>8664.7200000000012</v>
      </c>
      <c r="N446" s="26"/>
      <c r="O446" s="26"/>
      <c r="P446" s="33"/>
    </row>
    <row r="447" spans="1:19" x14ac:dyDescent="0.35">
      <c r="C447" s="8" t="str">
        <f>'To be deleted'!AP28</f>
        <v>Electrical and Electronics</v>
      </c>
      <c r="D447" s="9" t="s">
        <v>1375</v>
      </c>
      <c r="E447" s="34">
        <v>12</v>
      </c>
      <c r="F447" s="35">
        <v>79</v>
      </c>
      <c r="G447" s="12">
        <v>180</v>
      </c>
      <c r="H447" s="13">
        <f>S$447*E447</f>
        <v>1176</v>
      </c>
      <c r="I447" s="14">
        <f>S$447*F447</f>
        <v>7742</v>
      </c>
      <c r="J447" s="15">
        <f>S$447*G447</f>
        <v>17640</v>
      </c>
      <c r="K447" s="34">
        <f>$R447*E447</f>
        <v>1413.1200000000001</v>
      </c>
      <c r="L447" s="35">
        <f>R$447*F447</f>
        <v>9303.0400000000009</v>
      </c>
      <c r="M447" s="12">
        <f>R$447*G447</f>
        <v>21196.799999999999</v>
      </c>
      <c r="N447" s="9"/>
      <c r="O447" s="9"/>
      <c r="P447" s="16"/>
      <c r="R447">
        <v>117.76</v>
      </c>
      <c r="S447">
        <v>98</v>
      </c>
    </row>
    <row r="448" spans="1:19" x14ac:dyDescent="0.35">
      <c r="D448" t="s">
        <v>1377</v>
      </c>
      <c r="E448" s="37">
        <v>13</v>
      </c>
      <c r="F448" s="38">
        <v>86</v>
      </c>
      <c r="G448" s="20">
        <v>197</v>
      </c>
      <c r="H448" s="21">
        <f>S$447*E448</f>
        <v>1274</v>
      </c>
      <c r="I448" s="22">
        <f>S$447*F448</f>
        <v>8428</v>
      </c>
      <c r="J448" s="23">
        <f>S$447*G448</f>
        <v>19306</v>
      </c>
      <c r="K448" s="37">
        <f>R$447*E448</f>
        <v>1530.88</v>
      </c>
      <c r="L448" s="38">
        <f>R$447*F448</f>
        <v>10127.36</v>
      </c>
      <c r="M448" s="20">
        <f>R$447*G448</f>
        <v>23198.720000000001</v>
      </c>
      <c r="P448" s="24"/>
    </row>
    <row r="449" spans="1:20" x14ac:dyDescent="0.35">
      <c r="C449" s="25"/>
      <c r="D449" s="26" t="s">
        <v>1378</v>
      </c>
      <c r="E449" s="40">
        <v>14</v>
      </c>
      <c r="F449" s="41">
        <v>94</v>
      </c>
      <c r="G449" s="29">
        <v>214</v>
      </c>
      <c r="H449" s="30">
        <f>S$447*E449</f>
        <v>1372</v>
      </c>
      <c r="I449" s="31">
        <f>S$447*F449</f>
        <v>9212</v>
      </c>
      <c r="J449" s="32">
        <f>S$447*G449</f>
        <v>20972</v>
      </c>
      <c r="K449" s="40">
        <f>R$447*E449</f>
        <v>1648.64</v>
      </c>
      <c r="L449" s="41">
        <f>R$447*F449</f>
        <v>11069.44</v>
      </c>
      <c r="M449" s="29">
        <f>R$447*G449</f>
        <v>25200.639999999999</v>
      </c>
      <c r="N449" s="26"/>
      <c r="O449" s="26"/>
      <c r="P449" s="33"/>
    </row>
    <row r="450" spans="1:20" x14ac:dyDescent="0.35">
      <c r="C450" s="8" t="str">
        <f>'To be deleted'!AQ28</f>
        <v>Light Machinery, Equipment and Furniture</v>
      </c>
      <c r="D450" s="9" t="s">
        <v>1375</v>
      </c>
      <c r="E450" s="34">
        <v>0</v>
      </c>
      <c r="F450" s="35">
        <v>3</v>
      </c>
      <c r="G450" s="12">
        <v>9</v>
      </c>
      <c r="H450" s="13">
        <v>0</v>
      </c>
      <c r="I450" s="14">
        <f>S$450*F450</f>
        <v>108</v>
      </c>
      <c r="J450" s="15">
        <f>S$450*G450</f>
        <v>324</v>
      </c>
      <c r="K450" s="34">
        <f>R$450*E450</f>
        <v>0</v>
      </c>
      <c r="L450" s="35">
        <f>$R450*F450</f>
        <v>258.54000000000002</v>
      </c>
      <c r="M450" s="12">
        <f>R$450*G450</f>
        <v>775.62000000000012</v>
      </c>
      <c r="N450" s="9"/>
      <c r="O450" s="9"/>
      <c r="P450" s="16"/>
      <c r="R450">
        <v>86.18</v>
      </c>
      <c r="S450">
        <v>36</v>
      </c>
    </row>
    <row r="451" spans="1:20" x14ac:dyDescent="0.35">
      <c r="D451" t="s">
        <v>1377</v>
      </c>
      <c r="E451" s="37">
        <v>0</v>
      </c>
      <c r="F451" s="38">
        <v>4</v>
      </c>
      <c r="G451" s="20">
        <v>9</v>
      </c>
      <c r="H451" s="21">
        <v>0</v>
      </c>
      <c r="I451" s="22">
        <f>S$450*F451</f>
        <v>144</v>
      </c>
      <c r="J451" s="23">
        <f>S$450*G451</f>
        <v>324</v>
      </c>
      <c r="K451" s="37">
        <f>R$450*E451</f>
        <v>0</v>
      </c>
      <c r="L451" s="38">
        <f>R$450*F451</f>
        <v>344.72</v>
      </c>
      <c r="M451" s="20">
        <f>R$450*G451</f>
        <v>775.62000000000012</v>
      </c>
      <c r="P451" s="24"/>
    </row>
    <row r="452" spans="1:20" x14ac:dyDescent="0.35">
      <c r="C452" s="25"/>
      <c r="D452" s="26" t="s">
        <v>1378</v>
      </c>
      <c r="E452" s="40">
        <v>0</v>
      </c>
      <c r="F452" s="41">
        <v>4</v>
      </c>
      <c r="G452" s="29">
        <v>10</v>
      </c>
      <c r="H452" s="30">
        <v>0</v>
      </c>
      <c r="I452" s="31">
        <f>S$450*F452</f>
        <v>144</v>
      </c>
      <c r="J452" s="32">
        <f>S$450*G452</f>
        <v>360</v>
      </c>
      <c r="K452" s="40">
        <f>R$450*E452</f>
        <v>0</v>
      </c>
      <c r="L452" s="41">
        <f>R$450*F452</f>
        <v>344.72</v>
      </c>
      <c r="M452" s="29">
        <f>R$450*G452</f>
        <v>861.80000000000007</v>
      </c>
      <c r="N452" s="26"/>
      <c r="O452" s="26"/>
      <c r="P452" s="33"/>
      <c r="R452" s="26"/>
      <c r="S452" s="26"/>
      <c r="T452" s="26"/>
    </row>
    <row r="454" spans="1:20" x14ac:dyDescent="0.35">
      <c r="A454">
        <v>27</v>
      </c>
      <c r="B454" t="str">
        <f>'To be deleted'!B29</f>
        <v>Tangail Economic Zone</v>
      </c>
      <c r="C454" s="8" t="str">
        <f>'To be deleted'!AM29</f>
        <v>Textiles and RMG</v>
      </c>
      <c r="D454" s="9" t="s">
        <v>1375</v>
      </c>
      <c r="E454" s="34">
        <v>14</v>
      </c>
      <c r="F454" s="35">
        <v>50</v>
      </c>
      <c r="G454" s="12">
        <v>119</v>
      </c>
      <c r="H454" s="13">
        <f>$S455*E454</f>
        <v>1988</v>
      </c>
      <c r="I454" s="14">
        <f>$S455*F454</f>
        <v>7100</v>
      </c>
      <c r="J454" s="15">
        <f>$S455*G454</f>
        <v>16898</v>
      </c>
      <c r="K454" s="34">
        <f>$T455*E454</f>
        <v>495.03999999999996</v>
      </c>
      <c r="L454" s="35">
        <f>$T455*F454</f>
        <v>1768</v>
      </c>
      <c r="M454" s="12">
        <f>$T455*G454</f>
        <v>4207.84</v>
      </c>
      <c r="N454" s="9"/>
      <c r="O454" s="9"/>
      <c r="P454" s="16"/>
      <c r="R454" t="s">
        <v>1403</v>
      </c>
      <c r="S454" t="s">
        <v>1404</v>
      </c>
    </row>
    <row r="455" spans="1:20" x14ac:dyDescent="0.35">
      <c r="D455" t="s">
        <v>1377</v>
      </c>
      <c r="E455" s="37">
        <v>18</v>
      </c>
      <c r="F455" s="38">
        <v>81</v>
      </c>
      <c r="G455" s="20">
        <v>137</v>
      </c>
      <c r="H455" s="21">
        <f>$S455*E455</f>
        <v>2556</v>
      </c>
      <c r="I455" s="22">
        <f>$S455*F455</f>
        <v>11502</v>
      </c>
      <c r="J455" s="23">
        <f>$S455*G455</f>
        <v>19454</v>
      </c>
      <c r="K455" s="37">
        <f>$T455*E455</f>
        <v>636.48</v>
      </c>
      <c r="L455" s="38">
        <f>$T455*F455</f>
        <v>2864.16</v>
      </c>
      <c r="M455" s="20">
        <f>$T455*G455</f>
        <v>4844.32</v>
      </c>
      <c r="P455" s="24"/>
      <c r="S455">
        <v>142</v>
      </c>
      <c r="T455">
        <v>35.36</v>
      </c>
    </row>
    <row r="456" spans="1:20" x14ac:dyDescent="0.35">
      <c r="C456" s="25"/>
      <c r="D456" s="26" t="s">
        <v>1378</v>
      </c>
      <c r="E456" s="40">
        <v>23</v>
      </c>
      <c r="F456" s="41">
        <v>115</v>
      </c>
      <c r="G456" s="29">
        <v>138</v>
      </c>
      <c r="H456" s="30">
        <f t="shared" ref="H456:J457" si="387">$S455*E456</f>
        <v>3266</v>
      </c>
      <c r="I456" s="31">
        <f t="shared" si="387"/>
        <v>16330</v>
      </c>
      <c r="J456" s="32">
        <f t="shared" si="387"/>
        <v>19596</v>
      </c>
      <c r="K456" s="40">
        <f t="shared" ref="K456:M457" si="388">$T455*E456</f>
        <v>813.28</v>
      </c>
      <c r="L456" s="41">
        <f t="shared" si="388"/>
        <v>4066.4</v>
      </c>
      <c r="M456" s="29">
        <f t="shared" si="388"/>
        <v>4879.68</v>
      </c>
      <c r="N456" s="26"/>
      <c r="O456" s="26"/>
      <c r="P456" s="33"/>
      <c r="S456">
        <v>23</v>
      </c>
      <c r="T456">
        <v>36.76</v>
      </c>
    </row>
    <row r="457" spans="1:20" x14ac:dyDescent="0.35">
      <c r="C457" s="8" t="str">
        <f>'To be deleted'!AN29</f>
        <v>Food and Beverage</v>
      </c>
      <c r="D457" s="9" t="s">
        <v>1375</v>
      </c>
      <c r="E457" s="34">
        <v>4</v>
      </c>
      <c r="F457" s="35">
        <v>16</v>
      </c>
      <c r="G457" s="12">
        <v>2</v>
      </c>
      <c r="H457" s="13">
        <f t="shared" si="387"/>
        <v>92</v>
      </c>
      <c r="I457" s="14">
        <f t="shared" si="387"/>
        <v>368</v>
      </c>
      <c r="J457" s="15">
        <f t="shared" si="387"/>
        <v>46</v>
      </c>
      <c r="K457" s="34">
        <f t="shared" si="388"/>
        <v>147.04</v>
      </c>
      <c r="L457" s="35">
        <f t="shared" si="388"/>
        <v>588.16</v>
      </c>
      <c r="M457" s="12">
        <f t="shared" si="388"/>
        <v>73.52</v>
      </c>
      <c r="N457" s="9"/>
      <c r="O457" s="9"/>
      <c r="P457" s="16"/>
      <c r="S457">
        <v>119</v>
      </c>
      <c r="T457">
        <v>52.87</v>
      </c>
    </row>
    <row r="458" spans="1:20" x14ac:dyDescent="0.35">
      <c r="D458" t="s">
        <v>1377</v>
      </c>
      <c r="E458" s="37">
        <v>5</v>
      </c>
      <c r="F458" s="38">
        <v>26</v>
      </c>
      <c r="G458" s="20">
        <v>44</v>
      </c>
      <c r="H458" s="21">
        <f>$S456*E458</f>
        <v>115</v>
      </c>
      <c r="I458" s="22">
        <f>$S456*F458</f>
        <v>598</v>
      </c>
      <c r="J458" s="23">
        <f>$S456*G458</f>
        <v>1012</v>
      </c>
      <c r="K458" s="37">
        <f>$T456*E458</f>
        <v>183.79999999999998</v>
      </c>
      <c r="L458" s="38">
        <f>$T456*F458</f>
        <v>955.76</v>
      </c>
      <c r="M458" s="20">
        <f>$T456*G458</f>
        <v>1617.4399999999998</v>
      </c>
      <c r="P458" s="24"/>
      <c r="S458">
        <v>253</v>
      </c>
      <c r="T458">
        <v>176.13</v>
      </c>
    </row>
    <row r="459" spans="1:20" x14ac:dyDescent="0.35">
      <c r="C459" s="25"/>
      <c r="D459" s="26" t="s">
        <v>1378</v>
      </c>
      <c r="E459" s="40">
        <v>7</v>
      </c>
      <c r="F459" s="41">
        <v>37</v>
      </c>
      <c r="G459" s="29">
        <v>44</v>
      </c>
      <c r="H459" s="30">
        <f t="shared" ref="H459:J460" si="389">$S456*E459</f>
        <v>161</v>
      </c>
      <c r="I459" s="31">
        <f t="shared" si="389"/>
        <v>851</v>
      </c>
      <c r="J459" s="32">
        <f t="shared" si="389"/>
        <v>1012</v>
      </c>
      <c r="K459" s="40">
        <f t="shared" ref="K459:M460" si="390">$T456*E459</f>
        <v>257.32</v>
      </c>
      <c r="L459" s="41">
        <f t="shared" si="390"/>
        <v>1360.12</v>
      </c>
      <c r="M459" s="29">
        <f t="shared" si="390"/>
        <v>1617.4399999999998</v>
      </c>
      <c r="N459" s="26"/>
      <c r="O459" s="26"/>
      <c r="P459" s="33"/>
      <c r="S459">
        <v>186</v>
      </c>
      <c r="T459">
        <v>101.89</v>
      </c>
    </row>
    <row r="460" spans="1:20" x14ac:dyDescent="0.35">
      <c r="C460" s="8" t="str">
        <f>'To be deleted'!AO29</f>
        <v>Agro based</v>
      </c>
      <c r="D460" s="9" t="s">
        <v>1375</v>
      </c>
      <c r="E460" s="34">
        <v>0</v>
      </c>
      <c r="F460" s="35">
        <v>1</v>
      </c>
      <c r="G460" s="12">
        <v>2</v>
      </c>
      <c r="H460" s="13">
        <f t="shared" si="389"/>
        <v>0</v>
      </c>
      <c r="I460" s="14">
        <f t="shared" si="389"/>
        <v>119</v>
      </c>
      <c r="J460" s="15">
        <f t="shared" si="389"/>
        <v>238</v>
      </c>
      <c r="K460" s="34">
        <f t="shared" si="390"/>
        <v>0</v>
      </c>
      <c r="L460" s="35">
        <f t="shared" si="390"/>
        <v>52.87</v>
      </c>
      <c r="M460" s="12">
        <f t="shared" si="390"/>
        <v>105.74</v>
      </c>
      <c r="N460" s="9"/>
      <c r="O460" s="9"/>
      <c r="P460" s="16"/>
    </row>
    <row r="461" spans="1:20" x14ac:dyDescent="0.35">
      <c r="D461" t="s">
        <v>1377</v>
      </c>
      <c r="E461" s="37">
        <v>0</v>
      </c>
      <c r="F461" s="38">
        <v>1</v>
      </c>
      <c r="G461" s="20">
        <v>2</v>
      </c>
      <c r="H461" s="21">
        <f>$S457*E461</f>
        <v>0</v>
      </c>
      <c r="I461" s="22">
        <f>$S457*F461</f>
        <v>119</v>
      </c>
      <c r="J461" s="23">
        <f>$S457*G461</f>
        <v>238</v>
      </c>
      <c r="K461" s="37">
        <f>$T457*E461</f>
        <v>0</v>
      </c>
      <c r="L461" s="38">
        <f>$T457*F461</f>
        <v>52.87</v>
      </c>
      <c r="M461" s="20">
        <f>$T457*G461</f>
        <v>105.74</v>
      </c>
      <c r="P461" s="24"/>
    </row>
    <row r="462" spans="1:20" x14ac:dyDescent="0.35">
      <c r="C462" s="25"/>
      <c r="D462" s="26" t="s">
        <v>1378</v>
      </c>
      <c r="E462" s="40">
        <v>0</v>
      </c>
      <c r="F462" s="41">
        <v>2</v>
      </c>
      <c r="G462" s="29">
        <v>2</v>
      </c>
      <c r="H462" s="30">
        <f t="shared" ref="H462:J463" si="391">$S457*E462</f>
        <v>0</v>
      </c>
      <c r="I462" s="31">
        <f t="shared" si="391"/>
        <v>238</v>
      </c>
      <c r="J462" s="32">
        <f t="shared" si="391"/>
        <v>238</v>
      </c>
      <c r="K462" s="40">
        <f t="shared" ref="K462:M463" si="392">$T457*E462</f>
        <v>0</v>
      </c>
      <c r="L462" s="41">
        <f t="shared" si="392"/>
        <v>105.74</v>
      </c>
      <c r="M462" s="29">
        <f t="shared" si="392"/>
        <v>105.74</v>
      </c>
      <c r="N462" s="26"/>
      <c r="O462" s="26"/>
      <c r="P462" s="33"/>
    </row>
    <row r="463" spans="1:20" x14ac:dyDescent="0.35">
      <c r="C463" s="8" t="str">
        <f>'To be deleted'!AP29</f>
        <v>Plastic and Rubber</v>
      </c>
      <c r="D463" s="9" t="s">
        <v>1375</v>
      </c>
      <c r="E463" s="34">
        <v>0</v>
      </c>
      <c r="F463" s="35">
        <v>1</v>
      </c>
      <c r="G463" s="12">
        <v>2</v>
      </c>
      <c r="H463" s="13">
        <f t="shared" si="391"/>
        <v>0</v>
      </c>
      <c r="I463" s="14">
        <f t="shared" si="391"/>
        <v>253</v>
      </c>
      <c r="J463" s="15">
        <f t="shared" si="391"/>
        <v>506</v>
      </c>
      <c r="K463" s="34">
        <f t="shared" si="392"/>
        <v>0</v>
      </c>
      <c r="L463" s="35">
        <f t="shared" si="392"/>
        <v>176.13</v>
      </c>
      <c r="M463" s="12">
        <f t="shared" si="392"/>
        <v>352.26</v>
      </c>
      <c r="N463" s="9"/>
      <c r="O463" s="9"/>
      <c r="P463" s="16"/>
    </row>
    <row r="464" spans="1:20" x14ac:dyDescent="0.35">
      <c r="D464" t="s">
        <v>1377</v>
      </c>
      <c r="E464" s="37">
        <v>0</v>
      </c>
      <c r="F464" s="38">
        <v>1</v>
      </c>
      <c r="G464" s="20">
        <v>3</v>
      </c>
      <c r="H464" s="21">
        <f>$S458*E464</f>
        <v>0</v>
      </c>
      <c r="I464" s="22">
        <f>$S458*F464</f>
        <v>253</v>
      </c>
      <c r="J464" s="23">
        <f>$S458*G464</f>
        <v>759</v>
      </c>
      <c r="K464" s="37">
        <f>$T458*E464</f>
        <v>0</v>
      </c>
      <c r="L464" s="38">
        <f>$T458*F464</f>
        <v>176.13</v>
      </c>
      <c r="M464" s="20">
        <f>$T458*G464</f>
        <v>528.39</v>
      </c>
      <c r="P464" s="24"/>
    </row>
    <row r="465" spans="1:19" x14ac:dyDescent="0.35">
      <c r="C465" s="25"/>
      <c r="D465" s="26" t="s">
        <v>1378</v>
      </c>
      <c r="E465" s="40">
        <v>0</v>
      </c>
      <c r="F465" s="41">
        <v>2</v>
      </c>
      <c r="G465" s="29">
        <v>3</v>
      </c>
      <c r="H465" s="30">
        <f t="shared" ref="H465:J466" si="393">$S458*E465</f>
        <v>0</v>
      </c>
      <c r="I465" s="31">
        <f t="shared" si="393"/>
        <v>506</v>
      </c>
      <c r="J465" s="32">
        <f t="shared" si="393"/>
        <v>759</v>
      </c>
      <c r="K465" s="40">
        <f>$T458*E465</f>
        <v>0</v>
      </c>
      <c r="L465" s="41">
        <f>$T458*F465</f>
        <v>352.26</v>
      </c>
      <c r="M465" s="29">
        <f>$T458*G465</f>
        <v>528.39</v>
      </c>
      <c r="N465" s="26"/>
      <c r="O465" s="26"/>
      <c r="P465" s="33"/>
    </row>
    <row r="466" spans="1:19" x14ac:dyDescent="0.35">
      <c r="C466" s="8" t="str">
        <f>'To be deleted'!AQ29</f>
        <v>Paper and packaging</v>
      </c>
      <c r="D466" s="9" t="s">
        <v>1375</v>
      </c>
      <c r="E466" s="34">
        <v>0</v>
      </c>
      <c r="F466" s="35">
        <v>2</v>
      </c>
      <c r="G466" s="12">
        <v>6</v>
      </c>
      <c r="H466" s="13">
        <f t="shared" si="393"/>
        <v>0</v>
      </c>
      <c r="I466" s="14">
        <f t="shared" si="393"/>
        <v>372</v>
      </c>
      <c r="J466" s="15">
        <f t="shared" si="393"/>
        <v>1116</v>
      </c>
      <c r="K466" s="34">
        <f>E466*$T459</f>
        <v>0</v>
      </c>
      <c r="L466" s="35">
        <f>F466*$T459</f>
        <v>203.78</v>
      </c>
      <c r="M466" s="12">
        <f>G466*$T459</f>
        <v>611.34</v>
      </c>
      <c r="N466" s="9"/>
      <c r="O466" s="9"/>
      <c r="P466" s="16"/>
    </row>
    <row r="467" spans="1:19" x14ac:dyDescent="0.35">
      <c r="D467" t="s">
        <v>1377</v>
      </c>
      <c r="E467" s="37">
        <v>1</v>
      </c>
      <c r="F467" s="38">
        <v>3</v>
      </c>
      <c r="G467" s="20">
        <v>6</v>
      </c>
      <c r="H467" s="21">
        <f>$S459*E467</f>
        <v>186</v>
      </c>
      <c r="I467" s="22">
        <f>$S459*F467</f>
        <v>558</v>
      </c>
      <c r="J467" s="23">
        <f>$S459*G467</f>
        <v>1116</v>
      </c>
      <c r="K467" s="37">
        <f>E467*$T459</f>
        <v>101.89</v>
      </c>
      <c r="L467" s="38">
        <f>F467*$T459</f>
        <v>305.67</v>
      </c>
      <c r="M467" s="20">
        <f>G467*$T459</f>
        <v>611.34</v>
      </c>
      <c r="P467" s="24"/>
    </row>
    <row r="468" spans="1:19" x14ac:dyDescent="0.35">
      <c r="C468" s="25"/>
      <c r="D468" s="26" t="s">
        <v>1378</v>
      </c>
      <c r="E468" s="40">
        <v>1</v>
      </c>
      <c r="F468" s="41">
        <v>5</v>
      </c>
      <c r="G468" s="29">
        <v>6</v>
      </c>
      <c r="H468" s="30">
        <f>'Demand Forecast'!$S459*E468</f>
        <v>186</v>
      </c>
      <c r="I468" s="31">
        <f>'Demand Forecast'!$S459*F468</f>
        <v>930</v>
      </c>
      <c r="J468" s="32">
        <f>'Demand Forecast'!$S459*G468</f>
        <v>1116</v>
      </c>
      <c r="K468" s="40">
        <f>E468*'Demand Forecast'!$T459</f>
        <v>101.89</v>
      </c>
      <c r="L468" s="41">
        <f>F468*'Demand Forecast'!$T459</f>
        <v>509.45</v>
      </c>
      <c r="M468" s="29">
        <f>G468*'Demand Forecast'!$T459</f>
        <v>611.34</v>
      </c>
      <c r="N468" s="26"/>
      <c r="O468" s="26"/>
      <c r="P468" s="33"/>
    </row>
    <row r="469" spans="1:19" x14ac:dyDescent="0.35">
      <c r="S469" t="s">
        <v>1404</v>
      </c>
    </row>
    <row r="470" spans="1:19" x14ac:dyDescent="0.35">
      <c r="A470">
        <v>28</v>
      </c>
      <c r="B470" t="str">
        <f>'To be deleted'!B30</f>
        <v>Alutila Special Tourism Zone</v>
      </c>
      <c r="C470" s="8">
        <f>'To be deleted'!AM30</f>
        <v>0</v>
      </c>
      <c r="D470" s="9" t="s">
        <v>1375</v>
      </c>
      <c r="E470" s="34">
        <v>17</v>
      </c>
      <c r="F470" s="35">
        <v>167</v>
      </c>
      <c r="G470" s="12">
        <v>355</v>
      </c>
      <c r="H470" s="13">
        <f>E470*$R470</f>
        <v>2414</v>
      </c>
      <c r="I470" s="14">
        <f>F470*$R470</f>
        <v>23714</v>
      </c>
      <c r="J470" s="15">
        <f>G470*$R470</f>
        <v>50410</v>
      </c>
      <c r="K470" s="34">
        <f>E470*$S470</f>
        <v>601.12</v>
      </c>
      <c r="L470" s="35">
        <f>F470*$S470</f>
        <v>5905.12</v>
      </c>
      <c r="M470" s="12">
        <f>G470*$S470</f>
        <v>12552.8</v>
      </c>
      <c r="N470" s="9"/>
      <c r="O470" s="9"/>
      <c r="P470" s="16"/>
      <c r="R470">
        <v>142</v>
      </c>
      <c r="S470">
        <v>35.36</v>
      </c>
    </row>
    <row r="471" spans="1:19" x14ac:dyDescent="0.35">
      <c r="D471" t="s">
        <v>1377</v>
      </c>
      <c r="E471" s="37">
        <v>23</v>
      </c>
      <c r="F471" s="38">
        <v>217</v>
      </c>
      <c r="G471" s="20">
        <v>465</v>
      </c>
      <c r="H471" s="21">
        <f>E471*$R470</f>
        <v>3266</v>
      </c>
      <c r="I471" s="22">
        <f>F471*$R470</f>
        <v>30814</v>
      </c>
      <c r="J471" s="23">
        <f>G471*$R470</f>
        <v>66030</v>
      </c>
      <c r="K471" s="37">
        <f>E471*$S470</f>
        <v>813.28</v>
      </c>
      <c r="L471" s="38">
        <f>F471*$S470</f>
        <v>7673.12</v>
      </c>
      <c r="M471" s="20">
        <f>G471*$S470</f>
        <v>16442.400000000001</v>
      </c>
      <c r="P471" s="24"/>
      <c r="R471">
        <v>23</v>
      </c>
      <c r="S471">
        <v>36.76</v>
      </c>
    </row>
    <row r="472" spans="1:19" x14ac:dyDescent="0.35">
      <c r="C472" s="25"/>
      <c r="D472" s="26" t="s">
        <v>1378</v>
      </c>
      <c r="E472" s="40">
        <v>30</v>
      </c>
      <c r="F472" s="41">
        <v>270</v>
      </c>
      <c r="G472" s="29">
        <v>582</v>
      </c>
      <c r="H472" s="30">
        <f t="shared" ref="H472:J473" si="394">E472*$R470</f>
        <v>4260</v>
      </c>
      <c r="I472" s="31">
        <f t="shared" si="394"/>
        <v>38340</v>
      </c>
      <c r="J472" s="32">
        <f t="shared" si="394"/>
        <v>82644</v>
      </c>
      <c r="K472" s="40">
        <f t="shared" ref="K472:M473" si="395">E472*$S470</f>
        <v>1060.8</v>
      </c>
      <c r="L472" s="41">
        <f t="shared" si="395"/>
        <v>9547.2000000000007</v>
      </c>
      <c r="M472" s="29">
        <f t="shared" si="395"/>
        <v>20579.52</v>
      </c>
      <c r="N472" s="26"/>
      <c r="O472" s="26"/>
      <c r="P472" s="33"/>
      <c r="R472">
        <v>119</v>
      </c>
      <c r="S472">
        <v>52.87</v>
      </c>
    </row>
    <row r="473" spans="1:19" x14ac:dyDescent="0.35">
      <c r="C473" s="8">
        <f>'To be deleted'!AN30</f>
        <v>0</v>
      </c>
      <c r="D473" s="9" t="s">
        <v>1375</v>
      </c>
      <c r="E473" s="34">
        <v>5</v>
      </c>
      <c r="F473" s="35">
        <v>54</v>
      </c>
      <c r="G473" s="12">
        <v>115</v>
      </c>
      <c r="H473" s="13">
        <f t="shared" si="394"/>
        <v>115</v>
      </c>
      <c r="I473" s="14">
        <f t="shared" si="394"/>
        <v>1242</v>
      </c>
      <c r="J473" s="15">
        <f t="shared" si="394"/>
        <v>2645</v>
      </c>
      <c r="K473" s="34">
        <f t="shared" si="395"/>
        <v>183.79999999999998</v>
      </c>
      <c r="L473" s="35">
        <f t="shared" si="395"/>
        <v>1985.04</v>
      </c>
      <c r="M473" s="12">
        <f t="shared" si="395"/>
        <v>4227.3999999999996</v>
      </c>
      <c r="N473" s="9"/>
      <c r="O473" s="9"/>
      <c r="P473" s="16"/>
      <c r="R473">
        <v>133</v>
      </c>
      <c r="S473">
        <v>111.58</v>
      </c>
    </row>
    <row r="474" spans="1:19" x14ac:dyDescent="0.35">
      <c r="D474" t="s">
        <v>1377</v>
      </c>
      <c r="E474" s="37">
        <v>7</v>
      </c>
      <c r="F474" s="38">
        <v>70</v>
      </c>
      <c r="G474" s="20">
        <v>150</v>
      </c>
      <c r="H474" s="21">
        <f>E474*$R471</f>
        <v>161</v>
      </c>
      <c r="I474" s="22">
        <f>F474*$R471</f>
        <v>1610</v>
      </c>
      <c r="J474" s="23">
        <f>G474*$R471</f>
        <v>3450</v>
      </c>
      <c r="K474" s="37">
        <f>E474*$S471</f>
        <v>257.32</v>
      </c>
      <c r="L474" s="38">
        <f>F474*$S471</f>
        <v>2573.1999999999998</v>
      </c>
      <c r="M474" s="20">
        <f>G474*$S471</f>
        <v>5514</v>
      </c>
      <c r="P474" s="24"/>
      <c r="R474">
        <v>195</v>
      </c>
      <c r="S474">
        <v>122.57</v>
      </c>
    </row>
    <row r="475" spans="1:19" x14ac:dyDescent="0.35">
      <c r="C475" s="25"/>
      <c r="D475" s="26" t="s">
        <v>1378</v>
      </c>
      <c r="E475" s="40">
        <v>10</v>
      </c>
      <c r="F475" s="41">
        <v>87</v>
      </c>
      <c r="G475" s="29">
        <v>188</v>
      </c>
      <c r="H475" s="30">
        <f>E475*$R471</f>
        <v>230</v>
      </c>
      <c r="I475" s="31">
        <f>F475*$R471</f>
        <v>2001</v>
      </c>
      <c r="J475" s="32">
        <f>G475*$R471</f>
        <v>4324</v>
      </c>
      <c r="K475" s="40">
        <f>E475*$S471</f>
        <v>367.59999999999997</v>
      </c>
      <c r="L475" s="41">
        <f>F475*$S471</f>
        <v>3198.12</v>
      </c>
      <c r="M475" s="29">
        <f>G475*$S471</f>
        <v>6910.8799999999992</v>
      </c>
      <c r="N475" s="26"/>
      <c r="O475" s="26"/>
      <c r="P475" s="33"/>
      <c r="R475">
        <v>164</v>
      </c>
    </row>
    <row r="476" spans="1:19" x14ac:dyDescent="0.35">
      <c r="C476" s="8">
        <f>'To be deleted'!AO30</f>
        <v>0</v>
      </c>
      <c r="D476" s="9" t="s">
        <v>1375</v>
      </c>
      <c r="E476" s="34">
        <v>0</v>
      </c>
      <c r="F476" s="35">
        <v>2</v>
      </c>
      <c r="G476" s="12">
        <v>5</v>
      </c>
      <c r="H476" s="13">
        <v>0</v>
      </c>
      <c r="I476" s="14">
        <f>F476*$R472</f>
        <v>238</v>
      </c>
      <c r="J476" s="15">
        <f>G476*$R472</f>
        <v>595</v>
      </c>
      <c r="K476" s="34">
        <v>0</v>
      </c>
      <c r="L476" s="35">
        <f>F476*$S472</f>
        <v>105.74</v>
      </c>
      <c r="M476" s="12">
        <f>G476*$S472</f>
        <v>264.34999999999997</v>
      </c>
      <c r="N476" s="9"/>
      <c r="O476" s="9"/>
      <c r="P476" s="16"/>
      <c r="R476">
        <v>253</v>
      </c>
    </row>
    <row r="477" spans="1:19" x14ac:dyDescent="0.35">
      <c r="D477" t="s">
        <v>1377</v>
      </c>
      <c r="E477" s="37">
        <v>0</v>
      </c>
      <c r="F477" s="38">
        <v>3</v>
      </c>
      <c r="G477" s="20">
        <v>6</v>
      </c>
      <c r="H477" s="21">
        <v>0</v>
      </c>
      <c r="I477" s="22">
        <f>F477*$R472</f>
        <v>357</v>
      </c>
      <c r="J477" s="23">
        <f>G477*$R472</f>
        <v>714</v>
      </c>
      <c r="K477" s="37">
        <v>0</v>
      </c>
      <c r="L477" s="38">
        <f>F477*$S472</f>
        <v>158.60999999999999</v>
      </c>
      <c r="M477" s="20">
        <f>G477*$S472</f>
        <v>317.21999999999997</v>
      </c>
      <c r="P477" s="24"/>
    </row>
    <row r="478" spans="1:19" x14ac:dyDescent="0.35">
      <c r="C478" s="25"/>
      <c r="D478" s="26" t="s">
        <v>1378</v>
      </c>
      <c r="E478" s="40">
        <v>0</v>
      </c>
      <c r="F478" s="41">
        <v>4</v>
      </c>
      <c r="G478" s="29">
        <v>8</v>
      </c>
      <c r="H478" s="30">
        <v>0</v>
      </c>
      <c r="I478" s="31">
        <f>F478*$R472</f>
        <v>476</v>
      </c>
      <c r="J478" s="32">
        <f>G478*$R472</f>
        <v>952</v>
      </c>
      <c r="K478" s="40">
        <v>0</v>
      </c>
      <c r="L478" s="41">
        <f>F478*$S472</f>
        <v>211.48</v>
      </c>
      <c r="M478" s="29">
        <f>G478*$S472</f>
        <v>422.96</v>
      </c>
      <c r="N478" s="26"/>
      <c r="O478" s="26"/>
      <c r="P478" s="33"/>
    </row>
    <row r="479" spans="1:19" x14ac:dyDescent="0.35">
      <c r="C479" s="8">
        <f>'To be deleted'!AP30</f>
        <v>0</v>
      </c>
      <c r="D479" s="9" t="s">
        <v>1375</v>
      </c>
      <c r="E479" s="34">
        <v>0</v>
      </c>
      <c r="F479" s="35">
        <v>1</v>
      </c>
      <c r="G479" s="12">
        <v>2</v>
      </c>
      <c r="H479" s="13">
        <v>0</v>
      </c>
      <c r="I479" s="14">
        <v>133</v>
      </c>
      <c r="J479" s="15">
        <f>G479*$R473</f>
        <v>266</v>
      </c>
      <c r="K479" s="34">
        <v>0</v>
      </c>
      <c r="L479" s="35">
        <f>F479*$S473</f>
        <v>111.58</v>
      </c>
      <c r="M479" s="12">
        <f>G479*$S473</f>
        <v>223.16</v>
      </c>
      <c r="N479" s="9"/>
      <c r="O479" s="9"/>
      <c r="P479" s="16"/>
    </row>
    <row r="480" spans="1:19" x14ac:dyDescent="0.35">
      <c r="D480" t="s">
        <v>1377</v>
      </c>
      <c r="E480" s="37">
        <v>0</v>
      </c>
      <c r="F480" s="38">
        <v>1</v>
      </c>
      <c r="G480" s="20">
        <v>3</v>
      </c>
      <c r="H480" s="21">
        <v>0</v>
      </c>
      <c r="I480" s="22">
        <v>133</v>
      </c>
      <c r="J480" s="23">
        <f>G480*R473</f>
        <v>399</v>
      </c>
      <c r="K480" s="37">
        <v>0</v>
      </c>
      <c r="L480" s="38">
        <f>F480*$S473</f>
        <v>111.58</v>
      </c>
      <c r="M480" s="20">
        <f>G480*$S473</f>
        <v>334.74</v>
      </c>
      <c r="P480" s="24"/>
    </row>
    <row r="481" spans="3:19" x14ac:dyDescent="0.35">
      <c r="C481" s="25"/>
      <c r="D481" s="26" t="s">
        <v>1378</v>
      </c>
      <c r="E481" s="40">
        <v>0</v>
      </c>
      <c r="F481" s="41">
        <v>2</v>
      </c>
      <c r="G481" s="29">
        <v>4</v>
      </c>
      <c r="H481" s="30">
        <v>0</v>
      </c>
      <c r="I481" s="31">
        <v>266</v>
      </c>
      <c r="J481" s="32">
        <f>G481*R473</f>
        <v>532</v>
      </c>
      <c r="K481" s="40">
        <v>0</v>
      </c>
      <c r="L481" s="41">
        <f>F481*$S473</f>
        <v>223.16</v>
      </c>
      <c r="M481" s="29">
        <f>G481*$S473</f>
        <v>446.32</v>
      </c>
      <c r="N481" s="26"/>
      <c r="O481" s="26"/>
      <c r="P481" s="33"/>
    </row>
    <row r="482" spans="3:19" x14ac:dyDescent="0.35">
      <c r="C482" s="8">
        <f>'To be deleted'!AQ30</f>
        <v>0</v>
      </c>
      <c r="D482" s="9" t="s">
        <v>1375</v>
      </c>
      <c r="E482" s="34">
        <v>0</v>
      </c>
      <c r="F482" s="35">
        <v>2</v>
      </c>
      <c r="G482" s="12">
        <v>5</v>
      </c>
      <c r="H482" s="13">
        <v>0</v>
      </c>
      <c r="I482" s="14">
        <f>F482*$R474</f>
        <v>390</v>
      </c>
      <c r="J482" s="15">
        <f>G482*$R474</f>
        <v>975</v>
      </c>
      <c r="K482" s="34">
        <v>0</v>
      </c>
      <c r="L482" s="35">
        <f>F482*$S474</f>
        <v>245.14</v>
      </c>
      <c r="M482" s="12">
        <f>G482*$S474</f>
        <v>612.84999999999991</v>
      </c>
      <c r="N482" s="9"/>
      <c r="O482" s="9"/>
      <c r="P482" s="16"/>
    </row>
    <row r="483" spans="3:19" x14ac:dyDescent="0.35">
      <c r="D483" t="s">
        <v>1377</v>
      </c>
      <c r="E483" s="37">
        <v>0</v>
      </c>
      <c r="F483" s="38">
        <v>3</v>
      </c>
      <c r="G483" s="20">
        <v>6</v>
      </c>
      <c r="H483" s="21">
        <v>0</v>
      </c>
      <c r="I483" s="22">
        <f>F483*R$474</f>
        <v>585</v>
      </c>
      <c r="J483" s="23">
        <f>G483*R474</f>
        <v>1170</v>
      </c>
      <c r="K483" s="37">
        <v>0</v>
      </c>
      <c r="L483" s="38">
        <f>F483*$S474</f>
        <v>367.71</v>
      </c>
      <c r="M483" s="20">
        <f>G483*$S474</f>
        <v>735.42</v>
      </c>
      <c r="P483" s="24"/>
    </row>
    <row r="484" spans="3:19" x14ac:dyDescent="0.35">
      <c r="C484" s="25"/>
      <c r="D484" s="26" t="s">
        <v>1378</v>
      </c>
      <c r="E484" s="40">
        <v>0</v>
      </c>
      <c r="F484" s="41">
        <v>3</v>
      </c>
      <c r="G484" s="29">
        <v>8</v>
      </c>
      <c r="H484" s="30">
        <v>0</v>
      </c>
      <c r="I484" s="31">
        <f>F484*$R474</f>
        <v>585</v>
      </c>
      <c r="J484" s="32">
        <f>G484*$R474</f>
        <v>1560</v>
      </c>
      <c r="K484" s="40">
        <v>0</v>
      </c>
      <c r="L484" s="41">
        <f>F484*$S474</f>
        <v>367.71</v>
      </c>
      <c r="M484" s="29">
        <f>G484*$S474</f>
        <v>980.56</v>
      </c>
      <c r="N484" s="26"/>
      <c r="O484" s="26"/>
      <c r="P484" s="33"/>
    </row>
    <row r="485" spans="3:19" x14ac:dyDescent="0.35">
      <c r="C485" s="8">
        <f>'To be deleted'!AR30</f>
        <v>0</v>
      </c>
      <c r="D485" s="9" t="s">
        <v>1375</v>
      </c>
      <c r="E485" s="34">
        <v>0</v>
      </c>
      <c r="F485" s="35">
        <v>2</v>
      </c>
      <c r="G485" s="12">
        <v>4</v>
      </c>
      <c r="H485" s="13">
        <v>0</v>
      </c>
      <c r="I485" s="14">
        <f>F485*$R475</f>
        <v>328</v>
      </c>
      <c r="J485" s="15">
        <f>G485*$R475</f>
        <v>656</v>
      </c>
      <c r="K485" s="34">
        <v>0</v>
      </c>
      <c r="L485" s="35">
        <f>F485*$S485</f>
        <v>446.34</v>
      </c>
      <c r="M485" s="12">
        <f>G485*$S485</f>
        <v>892.68</v>
      </c>
      <c r="N485" s="9"/>
      <c r="O485" s="9"/>
      <c r="P485" s="16"/>
      <c r="S485">
        <v>223.17</v>
      </c>
    </row>
    <row r="486" spans="3:19" x14ac:dyDescent="0.35">
      <c r="D486" t="s">
        <v>1377</v>
      </c>
      <c r="E486" s="37">
        <v>0</v>
      </c>
      <c r="F486" s="38">
        <v>3</v>
      </c>
      <c r="G486" s="20">
        <v>5</v>
      </c>
      <c r="H486" s="21">
        <v>0</v>
      </c>
      <c r="I486" s="22">
        <f>F486*$R475</f>
        <v>492</v>
      </c>
      <c r="J486" s="23">
        <f>G486*$R475</f>
        <v>820</v>
      </c>
      <c r="K486" s="37">
        <v>0</v>
      </c>
      <c r="L486" s="38">
        <f>F486*$S485</f>
        <v>669.51</v>
      </c>
      <c r="M486" s="20">
        <f>G486*$S485</f>
        <v>1115.8499999999999</v>
      </c>
      <c r="P486" s="24"/>
      <c r="S486">
        <v>176.13</v>
      </c>
    </row>
    <row r="487" spans="3:19" x14ac:dyDescent="0.35">
      <c r="C487" s="25"/>
      <c r="D487" s="26" t="s">
        <v>1378</v>
      </c>
      <c r="E487" s="40">
        <v>0</v>
      </c>
      <c r="F487" s="41">
        <v>3</v>
      </c>
      <c r="G487" s="29">
        <v>7</v>
      </c>
      <c r="H487" s="30">
        <v>0</v>
      </c>
      <c r="I487" s="31">
        <f>F487*$R475</f>
        <v>492</v>
      </c>
      <c r="J487" s="32">
        <f>G487*$R475</f>
        <v>1148</v>
      </c>
      <c r="K487" s="40">
        <v>0</v>
      </c>
      <c r="L487" s="41">
        <f>F487*$S485</f>
        <v>669.51</v>
      </c>
      <c r="M487" s="29">
        <f>G487*$S485</f>
        <v>1562.1899999999998</v>
      </c>
      <c r="N487" s="26"/>
      <c r="O487" s="26"/>
      <c r="P487" s="33"/>
      <c r="S487">
        <v>58.82</v>
      </c>
    </row>
    <row r="488" spans="3:19" x14ac:dyDescent="0.35">
      <c r="C488" s="8">
        <f>'To be deleted'!AS30</f>
        <v>0</v>
      </c>
      <c r="D488" s="9" t="s">
        <v>1375</v>
      </c>
      <c r="E488" s="34">
        <v>3</v>
      </c>
      <c r="F488" s="35">
        <v>29</v>
      </c>
      <c r="G488" s="12">
        <v>69</v>
      </c>
      <c r="H488" s="13">
        <f>E488*$R476</f>
        <v>759</v>
      </c>
      <c r="I488" s="14">
        <f>F488*$R476</f>
        <v>7337</v>
      </c>
      <c r="J488" s="15">
        <f>G488*$R476</f>
        <v>17457</v>
      </c>
      <c r="K488" s="34">
        <f>E488*$S486</f>
        <v>528.39</v>
      </c>
      <c r="L488" s="35">
        <f>F488*$S486</f>
        <v>5107.7699999999995</v>
      </c>
      <c r="M488" s="12">
        <f>G488*$S486</f>
        <v>12152.97</v>
      </c>
      <c r="N488" s="9"/>
      <c r="O488" s="9"/>
      <c r="P488" s="16"/>
      <c r="S488">
        <v>203.25</v>
      </c>
    </row>
    <row r="489" spans="3:19" x14ac:dyDescent="0.35">
      <c r="D489" t="s">
        <v>1377</v>
      </c>
      <c r="E489" s="37">
        <v>4</v>
      </c>
      <c r="F489" s="38">
        <v>37</v>
      </c>
      <c r="G489" s="20">
        <v>90</v>
      </c>
      <c r="H489" s="21">
        <f>E489*$R476</f>
        <v>1012</v>
      </c>
      <c r="I489" s="22">
        <f>F489*$R476</f>
        <v>9361</v>
      </c>
      <c r="J489" s="23">
        <f>G489*$R476</f>
        <v>22770</v>
      </c>
      <c r="K489" s="37">
        <f>E489*$S486</f>
        <v>704.52</v>
      </c>
      <c r="L489" s="38">
        <f>F489*$S486</f>
        <v>6516.8099999999995</v>
      </c>
      <c r="M489" s="20">
        <f>G489*$S486</f>
        <v>15851.699999999999</v>
      </c>
      <c r="P489" s="24"/>
    </row>
    <row r="490" spans="3:19" x14ac:dyDescent="0.35">
      <c r="C490" s="25"/>
      <c r="D490" s="26" t="s">
        <v>1378</v>
      </c>
      <c r="E490" s="40">
        <v>5</v>
      </c>
      <c r="F490" s="41">
        <v>47</v>
      </c>
      <c r="G490" s="29">
        <v>112</v>
      </c>
      <c r="H490" s="30">
        <f>E490*$R476</f>
        <v>1265</v>
      </c>
      <c r="I490" s="31">
        <f>F490*$R476</f>
        <v>11891</v>
      </c>
      <c r="J490" s="32">
        <f>G490*$R476</f>
        <v>28336</v>
      </c>
      <c r="K490" s="40">
        <f>E490*$S486</f>
        <v>880.65</v>
      </c>
      <c r="L490" s="41">
        <f>F490*$S486</f>
        <v>8278.11</v>
      </c>
      <c r="M490" s="29">
        <f>G490*$S486</f>
        <v>19726.559999999998</v>
      </c>
      <c r="N490" s="26"/>
      <c r="O490" s="26"/>
      <c r="P490" s="33"/>
    </row>
    <row r="491" spans="3:19" x14ac:dyDescent="0.35">
      <c r="C491" s="8">
        <f>'To be deleted'!AT30</f>
        <v>0</v>
      </c>
      <c r="D491" s="9" t="s">
        <v>1375</v>
      </c>
      <c r="E491" s="34">
        <v>0</v>
      </c>
      <c r="F491" s="35">
        <v>3</v>
      </c>
      <c r="G491" s="12">
        <v>7</v>
      </c>
      <c r="H491" s="13">
        <v>0</v>
      </c>
      <c r="I491" s="14">
        <f>F491*R$491</f>
        <v>1809</v>
      </c>
      <c r="J491" s="15">
        <f>G491*R491</f>
        <v>4221</v>
      </c>
      <c r="K491" s="34">
        <v>0</v>
      </c>
      <c r="L491" s="35">
        <f>F491*$S487</f>
        <v>176.46</v>
      </c>
      <c r="M491" s="12">
        <f>G491*$S487</f>
        <v>411.74</v>
      </c>
      <c r="N491" s="9"/>
      <c r="O491" s="9"/>
      <c r="P491" s="16"/>
      <c r="R491">
        <v>603</v>
      </c>
    </row>
    <row r="492" spans="3:19" x14ac:dyDescent="0.35">
      <c r="D492" t="s">
        <v>1377</v>
      </c>
      <c r="E492" s="37">
        <v>0</v>
      </c>
      <c r="F492" s="38">
        <v>4</v>
      </c>
      <c r="G492" s="20">
        <v>9</v>
      </c>
      <c r="H492" s="21">
        <v>0</v>
      </c>
      <c r="I492" s="22">
        <f>F492*R$491</f>
        <v>2412</v>
      </c>
      <c r="J492" s="23">
        <f>G492*R491</f>
        <v>5427</v>
      </c>
      <c r="K492" s="37">
        <v>0</v>
      </c>
      <c r="L492" s="38">
        <f>F492*$S487</f>
        <v>235.28</v>
      </c>
      <c r="M492" s="20">
        <f>G492*$S487</f>
        <v>529.38</v>
      </c>
      <c r="P492" s="24"/>
      <c r="R492">
        <v>186</v>
      </c>
    </row>
    <row r="493" spans="3:19" x14ac:dyDescent="0.35">
      <c r="C493" s="25"/>
      <c r="D493" s="26" t="s">
        <v>1378</v>
      </c>
      <c r="E493" s="40">
        <v>0</v>
      </c>
      <c r="F493" s="41">
        <v>5</v>
      </c>
      <c r="G493" s="29">
        <v>12</v>
      </c>
      <c r="H493" s="30">
        <v>0</v>
      </c>
      <c r="I493" s="31">
        <f>F493*R$491</f>
        <v>3015</v>
      </c>
      <c r="J493" s="32">
        <f>G493*R491</f>
        <v>7236</v>
      </c>
      <c r="K493" s="40">
        <v>0</v>
      </c>
      <c r="L493" s="41">
        <f>F493*$S487</f>
        <v>294.10000000000002</v>
      </c>
      <c r="M493" s="29">
        <f>G493*$S487</f>
        <v>705.84</v>
      </c>
      <c r="N493" s="26"/>
      <c r="O493" s="26"/>
      <c r="P493" s="33"/>
    </row>
    <row r="494" spans="3:19" x14ac:dyDescent="0.35">
      <c r="C494" s="8">
        <f>'To be deleted'!AU30</f>
        <v>0</v>
      </c>
      <c r="D494" s="9" t="s">
        <v>1375</v>
      </c>
      <c r="E494" s="34">
        <v>0</v>
      </c>
      <c r="F494" s="35">
        <v>3</v>
      </c>
      <c r="G494" s="12">
        <v>8</v>
      </c>
      <c r="H494" s="13">
        <v>0</v>
      </c>
      <c r="I494" s="14">
        <f>F494*R492</f>
        <v>558</v>
      </c>
      <c r="J494" s="15">
        <f>G494*R492</f>
        <v>1488</v>
      </c>
      <c r="K494" s="34">
        <v>0</v>
      </c>
      <c r="L494" s="35">
        <f>F494*$S488</f>
        <v>609.75</v>
      </c>
      <c r="M494" s="12">
        <f>G494*$S488</f>
        <v>1626</v>
      </c>
      <c r="N494" s="9"/>
      <c r="O494" s="9"/>
      <c r="P494" s="16"/>
    </row>
    <row r="495" spans="3:19" x14ac:dyDescent="0.35">
      <c r="D495" t="s">
        <v>1377</v>
      </c>
      <c r="E495" s="37">
        <v>0</v>
      </c>
      <c r="F495" s="38">
        <v>4</v>
      </c>
      <c r="G495" s="20">
        <v>11</v>
      </c>
      <c r="H495" s="21">
        <v>0</v>
      </c>
      <c r="I495" s="22">
        <f>F495*R492</f>
        <v>744</v>
      </c>
      <c r="J495" s="23">
        <f>G495*R492</f>
        <v>2046</v>
      </c>
      <c r="K495" s="37">
        <v>0</v>
      </c>
      <c r="L495" s="38">
        <f>F495*$S488</f>
        <v>813</v>
      </c>
      <c r="M495" s="20">
        <f>G495*$S488</f>
        <v>2235.75</v>
      </c>
      <c r="P495" s="24"/>
    </row>
    <row r="496" spans="3:19" x14ac:dyDescent="0.35">
      <c r="C496" s="25"/>
      <c r="D496" s="26" t="s">
        <v>1378</v>
      </c>
      <c r="E496" s="40">
        <v>0</v>
      </c>
      <c r="F496" s="41">
        <v>5</v>
      </c>
      <c r="G496" s="29">
        <v>13</v>
      </c>
      <c r="H496" s="30">
        <v>0</v>
      </c>
      <c r="I496" s="31">
        <f>F496*R492</f>
        <v>930</v>
      </c>
      <c r="J496" s="32">
        <f>G496*R492</f>
        <v>2418</v>
      </c>
      <c r="K496" s="40">
        <v>0</v>
      </c>
      <c r="L496" s="41">
        <f>F496*$S488</f>
        <v>1016.25</v>
      </c>
      <c r="M496" s="29">
        <f>G496*$S488</f>
        <v>2642.25</v>
      </c>
      <c r="N496" s="26"/>
      <c r="O496" s="26"/>
      <c r="P496" s="33"/>
    </row>
  </sheetData>
  <mergeCells count="9">
    <mergeCell ref="K1:M1"/>
    <mergeCell ref="N1:P1"/>
    <mergeCell ref="R1:U1"/>
    <mergeCell ref="A1:A2"/>
    <mergeCell ref="B1:B2"/>
    <mergeCell ref="C1:C2"/>
    <mergeCell ref="D1:D2"/>
    <mergeCell ref="E1:G1"/>
    <mergeCell ref="H1:J1"/>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49FDE-C89D-433E-8A76-0CC5AE3033A8}">
  <dimension ref="B2:AE101"/>
  <sheetViews>
    <sheetView workbookViewId="0"/>
  </sheetViews>
  <sheetFormatPr defaultColWidth="22.81640625" defaultRowHeight="13.5" x14ac:dyDescent="0.35"/>
  <cols>
    <col min="1" max="1" width="3" style="72" customWidth="1"/>
    <col min="2" max="2" width="15.453125" style="72" bestFit="1" customWidth="1"/>
    <col min="3" max="6" width="19.453125" style="72" bestFit="1" customWidth="1"/>
    <col min="7" max="7" width="13" style="72" bestFit="1" customWidth="1"/>
    <col min="8" max="8" width="5.453125" style="72" customWidth="1"/>
    <col min="9" max="9" width="34.81640625" style="72" bestFit="1" customWidth="1"/>
    <col min="10" max="10" width="19.81640625" style="72" bestFit="1" customWidth="1"/>
    <col min="11" max="13" width="8.81640625" style="72" bestFit="1" customWidth="1"/>
    <col min="14" max="14" width="13" style="72" bestFit="1" customWidth="1"/>
    <col min="15" max="15" width="3.453125" style="72" customWidth="1"/>
    <col min="16" max="16" width="50.453125" style="72" bestFit="1" customWidth="1"/>
    <col min="17" max="17" width="22.1796875" style="137" bestFit="1" customWidth="1"/>
    <col min="18" max="18" width="4.1796875" style="72" customWidth="1"/>
    <col min="19" max="19" width="50.453125" style="72" bestFit="1" customWidth="1"/>
    <col min="20" max="20" width="28.54296875" style="72" bestFit="1" customWidth="1"/>
    <col min="21" max="21" width="3.81640625" style="72" customWidth="1"/>
    <col min="22" max="22" width="49.453125" style="72" bestFit="1" customWidth="1"/>
    <col min="23" max="23" width="18.1796875" style="72" bestFit="1" customWidth="1"/>
    <col min="24" max="24" width="5.1796875" style="72" customWidth="1"/>
    <col min="25" max="25" width="26" style="72" customWidth="1"/>
    <col min="26" max="26" width="13.81640625" style="72" bestFit="1" customWidth="1"/>
    <col min="27" max="27" width="10" style="72" bestFit="1" customWidth="1"/>
    <col min="28" max="28" width="9.81640625" style="72" bestFit="1" customWidth="1"/>
    <col min="29" max="29" width="10.1796875" style="72" bestFit="1" customWidth="1"/>
    <col min="30" max="30" width="9.453125" style="72" bestFit="1" customWidth="1"/>
    <col min="31" max="31" width="14.453125" style="72" bestFit="1" customWidth="1"/>
    <col min="32" max="16384" width="22.81640625" style="72"/>
  </cols>
  <sheetData>
    <row r="2" spans="2:31" x14ac:dyDescent="0.35">
      <c r="B2" s="261" t="s">
        <v>9</v>
      </c>
      <c r="C2" s="72" t="s">
        <v>1405</v>
      </c>
    </row>
    <row r="3" spans="2:31" ht="27.5" thickBot="1" x14ac:dyDescent="0.4">
      <c r="Y3" s="154" t="s">
        <v>1406</v>
      </c>
      <c r="Z3" s="142" t="s">
        <v>1407</v>
      </c>
      <c r="AA3" s="152"/>
      <c r="AB3" s="152"/>
      <c r="AC3" s="152"/>
      <c r="AD3" s="152"/>
      <c r="AE3" s="152"/>
    </row>
    <row r="4" spans="2:31" ht="27.5" thickBot="1" x14ac:dyDescent="0.4">
      <c r="B4" s="143" t="s">
        <v>1408</v>
      </c>
      <c r="C4" s="144" t="s">
        <v>12</v>
      </c>
      <c r="D4" s="144"/>
      <c r="E4" s="144"/>
      <c r="F4" s="144"/>
      <c r="G4" s="144"/>
      <c r="H4" s="137"/>
      <c r="I4" s="150" t="s">
        <v>1409</v>
      </c>
      <c r="J4" s="142" t="s">
        <v>1410</v>
      </c>
      <c r="K4" s="142"/>
      <c r="L4" s="142"/>
      <c r="M4" s="142"/>
      <c r="N4" s="142"/>
      <c r="O4" s="137"/>
      <c r="P4" s="141" t="s">
        <v>1411</v>
      </c>
      <c r="Q4" s="141" t="s">
        <v>1412</v>
      </c>
      <c r="S4" s="142" t="s">
        <v>1411</v>
      </c>
      <c r="T4" s="142" t="s">
        <v>1413</v>
      </c>
      <c r="V4" s="142" t="s">
        <v>1411</v>
      </c>
      <c r="W4" s="142" t="s">
        <v>1414</v>
      </c>
      <c r="Y4" s="142" t="s">
        <v>1411</v>
      </c>
      <c r="Z4" s="153" t="s">
        <v>412</v>
      </c>
      <c r="AA4" s="153" t="s">
        <v>435</v>
      </c>
      <c r="AB4" s="153" t="s">
        <v>444</v>
      </c>
      <c r="AC4" s="153" t="s">
        <v>1135</v>
      </c>
      <c r="AD4" s="153" t="s">
        <v>181</v>
      </c>
      <c r="AE4" s="152" t="s">
        <v>1415</v>
      </c>
    </row>
    <row r="5" spans="2:31" ht="14.5" customHeight="1" thickBot="1" x14ac:dyDescent="0.4">
      <c r="B5" s="145" t="s">
        <v>6</v>
      </c>
      <c r="C5" s="144" t="s">
        <v>440</v>
      </c>
      <c r="D5" s="144" t="s">
        <v>415</v>
      </c>
      <c r="E5" s="144" t="s">
        <v>443</v>
      </c>
      <c r="F5" s="144" t="s">
        <v>436</v>
      </c>
      <c r="G5" s="144" t="s">
        <v>1415</v>
      </c>
      <c r="H5" s="137"/>
      <c r="I5" s="142" t="s">
        <v>1411</v>
      </c>
      <c r="J5" s="142" t="s">
        <v>440</v>
      </c>
      <c r="K5" s="142" t="s">
        <v>415</v>
      </c>
      <c r="L5" s="142" t="s">
        <v>443</v>
      </c>
      <c r="M5" s="142" t="s">
        <v>436</v>
      </c>
      <c r="N5" s="142" t="s">
        <v>1415</v>
      </c>
      <c r="O5" s="137"/>
      <c r="P5" s="262" t="s">
        <v>430</v>
      </c>
      <c r="Q5" s="263">
        <v>38</v>
      </c>
      <c r="S5" s="72" t="s">
        <v>837</v>
      </c>
      <c r="T5" s="137">
        <v>24</v>
      </c>
      <c r="V5" s="72" t="s">
        <v>997</v>
      </c>
      <c r="W5" s="137">
        <v>11</v>
      </c>
      <c r="Y5" s="151" t="s">
        <v>440</v>
      </c>
      <c r="Z5" s="155">
        <v>12</v>
      </c>
      <c r="AA5" s="96">
        <v>8</v>
      </c>
      <c r="AB5" s="96"/>
      <c r="AC5" s="96">
        <v>9</v>
      </c>
      <c r="AD5" s="96"/>
      <c r="AE5" s="96">
        <v>29</v>
      </c>
    </row>
    <row r="6" spans="2:31" ht="14" thickBot="1" x14ac:dyDescent="0.4">
      <c r="B6" s="72" t="s">
        <v>119</v>
      </c>
      <c r="C6" s="137"/>
      <c r="D6" s="137"/>
      <c r="E6" s="137"/>
      <c r="F6" s="137">
        <v>3</v>
      </c>
      <c r="G6" s="137">
        <v>3</v>
      </c>
      <c r="H6" s="137"/>
      <c r="I6" s="72" t="s">
        <v>418</v>
      </c>
      <c r="J6" s="137">
        <v>29</v>
      </c>
      <c r="K6" s="137">
        <v>2</v>
      </c>
      <c r="L6" s="137">
        <v>7</v>
      </c>
      <c r="M6" s="137">
        <v>32</v>
      </c>
      <c r="N6" s="137">
        <v>70</v>
      </c>
      <c r="O6" s="137"/>
      <c r="P6" s="264" t="s">
        <v>191</v>
      </c>
      <c r="Q6" s="265">
        <v>1</v>
      </c>
      <c r="S6" s="266" t="s">
        <v>192</v>
      </c>
      <c r="T6" s="137">
        <v>1</v>
      </c>
      <c r="V6" s="266" t="s">
        <v>191</v>
      </c>
      <c r="W6" s="137">
        <v>1</v>
      </c>
      <c r="Y6" s="151" t="s">
        <v>415</v>
      </c>
      <c r="Z6" s="96">
        <v>11</v>
      </c>
      <c r="AA6" s="96">
        <v>4</v>
      </c>
      <c r="AB6" s="96"/>
      <c r="AC6" s="96">
        <v>1</v>
      </c>
      <c r="AD6" s="96"/>
      <c r="AE6" s="96">
        <v>16</v>
      </c>
    </row>
    <row r="7" spans="2:31" ht="14.5" thickTop="1" thickBot="1" x14ac:dyDescent="0.4">
      <c r="B7" s="72" t="s">
        <v>68</v>
      </c>
      <c r="C7" s="137">
        <v>4</v>
      </c>
      <c r="D7" s="267">
        <v>8</v>
      </c>
      <c r="E7" s="137"/>
      <c r="F7" s="137">
        <v>13</v>
      </c>
      <c r="G7" s="137">
        <v>25</v>
      </c>
      <c r="H7" s="137"/>
      <c r="I7" s="72" t="s">
        <v>417</v>
      </c>
      <c r="J7" s="137"/>
      <c r="K7" s="137">
        <v>14</v>
      </c>
      <c r="L7" s="137">
        <v>5</v>
      </c>
      <c r="M7" s="137">
        <v>11</v>
      </c>
      <c r="N7" s="137">
        <v>30</v>
      </c>
      <c r="O7" s="137"/>
      <c r="P7" s="264" t="s">
        <v>192</v>
      </c>
      <c r="Q7" s="265">
        <v>1</v>
      </c>
      <c r="S7" s="266" t="s">
        <v>193</v>
      </c>
      <c r="T7" s="137">
        <v>1</v>
      </c>
      <c r="V7" s="266" t="s">
        <v>192</v>
      </c>
      <c r="W7" s="137">
        <v>1</v>
      </c>
      <c r="Y7" s="151" t="s">
        <v>443</v>
      </c>
      <c r="Z7" s="96"/>
      <c r="AA7" s="96">
        <v>5</v>
      </c>
      <c r="AB7" s="96">
        <v>3</v>
      </c>
      <c r="AC7" s="96">
        <v>2</v>
      </c>
      <c r="AD7" s="96">
        <v>1</v>
      </c>
      <c r="AE7" s="96">
        <v>11</v>
      </c>
    </row>
    <row r="8" spans="2:31" ht="14.5" thickTop="1" thickBot="1" x14ac:dyDescent="0.4">
      <c r="B8" s="72" t="s">
        <v>76</v>
      </c>
      <c r="C8" s="137">
        <v>19</v>
      </c>
      <c r="D8" s="268">
        <v>3</v>
      </c>
      <c r="E8" s="269">
        <v>1</v>
      </c>
      <c r="F8" s="137">
        <v>14</v>
      </c>
      <c r="G8" s="137">
        <v>37</v>
      </c>
      <c r="H8" s="137"/>
      <c r="I8" s="72" t="s">
        <v>1415</v>
      </c>
      <c r="J8" s="137">
        <v>29</v>
      </c>
      <c r="K8" s="137">
        <v>16</v>
      </c>
      <c r="L8" s="137">
        <v>12</v>
      </c>
      <c r="M8" s="137">
        <v>43</v>
      </c>
      <c r="N8" s="137">
        <v>100</v>
      </c>
      <c r="O8" s="137"/>
      <c r="P8" s="264" t="s">
        <v>193</v>
      </c>
      <c r="Q8" s="265">
        <v>1</v>
      </c>
      <c r="S8" s="266" t="s">
        <v>220</v>
      </c>
      <c r="T8" s="137">
        <v>1</v>
      </c>
      <c r="V8" s="266" t="s">
        <v>193</v>
      </c>
      <c r="W8" s="137">
        <v>1</v>
      </c>
      <c r="Y8" s="151" t="s">
        <v>436</v>
      </c>
      <c r="Z8" s="96">
        <v>2</v>
      </c>
      <c r="AA8" s="96">
        <v>14</v>
      </c>
      <c r="AB8" s="96">
        <v>5</v>
      </c>
      <c r="AC8" s="155">
        <v>22</v>
      </c>
      <c r="AD8" s="96"/>
      <c r="AE8" s="96">
        <v>43</v>
      </c>
    </row>
    <row r="9" spans="2:31" ht="15" thickBot="1" x14ac:dyDescent="0.4">
      <c r="B9" s="72" t="s">
        <v>84</v>
      </c>
      <c r="C9" s="137">
        <v>1</v>
      </c>
      <c r="D9" s="268">
        <v>2</v>
      </c>
      <c r="E9" s="270">
        <v>2</v>
      </c>
      <c r="F9" s="137">
        <v>3</v>
      </c>
      <c r="G9" s="137">
        <v>8</v>
      </c>
      <c r="H9" s="137"/>
      <c r="I9"/>
      <c r="J9"/>
      <c r="K9"/>
      <c r="L9"/>
      <c r="M9"/>
      <c r="N9"/>
      <c r="O9" s="137"/>
      <c r="P9" s="264" t="s">
        <v>220</v>
      </c>
      <c r="Q9" s="265">
        <v>1</v>
      </c>
      <c r="S9" s="266" t="s">
        <v>159</v>
      </c>
      <c r="T9" s="137">
        <v>1</v>
      </c>
      <c r="V9" s="266" t="s">
        <v>159</v>
      </c>
      <c r="W9" s="137">
        <v>1</v>
      </c>
      <c r="Y9" s="151" t="s">
        <v>181</v>
      </c>
      <c r="Z9" s="96"/>
      <c r="AA9" s="96"/>
      <c r="AB9" s="96"/>
      <c r="AC9" s="96"/>
      <c r="AD9" s="96"/>
      <c r="AE9" s="96"/>
    </row>
    <row r="10" spans="2:31" ht="15" thickBot="1" x14ac:dyDescent="0.4">
      <c r="B10" s="72" t="s">
        <v>104</v>
      </c>
      <c r="C10" s="137">
        <v>2</v>
      </c>
      <c r="D10" s="268">
        <v>1</v>
      </c>
      <c r="E10" s="271">
        <v>1</v>
      </c>
      <c r="F10" s="137">
        <v>3</v>
      </c>
      <c r="G10" s="137">
        <v>7</v>
      </c>
      <c r="H10" s="137"/>
      <c r="I10"/>
      <c r="J10"/>
      <c r="K10"/>
      <c r="L10"/>
      <c r="M10"/>
      <c r="N10"/>
      <c r="O10" s="137"/>
      <c r="P10" s="264" t="s">
        <v>159</v>
      </c>
      <c r="Q10" s="265">
        <v>1</v>
      </c>
      <c r="S10" s="266" t="s">
        <v>142</v>
      </c>
      <c r="T10" s="137">
        <v>1</v>
      </c>
      <c r="V10" s="266" t="s">
        <v>201</v>
      </c>
      <c r="W10" s="137">
        <v>1</v>
      </c>
      <c r="Y10" s="151" t="s">
        <v>1415</v>
      </c>
      <c r="Z10" s="96">
        <v>25</v>
      </c>
      <c r="AA10" s="96">
        <v>31</v>
      </c>
      <c r="AB10" s="96">
        <v>8</v>
      </c>
      <c r="AC10" s="96">
        <v>34</v>
      </c>
      <c r="AD10" s="96">
        <v>1</v>
      </c>
      <c r="AE10" s="96">
        <v>99</v>
      </c>
    </row>
    <row r="11" spans="2:31" ht="15.5" thickTop="1" thickBot="1" x14ac:dyDescent="0.4">
      <c r="B11" s="72" t="s">
        <v>113</v>
      </c>
      <c r="C11" s="137">
        <v>1</v>
      </c>
      <c r="D11" s="272">
        <v>1</v>
      </c>
      <c r="E11" s="137"/>
      <c r="F11" s="137">
        <v>4</v>
      </c>
      <c r="G11" s="137">
        <v>6</v>
      </c>
      <c r="H11" s="137"/>
      <c r="I11"/>
      <c r="J11"/>
      <c r="K11"/>
      <c r="L11"/>
      <c r="M11"/>
      <c r="N11"/>
      <c r="O11" s="137"/>
      <c r="P11" s="264" t="s">
        <v>21</v>
      </c>
      <c r="Q11" s="265">
        <v>1</v>
      </c>
      <c r="S11" s="266" t="s">
        <v>1118</v>
      </c>
      <c r="T11" s="137">
        <v>1</v>
      </c>
      <c r="V11" s="266" t="s">
        <v>48</v>
      </c>
      <c r="W11" s="137">
        <v>1</v>
      </c>
      <c r="Y11"/>
      <c r="Z11"/>
      <c r="AA11"/>
      <c r="AB11"/>
      <c r="AC11"/>
      <c r="AD11"/>
      <c r="AE11"/>
    </row>
    <row r="12" spans="2:31" ht="15.5" thickTop="1" thickBot="1" x14ac:dyDescent="0.4">
      <c r="B12" s="72" t="s">
        <v>121</v>
      </c>
      <c r="C12" s="137"/>
      <c r="D12" s="137"/>
      <c r="E12" s="273">
        <v>3</v>
      </c>
      <c r="F12" s="137">
        <v>1</v>
      </c>
      <c r="G12" s="137">
        <v>4</v>
      </c>
      <c r="H12" s="137"/>
      <c r="I12"/>
      <c r="J12"/>
      <c r="K12"/>
      <c r="L12"/>
      <c r="M12"/>
      <c r="N12"/>
      <c r="O12" s="137"/>
      <c r="P12" s="264" t="s">
        <v>242</v>
      </c>
      <c r="Q12" s="265">
        <v>1</v>
      </c>
      <c r="S12" s="266" t="s">
        <v>201</v>
      </c>
      <c r="T12" s="137">
        <v>1</v>
      </c>
      <c r="V12" s="266" t="s">
        <v>184</v>
      </c>
      <c r="W12" s="137">
        <v>1</v>
      </c>
      <c r="Y12"/>
      <c r="Z12"/>
      <c r="AA12"/>
      <c r="AB12"/>
      <c r="AC12"/>
      <c r="AD12"/>
      <c r="AE12"/>
    </row>
    <row r="13" spans="2:31" ht="15.5" thickTop="1" thickBot="1" x14ac:dyDescent="0.4">
      <c r="B13" s="72" t="s">
        <v>94</v>
      </c>
      <c r="C13" s="137">
        <v>2</v>
      </c>
      <c r="D13" s="274">
        <v>1</v>
      </c>
      <c r="E13" s="275">
        <v>1</v>
      </c>
      <c r="F13" s="137">
        <v>2</v>
      </c>
      <c r="G13" s="137">
        <v>6</v>
      </c>
      <c r="H13" s="137"/>
      <c r="I13"/>
      <c r="J13"/>
      <c r="K13"/>
      <c r="L13"/>
      <c r="M13"/>
      <c r="N13"/>
      <c r="O13" s="137"/>
      <c r="P13" s="264" t="s">
        <v>201</v>
      </c>
      <c r="Q13" s="265">
        <v>1</v>
      </c>
      <c r="S13" s="266" t="s">
        <v>48</v>
      </c>
      <c r="T13" s="137">
        <v>1</v>
      </c>
      <c r="V13" s="266" t="s">
        <v>213</v>
      </c>
      <c r="W13" s="137">
        <v>1</v>
      </c>
      <c r="Y13"/>
      <c r="Z13"/>
      <c r="AA13"/>
      <c r="AB13"/>
      <c r="AC13"/>
      <c r="AD13"/>
      <c r="AE13"/>
    </row>
    <row r="14" spans="2:31" ht="15.65" customHeight="1" thickTop="1" x14ac:dyDescent="0.35">
      <c r="B14" s="72" t="s">
        <v>181</v>
      </c>
      <c r="C14" s="137"/>
      <c r="D14" s="137"/>
      <c r="E14" s="137">
        <v>4</v>
      </c>
      <c r="F14" s="137"/>
      <c r="G14" s="137">
        <v>4</v>
      </c>
      <c r="H14" s="137"/>
      <c r="I14"/>
      <c r="J14"/>
      <c r="K14"/>
      <c r="L14"/>
      <c r="M14"/>
      <c r="N14"/>
      <c r="O14" s="137"/>
      <c r="P14" s="264" t="s">
        <v>157</v>
      </c>
      <c r="Q14" s="265">
        <v>1</v>
      </c>
      <c r="S14" s="266" t="s">
        <v>207</v>
      </c>
      <c r="T14" s="137">
        <v>1</v>
      </c>
      <c r="V14" s="266" t="s">
        <v>46</v>
      </c>
      <c r="W14" s="137">
        <v>1</v>
      </c>
      <c r="Y14"/>
      <c r="Z14"/>
      <c r="AA14"/>
      <c r="AB14"/>
      <c r="AC14"/>
      <c r="AD14"/>
      <c r="AE14"/>
    </row>
    <row r="15" spans="2:31" ht="14.5" x14ac:dyDescent="0.35">
      <c r="B15" s="72" t="s">
        <v>1415</v>
      </c>
      <c r="C15" s="137">
        <v>29</v>
      </c>
      <c r="D15" s="137">
        <v>16</v>
      </c>
      <c r="E15" s="137">
        <v>12</v>
      </c>
      <c r="F15" s="137">
        <v>43</v>
      </c>
      <c r="G15" s="137">
        <v>100</v>
      </c>
      <c r="I15"/>
      <c r="J15"/>
      <c r="K15"/>
      <c r="L15"/>
      <c r="M15"/>
      <c r="N15"/>
      <c r="P15" s="264" t="s">
        <v>207</v>
      </c>
      <c r="Q15" s="265">
        <v>1</v>
      </c>
      <c r="S15" s="266" t="s">
        <v>184</v>
      </c>
      <c r="T15" s="137">
        <v>1</v>
      </c>
      <c r="V15" s="266" t="s">
        <v>47</v>
      </c>
      <c r="W15" s="137">
        <v>1</v>
      </c>
      <c r="Y15"/>
      <c r="Z15"/>
      <c r="AA15"/>
      <c r="AB15"/>
      <c r="AC15"/>
      <c r="AD15"/>
      <c r="AE15"/>
    </row>
    <row r="16" spans="2:31" ht="14.5" x14ac:dyDescent="0.35">
      <c r="I16"/>
      <c r="J16"/>
      <c r="K16"/>
      <c r="L16"/>
      <c r="M16"/>
      <c r="N16"/>
      <c r="P16" s="264" t="s">
        <v>184</v>
      </c>
      <c r="Q16" s="265">
        <v>1</v>
      </c>
      <c r="S16" s="266" t="s">
        <v>213</v>
      </c>
      <c r="T16" s="137">
        <v>1</v>
      </c>
      <c r="V16" s="266" t="s">
        <v>160</v>
      </c>
      <c r="W16" s="137">
        <v>1</v>
      </c>
      <c r="Y16"/>
      <c r="Z16"/>
      <c r="AA16"/>
      <c r="AB16"/>
      <c r="AC16"/>
      <c r="AD16"/>
      <c r="AE16"/>
    </row>
    <row r="17" spans="2:31" ht="14.5" x14ac:dyDescent="0.35">
      <c r="I17"/>
      <c r="J17"/>
      <c r="K17"/>
      <c r="L17"/>
      <c r="M17"/>
      <c r="N17"/>
      <c r="P17" s="264" t="s">
        <v>213</v>
      </c>
      <c r="Q17" s="265">
        <v>1</v>
      </c>
      <c r="S17" s="266" t="s">
        <v>210</v>
      </c>
      <c r="T17" s="137">
        <v>1</v>
      </c>
      <c r="V17" s="72" t="s">
        <v>1007</v>
      </c>
      <c r="W17" s="137">
        <v>12</v>
      </c>
      <c r="Y17"/>
      <c r="Z17"/>
      <c r="AA17"/>
      <c r="AB17"/>
      <c r="AC17"/>
      <c r="AD17"/>
      <c r="AE17"/>
    </row>
    <row r="18" spans="2:31" ht="14.5" x14ac:dyDescent="0.35">
      <c r="H18" s="137"/>
      <c r="I18"/>
      <c r="J18"/>
      <c r="K18"/>
      <c r="L18"/>
      <c r="M18"/>
      <c r="N18"/>
      <c r="O18" s="137"/>
      <c r="P18" s="264" t="s">
        <v>210</v>
      </c>
      <c r="Q18" s="265">
        <v>1</v>
      </c>
      <c r="S18" s="266" t="s">
        <v>47</v>
      </c>
      <c r="T18" s="137">
        <v>1</v>
      </c>
      <c r="V18" s="72" t="s">
        <v>440</v>
      </c>
      <c r="W18" s="137">
        <v>69</v>
      </c>
      <c r="Y18"/>
      <c r="Z18"/>
      <c r="AA18"/>
      <c r="AB18"/>
      <c r="AC18"/>
      <c r="AD18"/>
      <c r="AE18"/>
    </row>
    <row r="19" spans="2:31" ht="14.5" x14ac:dyDescent="0.35">
      <c r="H19" s="137"/>
      <c r="I19"/>
      <c r="J19"/>
      <c r="K19"/>
      <c r="L19"/>
      <c r="M19"/>
      <c r="N19"/>
      <c r="O19" s="137"/>
      <c r="P19" s="264" t="s">
        <v>234</v>
      </c>
      <c r="Q19" s="265">
        <v>1</v>
      </c>
      <c r="S19" s="266" t="s">
        <v>172</v>
      </c>
      <c r="T19" s="137">
        <v>1</v>
      </c>
      <c r="V19" s="72" t="s">
        <v>1002</v>
      </c>
      <c r="W19" s="137">
        <v>6</v>
      </c>
      <c r="Y19"/>
      <c r="Z19"/>
      <c r="AA19"/>
      <c r="AB19"/>
      <c r="AC19"/>
      <c r="AD19"/>
      <c r="AE19"/>
    </row>
    <row r="20" spans="2:31" ht="14.5" x14ac:dyDescent="0.35">
      <c r="H20" s="137"/>
      <c r="I20"/>
      <c r="J20"/>
      <c r="K20"/>
      <c r="L20"/>
      <c r="M20"/>
      <c r="N20"/>
      <c r="O20" s="137"/>
      <c r="P20" s="264" t="s">
        <v>24</v>
      </c>
      <c r="Q20" s="265">
        <v>1</v>
      </c>
      <c r="S20" s="266" t="s">
        <v>246</v>
      </c>
      <c r="T20" s="137">
        <v>1</v>
      </c>
      <c r="V20" s="72" t="s">
        <v>181</v>
      </c>
      <c r="W20" s="137"/>
      <c r="Y20"/>
      <c r="Z20"/>
      <c r="AA20"/>
      <c r="AB20"/>
      <c r="AC20"/>
      <c r="AD20"/>
      <c r="AE20"/>
    </row>
    <row r="21" spans="2:31" ht="14.5" x14ac:dyDescent="0.35">
      <c r="B21" s="138"/>
      <c r="C21" s="138"/>
      <c r="D21" s="138"/>
      <c r="E21" s="138"/>
      <c r="F21" s="138"/>
      <c r="G21" s="138"/>
      <c r="H21" s="138"/>
      <c r="I21"/>
      <c r="J21"/>
      <c r="K21"/>
      <c r="L21"/>
      <c r="M21"/>
      <c r="N21"/>
      <c r="O21" s="138"/>
      <c r="P21" s="264" t="s">
        <v>151</v>
      </c>
      <c r="Q21" s="265">
        <v>1</v>
      </c>
      <c r="S21" s="266" t="s">
        <v>230</v>
      </c>
      <c r="T21" s="137">
        <v>1</v>
      </c>
      <c r="V21" s="72" t="s">
        <v>1415</v>
      </c>
      <c r="W21" s="137">
        <v>98</v>
      </c>
      <c r="Y21"/>
      <c r="Z21"/>
      <c r="AA21"/>
      <c r="AB21"/>
      <c r="AC21"/>
      <c r="AD21"/>
      <c r="AE21"/>
    </row>
    <row r="22" spans="2:31" ht="14.5" x14ac:dyDescent="0.35">
      <c r="B22" s="138"/>
      <c r="C22" s="138"/>
      <c r="D22" s="138"/>
      <c r="E22" s="138"/>
      <c r="F22" s="138"/>
      <c r="G22" s="138"/>
      <c r="H22" s="138"/>
      <c r="I22"/>
      <c r="J22"/>
      <c r="K22"/>
      <c r="L22"/>
      <c r="M22"/>
      <c r="N22"/>
      <c r="O22" s="138"/>
      <c r="P22" s="264" t="s">
        <v>46</v>
      </c>
      <c r="Q22" s="265">
        <v>1</v>
      </c>
      <c r="S22" s="266" t="s">
        <v>1115</v>
      </c>
      <c r="T22" s="137">
        <v>1</v>
      </c>
      <c r="Y22"/>
      <c r="Z22"/>
      <c r="AA22"/>
      <c r="AB22"/>
      <c r="AC22"/>
      <c r="AD22"/>
      <c r="AE22"/>
    </row>
    <row r="23" spans="2:31" ht="14.5" x14ac:dyDescent="0.35">
      <c r="B23" s="138"/>
      <c r="C23" s="138"/>
      <c r="D23" s="138"/>
      <c r="E23" s="138"/>
      <c r="F23" s="138"/>
      <c r="G23" s="138"/>
      <c r="H23" s="138"/>
      <c r="I23"/>
      <c r="J23"/>
      <c r="K23"/>
      <c r="L23"/>
      <c r="M23"/>
      <c r="N23"/>
      <c r="O23" s="138"/>
      <c r="P23" s="264" t="s">
        <v>47</v>
      </c>
      <c r="Q23" s="265">
        <v>1</v>
      </c>
      <c r="S23" s="266" t="s">
        <v>158</v>
      </c>
      <c r="T23" s="137">
        <v>1</v>
      </c>
      <c r="Y23"/>
      <c r="Z23"/>
      <c r="AA23"/>
      <c r="AB23"/>
      <c r="AC23"/>
      <c r="AD23"/>
      <c r="AE23"/>
    </row>
    <row r="24" spans="2:31" ht="14.5" x14ac:dyDescent="0.35">
      <c r="B24" s="138"/>
      <c r="C24" s="138"/>
      <c r="D24" s="138"/>
      <c r="E24" s="138"/>
      <c r="F24" s="138"/>
      <c r="G24" s="138"/>
      <c r="H24" s="138"/>
      <c r="I24"/>
      <c r="J24"/>
      <c r="K24"/>
      <c r="L24"/>
      <c r="M24"/>
      <c r="N24"/>
      <c r="O24" s="138"/>
      <c r="P24" s="264" t="s">
        <v>186</v>
      </c>
      <c r="Q24" s="265">
        <v>1</v>
      </c>
      <c r="S24" s="266" t="s">
        <v>182</v>
      </c>
      <c r="T24" s="137">
        <v>1</v>
      </c>
      <c r="Y24"/>
      <c r="Z24"/>
      <c r="AA24"/>
      <c r="AB24"/>
      <c r="AC24"/>
      <c r="AD24"/>
      <c r="AE24"/>
    </row>
    <row r="25" spans="2:31" ht="14.5" x14ac:dyDescent="0.35">
      <c r="B25" s="138"/>
      <c r="C25" s="138"/>
      <c r="D25" s="138"/>
      <c r="E25" s="138"/>
      <c r="F25" s="138"/>
      <c r="G25" s="138"/>
      <c r="H25" s="138"/>
      <c r="I25"/>
      <c r="J25"/>
      <c r="K25"/>
      <c r="L25"/>
      <c r="M25"/>
      <c r="N25"/>
      <c r="O25" s="138"/>
      <c r="P25" s="264" t="s">
        <v>172</v>
      </c>
      <c r="Q25" s="265">
        <v>1</v>
      </c>
      <c r="S25" s="266" t="s">
        <v>235</v>
      </c>
      <c r="T25" s="137">
        <v>1</v>
      </c>
      <c r="Y25"/>
      <c r="Z25"/>
      <c r="AA25"/>
      <c r="AB25"/>
      <c r="AC25"/>
      <c r="AD25"/>
      <c r="AE25"/>
    </row>
    <row r="26" spans="2:31" ht="27" x14ac:dyDescent="0.35">
      <c r="B26" s="138"/>
      <c r="C26" s="138"/>
      <c r="D26" s="138"/>
      <c r="E26" s="138"/>
      <c r="F26" s="138"/>
      <c r="G26" s="138"/>
      <c r="H26" s="138"/>
      <c r="I26"/>
      <c r="J26"/>
      <c r="K26"/>
      <c r="L26"/>
      <c r="M26"/>
      <c r="N26"/>
      <c r="O26" s="138"/>
      <c r="P26" s="264" t="s">
        <v>215</v>
      </c>
      <c r="Q26" s="265">
        <v>1</v>
      </c>
      <c r="S26" s="266" t="s">
        <v>197</v>
      </c>
      <c r="T26" s="137">
        <v>1</v>
      </c>
      <c r="Y26"/>
      <c r="Z26"/>
      <c r="AA26"/>
      <c r="AB26"/>
      <c r="AC26"/>
      <c r="AD26"/>
      <c r="AE26"/>
    </row>
    <row r="27" spans="2:31" ht="14.5" x14ac:dyDescent="0.35">
      <c r="B27" s="138"/>
      <c r="C27" s="138"/>
      <c r="D27" s="138"/>
      <c r="E27" s="138"/>
      <c r="F27" s="138"/>
      <c r="G27" s="138"/>
      <c r="H27" s="138"/>
      <c r="I27"/>
      <c r="J27"/>
      <c r="K27"/>
      <c r="L27"/>
      <c r="M27"/>
      <c r="N27"/>
      <c r="O27" s="138"/>
      <c r="P27" s="264" t="s">
        <v>216</v>
      </c>
      <c r="Q27" s="265">
        <v>1</v>
      </c>
      <c r="S27" s="266" t="s">
        <v>239</v>
      </c>
      <c r="T27" s="137">
        <v>1</v>
      </c>
    </row>
    <row r="28" spans="2:31" ht="27" x14ac:dyDescent="0.35">
      <c r="B28" s="138"/>
      <c r="C28" s="138"/>
      <c r="D28" s="138"/>
      <c r="E28" s="138"/>
      <c r="F28" s="138"/>
      <c r="G28" s="138"/>
      <c r="H28" s="138"/>
      <c r="I28"/>
      <c r="J28"/>
      <c r="K28"/>
      <c r="L28"/>
      <c r="M28"/>
      <c r="N28"/>
      <c r="O28" s="138"/>
      <c r="P28" s="264" t="s">
        <v>158</v>
      </c>
      <c r="Q28" s="265">
        <v>1</v>
      </c>
      <c r="S28" s="266" t="s">
        <v>178</v>
      </c>
      <c r="T28" s="137">
        <v>1</v>
      </c>
    </row>
    <row r="29" spans="2:31" ht="14.5" x14ac:dyDescent="0.35">
      <c r="B29" s="138"/>
      <c r="C29" s="138"/>
      <c r="D29" s="138"/>
      <c r="E29" s="138"/>
      <c r="F29" s="138"/>
      <c r="G29" s="138"/>
      <c r="H29" s="138"/>
      <c r="I29"/>
      <c r="J29"/>
      <c r="K29"/>
      <c r="L29"/>
      <c r="M29"/>
      <c r="N29"/>
      <c r="O29" s="138"/>
      <c r="P29" s="264" t="s">
        <v>195</v>
      </c>
      <c r="Q29" s="265">
        <v>1</v>
      </c>
      <c r="S29" s="266" t="s">
        <v>223</v>
      </c>
      <c r="T29" s="137">
        <v>1</v>
      </c>
    </row>
    <row r="30" spans="2:31" ht="14.5" x14ac:dyDescent="0.35">
      <c r="B30" s="138"/>
      <c r="C30" s="138"/>
      <c r="D30" s="138"/>
      <c r="E30" s="138"/>
      <c r="F30" s="138"/>
      <c r="G30" s="138"/>
      <c r="H30" s="138"/>
      <c r="I30"/>
      <c r="J30"/>
      <c r="K30"/>
      <c r="L30"/>
      <c r="M30"/>
      <c r="N30"/>
      <c r="O30" s="138"/>
      <c r="P30" s="264" t="s">
        <v>164</v>
      </c>
      <c r="Q30" s="265">
        <v>1</v>
      </c>
      <c r="S30" s="72" t="s">
        <v>418</v>
      </c>
      <c r="T30" s="137">
        <v>57</v>
      </c>
    </row>
    <row r="31" spans="2:31" ht="14.5" x14ac:dyDescent="0.35">
      <c r="B31" s="138"/>
      <c r="C31" s="138"/>
      <c r="D31" s="138"/>
      <c r="E31" s="138"/>
      <c r="F31" s="138"/>
      <c r="G31" s="138"/>
      <c r="H31" s="138"/>
      <c r="I31"/>
      <c r="J31"/>
      <c r="K31"/>
      <c r="L31"/>
      <c r="M31"/>
      <c r="N31"/>
      <c r="O31" s="138"/>
      <c r="P31" s="264" t="s">
        <v>232</v>
      </c>
      <c r="Q31" s="265">
        <v>1</v>
      </c>
      <c r="S31" s="72" t="s">
        <v>417</v>
      </c>
      <c r="T31" s="137">
        <v>21</v>
      </c>
    </row>
    <row r="32" spans="2:31" ht="14.5" x14ac:dyDescent="0.35">
      <c r="B32" s="138"/>
      <c r="C32" s="138"/>
      <c r="D32" s="138"/>
      <c r="E32" s="138"/>
      <c r="F32" s="138"/>
      <c r="G32" s="138"/>
      <c r="H32" s="138"/>
      <c r="I32"/>
      <c r="J32"/>
      <c r="K32"/>
      <c r="L32"/>
      <c r="M32"/>
      <c r="N32"/>
      <c r="O32" s="138"/>
      <c r="P32" s="264" t="s">
        <v>60</v>
      </c>
      <c r="Q32" s="265">
        <v>1</v>
      </c>
      <c r="S32" s="266" t="s">
        <v>52</v>
      </c>
      <c r="T32" s="137">
        <v>1</v>
      </c>
    </row>
    <row r="33" spans="2:20" ht="14.5" x14ac:dyDescent="0.35">
      <c r="B33" s="138"/>
      <c r="C33" s="138"/>
      <c r="D33" s="138"/>
      <c r="E33" s="138"/>
      <c r="F33" s="138"/>
      <c r="G33" s="138"/>
      <c r="H33" s="138"/>
      <c r="I33"/>
      <c r="J33"/>
      <c r="K33"/>
      <c r="L33"/>
      <c r="M33"/>
      <c r="N33"/>
      <c r="O33" s="138"/>
      <c r="P33" s="264" t="s">
        <v>182</v>
      </c>
      <c r="Q33" s="265">
        <v>1</v>
      </c>
      <c r="S33" s="266" t="s">
        <v>53</v>
      </c>
      <c r="T33" s="137">
        <v>1</v>
      </c>
    </row>
    <row r="34" spans="2:20" ht="14.5" x14ac:dyDescent="0.35">
      <c r="B34" s="138"/>
      <c r="C34" s="138"/>
      <c r="D34" s="138"/>
      <c r="E34" s="138"/>
      <c r="F34" s="138"/>
      <c r="G34" s="138"/>
      <c r="H34" s="138"/>
      <c r="I34"/>
      <c r="J34"/>
      <c r="K34"/>
      <c r="L34"/>
      <c r="M34"/>
      <c r="N34"/>
      <c r="O34" s="138"/>
      <c r="P34" s="264" t="s">
        <v>235</v>
      </c>
      <c r="Q34" s="265">
        <v>1</v>
      </c>
      <c r="S34" s="266" t="s">
        <v>33</v>
      </c>
      <c r="T34" s="137">
        <v>1</v>
      </c>
    </row>
    <row r="35" spans="2:20" ht="14.5" x14ac:dyDescent="0.35">
      <c r="B35" s="138"/>
      <c r="C35" s="138"/>
      <c r="D35" s="138"/>
      <c r="E35" s="138"/>
      <c r="F35" s="138"/>
      <c r="G35" s="138"/>
      <c r="H35" s="138"/>
      <c r="I35"/>
      <c r="J35"/>
      <c r="K35"/>
      <c r="L35"/>
      <c r="M35"/>
      <c r="N35"/>
      <c r="O35" s="138"/>
      <c r="P35" s="264" t="s">
        <v>199</v>
      </c>
      <c r="Q35" s="265">
        <v>1</v>
      </c>
      <c r="S35" s="266" t="s">
        <v>42</v>
      </c>
      <c r="T35" s="137">
        <v>1</v>
      </c>
    </row>
    <row r="36" spans="2:20" ht="14.5" x14ac:dyDescent="0.35">
      <c r="B36" s="138"/>
      <c r="C36" s="138"/>
      <c r="D36" s="138"/>
      <c r="E36" s="138"/>
      <c r="F36" s="138"/>
      <c r="G36" s="138"/>
      <c r="H36" s="138"/>
      <c r="I36"/>
      <c r="J36"/>
      <c r="K36"/>
      <c r="L36"/>
      <c r="M36"/>
      <c r="N36"/>
      <c r="O36" s="138"/>
      <c r="P36" s="264" t="s">
        <v>248</v>
      </c>
      <c r="Q36" s="265">
        <v>1</v>
      </c>
      <c r="S36" s="266" t="s">
        <v>44</v>
      </c>
      <c r="T36" s="137">
        <v>1</v>
      </c>
    </row>
    <row r="37" spans="2:20" ht="14.5" x14ac:dyDescent="0.35">
      <c r="B37" s="138"/>
      <c r="C37" s="138"/>
      <c r="D37" s="138"/>
      <c r="E37" s="138"/>
      <c r="F37" s="138"/>
      <c r="G37" s="138"/>
      <c r="H37" s="138"/>
      <c r="I37"/>
      <c r="J37"/>
      <c r="K37"/>
      <c r="L37"/>
      <c r="M37"/>
      <c r="N37"/>
      <c r="O37" s="138"/>
      <c r="P37" s="264" t="s">
        <v>238</v>
      </c>
      <c r="Q37" s="265">
        <v>1</v>
      </c>
      <c r="S37" s="266" t="s">
        <v>40</v>
      </c>
      <c r="T37" s="137">
        <v>1</v>
      </c>
    </row>
    <row r="38" spans="2:20" ht="14.5" x14ac:dyDescent="0.35">
      <c r="B38" s="138"/>
      <c r="C38" s="138"/>
      <c r="D38" s="138"/>
      <c r="E38" s="138"/>
      <c r="F38" s="138"/>
      <c r="G38" s="138"/>
      <c r="H38" s="138"/>
      <c r="I38"/>
      <c r="J38"/>
      <c r="K38"/>
      <c r="L38"/>
      <c r="M38"/>
      <c r="N38"/>
      <c r="O38" s="138"/>
      <c r="P38" s="264" t="s">
        <v>197</v>
      </c>
      <c r="Q38" s="265">
        <v>1</v>
      </c>
      <c r="S38" s="266" t="s">
        <v>18</v>
      </c>
      <c r="T38" s="137">
        <v>1</v>
      </c>
    </row>
    <row r="39" spans="2:20" ht="14.5" x14ac:dyDescent="0.35">
      <c r="B39" s="138"/>
      <c r="C39" s="138"/>
      <c r="D39" s="138"/>
      <c r="E39" s="138"/>
      <c r="F39" s="138"/>
      <c r="G39" s="138"/>
      <c r="H39" s="138"/>
      <c r="I39"/>
      <c r="J39"/>
      <c r="K39"/>
      <c r="L39"/>
      <c r="M39"/>
      <c r="N39"/>
      <c r="O39" s="138"/>
      <c r="P39" s="264" t="s">
        <v>239</v>
      </c>
      <c r="Q39" s="265">
        <v>1</v>
      </c>
      <c r="S39" s="266" t="s">
        <v>43</v>
      </c>
      <c r="T39" s="137">
        <v>1</v>
      </c>
    </row>
    <row r="40" spans="2:20" ht="14.5" x14ac:dyDescent="0.35">
      <c r="B40" s="138"/>
      <c r="C40" s="138"/>
      <c r="D40" s="138"/>
      <c r="E40" s="138"/>
      <c r="F40" s="138"/>
      <c r="G40" s="138"/>
      <c r="H40" s="138"/>
      <c r="I40"/>
      <c r="J40"/>
      <c r="K40"/>
      <c r="L40"/>
      <c r="M40"/>
      <c r="N40"/>
      <c r="O40" s="138"/>
      <c r="P40" s="264" t="s">
        <v>175</v>
      </c>
      <c r="Q40" s="265">
        <v>1</v>
      </c>
      <c r="S40" s="266" t="s">
        <v>149</v>
      </c>
      <c r="T40" s="137">
        <v>1</v>
      </c>
    </row>
    <row r="41" spans="2:20" ht="14.5" x14ac:dyDescent="0.35">
      <c r="B41" s="138"/>
      <c r="C41" s="138"/>
      <c r="D41" s="138"/>
      <c r="E41" s="138"/>
      <c r="F41" s="138"/>
      <c r="G41" s="138"/>
      <c r="H41" s="138"/>
      <c r="I41"/>
      <c r="J41"/>
      <c r="K41"/>
      <c r="L41"/>
      <c r="M41"/>
      <c r="N41"/>
      <c r="O41" s="138"/>
      <c r="P41" s="264" t="s">
        <v>160</v>
      </c>
      <c r="Q41" s="265">
        <v>1</v>
      </c>
      <c r="S41" s="266" t="s">
        <v>25</v>
      </c>
      <c r="T41" s="137">
        <v>1</v>
      </c>
    </row>
    <row r="42" spans="2:20" ht="27" x14ac:dyDescent="0.35">
      <c r="B42" s="138"/>
      <c r="C42" s="138"/>
      <c r="D42" s="138"/>
      <c r="E42" s="138"/>
      <c r="F42" s="138"/>
      <c r="G42" s="138"/>
      <c r="H42" s="138"/>
      <c r="I42"/>
      <c r="J42"/>
      <c r="K42"/>
      <c r="L42"/>
      <c r="M42"/>
      <c r="N42"/>
      <c r="O42" s="138"/>
      <c r="P42" s="264" t="s">
        <v>223</v>
      </c>
      <c r="Q42" s="265">
        <v>1</v>
      </c>
      <c r="S42" s="266" t="s">
        <v>892</v>
      </c>
      <c r="T42" s="137">
        <v>1</v>
      </c>
    </row>
    <row r="43" spans="2:20" ht="15" thickBot="1" x14ac:dyDescent="0.4">
      <c r="B43" s="138"/>
      <c r="C43" s="138"/>
      <c r="D43" s="138"/>
      <c r="E43" s="138"/>
      <c r="F43" s="138"/>
      <c r="G43" s="138"/>
      <c r="H43" s="138"/>
      <c r="I43"/>
      <c r="J43"/>
      <c r="K43"/>
      <c r="L43"/>
      <c r="M43"/>
      <c r="N43"/>
      <c r="O43" s="138"/>
      <c r="P43" s="264" t="s">
        <v>227</v>
      </c>
      <c r="Q43" s="265">
        <v>1</v>
      </c>
      <c r="S43" s="266" t="s">
        <v>17</v>
      </c>
      <c r="T43" s="137">
        <v>1</v>
      </c>
    </row>
    <row r="44" spans="2:20" ht="14.5" x14ac:dyDescent="0.35">
      <c r="B44" s="138"/>
      <c r="C44" s="138"/>
      <c r="D44" s="138"/>
      <c r="E44" s="138"/>
      <c r="F44" s="138"/>
      <c r="G44" s="138"/>
      <c r="H44" s="138"/>
      <c r="I44"/>
      <c r="J44"/>
      <c r="K44"/>
      <c r="L44"/>
      <c r="M44"/>
      <c r="N44"/>
      <c r="O44" s="138"/>
      <c r="P44" s="276" t="s">
        <v>422</v>
      </c>
      <c r="Q44" s="265">
        <v>21</v>
      </c>
      <c r="S44" s="266" t="s">
        <v>56</v>
      </c>
      <c r="T44" s="137">
        <v>1</v>
      </c>
    </row>
    <row r="45" spans="2:20" ht="27" x14ac:dyDescent="0.35">
      <c r="B45" s="138"/>
      <c r="C45" s="138"/>
      <c r="D45" s="138"/>
      <c r="E45" s="138"/>
      <c r="F45" s="138"/>
      <c r="G45" s="138"/>
      <c r="H45" s="138"/>
      <c r="I45"/>
      <c r="J45"/>
      <c r="K45"/>
      <c r="L45"/>
      <c r="M45"/>
      <c r="N45"/>
      <c r="O45" s="138"/>
      <c r="P45" s="277" t="s">
        <v>431</v>
      </c>
      <c r="Q45" s="265">
        <v>10</v>
      </c>
      <c r="S45" s="266" t="s">
        <v>27</v>
      </c>
      <c r="T45" s="137">
        <v>1</v>
      </c>
    </row>
    <row r="46" spans="2:20" ht="27" x14ac:dyDescent="0.35">
      <c r="B46" s="138"/>
      <c r="C46" s="138"/>
      <c r="D46" s="138"/>
      <c r="E46" s="138"/>
      <c r="F46" s="138"/>
      <c r="G46" s="138"/>
      <c r="H46" s="138"/>
      <c r="I46"/>
      <c r="J46"/>
      <c r="K46"/>
      <c r="L46"/>
      <c r="M46"/>
      <c r="N46"/>
      <c r="O46" s="138"/>
      <c r="P46" s="277" t="s">
        <v>410</v>
      </c>
      <c r="Q46" s="265">
        <v>28</v>
      </c>
      <c r="S46" s="266" t="s">
        <v>1103</v>
      </c>
      <c r="T46" s="137">
        <v>1</v>
      </c>
    </row>
    <row r="47" spans="2:20" ht="15" thickBot="1" x14ac:dyDescent="0.4">
      <c r="B47" s="138"/>
      <c r="C47" s="138"/>
      <c r="D47" s="138"/>
      <c r="E47" s="138"/>
      <c r="F47" s="138"/>
      <c r="G47" s="138"/>
      <c r="H47" s="138"/>
      <c r="I47"/>
      <c r="J47"/>
      <c r="K47"/>
      <c r="L47"/>
      <c r="M47"/>
      <c r="N47"/>
      <c r="O47" s="138"/>
      <c r="P47" s="278" t="s">
        <v>181</v>
      </c>
      <c r="Q47" s="265"/>
      <c r="S47" s="266" t="s">
        <v>29</v>
      </c>
      <c r="T47" s="137">
        <v>1</v>
      </c>
    </row>
    <row r="48" spans="2:20" ht="15" thickBot="1" x14ac:dyDescent="0.4">
      <c r="B48" s="138"/>
      <c r="C48" s="138"/>
      <c r="D48" s="138"/>
      <c r="E48" s="138"/>
      <c r="F48" s="138"/>
      <c r="G48" s="138"/>
      <c r="H48" s="138"/>
      <c r="I48"/>
      <c r="J48"/>
      <c r="K48"/>
      <c r="L48"/>
      <c r="M48"/>
      <c r="N48"/>
      <c r="O48" s="138"/>
      <c r="P48" s="262" t="s">
        <v>1415</v>
      </c>
      <c r="Q48" s="279">
        <v>97</v>
      </c>
      <c r="S48" s="266" t="s">
        <v>22</v>
      </c>
      <c r="T48" s="137">
        <v>1</v>
      </c>
    </row>
    <row r="49" spans="2:20" ht="14.5" x14ac:dyDescent="0.35">
      <c r="B49" s="138"/>
      <c r="C49" s="138"/>
      <c r="D49" s="138"/>
      <c r="E49" s="138"/>
      <c r="F49" s="138"/>
      <c r="G49" s="138"/>
      <c r="H49" s="138"/>
      <c r="I49"/>
      <c r="J49"/>
      <c r="K49"/>
      <c r="L49"/>
      <c r="M49"/>
      <c r="N49"/>
      <c r="O49" s="138"/>
      <c r="S49" s="266" t="s">
        <v>58</v>
      </c>
      <c r="T49" s="137">
        <v>1</v>
      </c>
    </row>
    <row r="50" spans="2:20" ht="14.5" x14ac:dyDescent="0.35">
      <c r="B50" s="138"/>
      <c r="C50" s="138"/>
      <c r="D50" s="138"/>
      <c r="E50" s="138"/>
      <c r="F50" s="138"/>
      <c r="G50" s="138"/>
      <c r="H50" s="138"/>
      <c r="I50"/>
      <c r="J50"/>
      <c r="K50"/>
      <c r="L50"/>
      <c r="M50"/>
      <c r="N50"/>
      <c r="O50" s="138"/>
      <c r="S50" s="266" t="s">
        <v>20</v>
      </c>
      <c r="T50" s="137">
        <v>1</v>
      </c>
    </row>
    <row r="51" spans="2:20" ht="14.5" x14ac:dyDescent="0.35">
      <c r="B51" s="138"/>
      <c r="C51" s="138"/>
      <c r="D51" s="138"/>
      <c r="E51" s="138"/>
      <c r="F51" s="138"/>
      <c r="G51" s="138"/>
      <c r="H51" s="138"/>
      <c r="I51"/>
      <c r="J51"/>
      <c r="K51"/>
      <c r="L51"/>
      <c r="M51"/>
      <c r="N51"/>
      <c r="O51" s="138"/>
      <c r="S51" s="266" t="s">
        <v>138</v>
      </c>
      <c r="T51" s="137">
        <v>1</v>
      </c>
    </row>
    <row r="52" spans="2:20" ht="14.5" x14ac:dyDescent="0.35">
      <c r="B52" s="138"/>
      <c r="C52" s="138"/>
      <c r="D52" s="138"/>
      <c r="E52" s="138"/>
      <c r="F52" s="138"/>
      <c r="G52" s="138"/>
      <c r="H52" s="138"/>
      <c r="I52"/>
      <c r="J52"/>
      <c r="K52"/>
      <c r="L52"/>
      <c r="M52"/>
      <c r="N52"/>
      <c r="O52" s="138"/>
      <c r="S52" s="266" t="s">
        <v>41</v>
      </c>
      <c r="T52" s="137">
        <v>1</v>
      </c>
    </row>
    <row r="53" spans="2:20" ht="14.5" x14ac:dyDescent="0.35">
      <c r="B53" s="138"/>
      <c r="C53" s="138"/>
      <c r="D53" s="138"/>
      <c r="E53" s="138"/>
      <c r="F53" s="138"/>
      <c r="G53" s="138"/>
      <c r="H53" s="138"/>
      <c r="I53"/>
      <c r="J53"/>
      <c r="K53"/>
      <c r="L53"/>
      <c r="M53"/>
      <c r="N53"/>
      <c r="O53" s="138"/>
      <c r="S53" s="72" t="s">
        <v>1415</v>
      </c>
      <c r="T53" s="137">
        <v>102</v>
      </c>
    </row>
    <row r="54" spans="2:20" ht="14.5" x14ac:dyDescent="0.35">
      <c r="B54" s="138"/>
      <c r="C54" s="138"/>
      <c r="D54" s="138"/>
      <c r="E54" s="138"/>
      <c r="F54" s="138"/>
      <c r="G54" s="138"/>
      <c r="H54" s="138"/>
      <c r="I54"/>
      <c r="J54"/>
      <c r="K54"/>
      <c r="L54"/>
      <c r="M54"/>
      <c r="N54"/>
      <c r="O54" s="138"/>
    </row>
    <row r="55" spans="2:20" ht="14.5" x14ac:dyDescent="0.35">
      <c r="B55" s="138"/>
      <c r="C55" s="138"/>
      <c r="D55" s="138"/>
      <c r="E55" s="138"/>
      <c r="F55" s="138"/>
      <c r="G55" s="138"/>
      <c r="H55" s="138"/>
      <c r="I55"/>
      <c r="J55"/>
      <c r="K55"/>
      <c r="L55"/>
      <c r="M55"/>
      <c r="N55"/>
      <c r="O55" s="138"/>
    </row>
    <row r="56" spans="2:20" ht="14.5" x14ac:dyDescent="0.35">
      <c r="B56" s="138"/>
      <c r="C56" s="138"/>
      <c r="D56" s="138"/>
      <c r="E56" s="138"/>
      <c r="F56" s="138"/>
      <c r="G56" s="138"/>
      <c r="H56" s="138"/>
      <c r="I56"/>
      <c r="J56"/>
      <c r="K56"/>
      <c r="L56"/>
      <c r="M56"/>
      <c r="N56"/>
      <c r="O56" s="138"/>
    </row>
    <row r="57" spans="2:20" ht="14.5" x14ac:dyDescent="0.35">
      <c r="B57" s="138"/>
      <c r="C57" s="138"/>
      <c r="D57" s="138"/>
      <c r="E57" s="138"/>
      <c r="F57" s="138"/>
      <c r="G57" s="138"/>
      <c r="H57" s="138"/>
      <c r="I57"/>
      <c r="J57"/>
      <c r="K57"/>
      <c r="L57"/>
      <c r="M57"/>
      <c r="N57"/>
      <c r="O57" s="138"/>
    </row>
    <row r="58" spans="2:20" ht="14.5" x14ac:dyDescent="0.35">
      <c r="B58" s="138"/>
      <c r="C58" s="138"/>
      <c r="D58" s="138"/>
      <c r="E58" s="138"/>
      <c r="F58" s="138"/>
      <c r="G58" s="138"/>
      <c r="H58" s="138"/>
      <c r="I58"/>
      <c r="J58"/>
      <c r="K58"/>
      <c r="L58"/>
      <c r="M58"/>
      <c r="N58"/>
      <c r="O58" s="138"/>
    </row>
    <row r="59" spans="2:20" ht="14.5" x14ac:dyDescent="0.35">
      <c r="B59" s="138"/>
      <c r="C59" s="138"/>
      <c r="D59" s="138"/>
      <c r="E59" s="138"/>
      <c r="F59" s="138"/>
      <c r="G59" s="138"/>
      <c r="H59" s="138"/>
      <c r="I59"/>
      <c r="J59"/>
      <c r="K59"/>
      <c r="L59"/>
      <c r="M59"/>
      <c r="N59"/>
      <c r="O59" s="138"/>
    </row>
    <row r="60" spans="2:20" ht="14.5" x14ac:dyDescent="0.35">
      <c r="I60"/>
      <c r="J60"/>
      <c r="K60"/>
      <c r="L60"/>
      <c r="M60"/>
      <c r="N60"/>
    </row>
    <row r="61" spans="2:20" ht="14.5" x14ac:dyDescent="0.35">
      <c r="I61"/>
      <c r="J61"/>
      <c r="K61"/>
      <c r="L61"/>
      <c r="M61"/>
      <c r="N61"/>
    </row>
    <row r="62" spans="2:20" ht="14.5" x14ac:dyDescent="0.35">
      <c r="B62" s="138"/>
      <c r="C62" s="138"/>
      <c r="D62" s="138"/>
      <c r="E62" s="138"/>
      <c r="F62" s="138"/>
      <c r="G62" s="138"/>
      <c r="H62" s="138"/>
      <c r="I62"/>
      <c r="J62"/>
      <c r="K62"/>
      <c r="L62"/>
      <c r="M62"/>
      <c r="N62"/>
      <c r="O62" s="138"/>
    </row>
    <row r="63" spans="2:20" ht="14.5" x14ac:dyDescent="0.35">
      <c r="B63" s="138"/>
      <c r="C63" s="138"/>
      <c r="D63" s="138"/>
      <c r="E63" s="138"/>
      <c r="F63" s="138"/>
      <c r="G63" s="138"/>
      <c r="H63" s="138"/>
      <c r="I63"/>
      <c r="J63"/>
      <c r="K63"/>
      <c r="L63"/>
      <c r="M63"/>
      <c r="N63"/>
      <c r="O63" s="138"/>
    </row>
    <row r="64" spans="2:20" ht="14.5" x14ac:dyDescent="0.35">
      <c r="B64" s="138"/>
      <c r="C64" s="138"/>
      <c r="D64" s="138"/>
      <c r="E64" s="138"/>
      <c r="F64" s="138"/>
      <c r="G64" s="138"/>
      <c r="H64" s="138"/>
      <c r="I64"/>
      <c r="J64"/>
      <c r="K64"/>
      <c r="L64"/>
      <c r="M64"/>
      <c r="N64"/>
      <c r="O64" s="138"/>
    </row>
    <row r="65" spans="2:15" ht="14.5" x14ac:dyDescent="0.35">
      <c r="B65" s="138"/>
      <c r="C65" s="138"/>
      <c r="D65" s="138"/>
      <c r="E65" s="138"/>
      <c r="F65" s="138"/>
      <c r="G65" s="138"/>
      <c r="H65" s="138"/>
      <c r="I65"/>
      <c r="J65"/>
      <c r="K65"/>
      <c r="L65"/>
      <c r="M65"/>
      <c r="N65"/>
      <c r="O65" s="138"/>
    </row>
    <row r="66" spans="2:15" ht="14.5" x14ac:dyDescent="0.35">
      <c r="B66" s="138"/>
      <c r="C66" s="138"/>
      <c r="D66" s="138"/>
      <c r="E66" s="138"/>
      <c r="F66" s="138"/>
      <c r="G66" s="138"/>
      <c r="H66" s="138"/>
      <c r="I66"/>
      <c r="J66"/>
      <c r="K66"/>
      <c r="L66"/>
      <c r="M66"/>
      <c r="N66"/>
      <c r="O66" s="138"/>
    </row>
    <row r="67" spans="2:15" ht="14.5" x14ac:dyDescent="0.35">
      <c r="B67" s="138"/>
      <c r="C67" s="138"/>
      <c r="D67" s="138"/>
      <c r="E67" s="138"/>
      <c r="F67" s="138"/>
      <c r="G67" s="138"/>
      <c r="H67" s="138"/>
      <c r="I67"/>
      <c r="J67"/>
      <c r="K67"/>
      <c r="L67"/>
      <c r="M67"/>
      <c r="N67"/>
      <c r="O67" s="138"/>
    </row>
    <row r="68" spans="2:15" ht="14.5" x14ac:dyDescent="0.35">
      <c r="B68" s="138"/>
      <c r="C68" s="138"/>
      <c r="D68" s="138"/>
      <c r="E68" s="138"/>
      <c r="F68" s="138"/>
      <c r="G68" s="138"/>
      <c r="H68" s="138"/>
      <c r="I68"/>
      <c r="J68"/>
      <c r="K68"/>
      <c r="L68"/>
      <c r="M68"/>
      <c r="N68"/>
      <c r="O68" s="138"/>
    </row>
    <row r="69" spans="2:15" ht="14.5" x14ac:dyDescent="0.35">
      <c r="B69" s="138"/>
      <c r="C69" s="138"/>
      <c r="D69" s="138"/>
      <c r="E69" s="138"/>
      <c r="F69" s="138"/>
      <c r="G69" s="138"/>
      <c r="H69" s="138"/>
      <c r="I69"/>
      <c r="J69"/>
      <c r="K69"/>
      <c r="L69"/>
      <c r="M69"/>
      <c r="N69"/>
      <c r="O69" s="138"/>
    </row>
    <row r="70" spans="2:15" ht="14.5" x14ac:dyDescent="0.35">
      <c r="B70" s="138"/>
      <c r="C70" s="138"/>
      <c r="D70" s="138"/>
      <c r="E70" s="138"/>
      <c r="F70" s="138"/>
      <c r="G70" s="138"/>
      <c r="H70" s="138"/>
      <c r="I70"/>
      <c r="J70"/>
      <c r="K70"/>
      <c r="L70"/>
      <c r="M70"/>
      <c r="N70"/>
      <c r="O70" s="138"/>
    </row>
    <row r="71" spans="2:15" ht="14.5" x14ac:dyDescent="0.35">
      <c r="B71" s="138"/>
      <c r="C71" s="138"/>
      <c r="D71" s="138"/>
      <c r="E71" s="138"/>
      <c r="F71" s="138"/>
      <c r="G71" s="138"/>
      <c r="H71" s="138"/>
      <c r="I71"/>
      <c r="J71"/>
      <c r="K71"/>
      <c r="L71"/>
      <c r="M71"/>
      <c r="N71"/>
      <c r="O71" s="138"/>
    </row>
    <row r="72" spans="2:15" ht="14.5" x14ac:dyDescent="0.35">
      <c r="B72" s="138"/>
      <c r="C72" s="138"/>
      <c r="D72" s="138"/>
      <c r="E72" s="138"/>
      <c r="F72" s="138"/>
      <c r="G72" s="138"/>
      <c r="H72" s="138"/>
      <c r="I72"/>
      <c r="J72"/>
      <c r="K72"/>
      <c r="L72"/>
      <c r="M72"/>
      <c r="N72"/>
      <c r="O72" s="138"/>
    </row>
    <row r="73" spans="2:15" ht="14.5" x14ac:dyDescent="0.35">
      <c r="B73" s="138"/>
      <c r="C73" s="138"/>
      <c r="D73" s="138"/>
      <c r="E73" s="138"/>
      <c r="F73" s="138"/>
      <c r="G73" s="138"/>
      <c r="H73" s="138"/>
      <c r="I73"/>
      <c r="J73"/>
      <c r="K73"/>
      <c r="L73"/>
      <c r="M73"/>
      <c r="N73"/>
      <c r="O73" s="138"/>
    </row>
    <row r="74" spans="2:15" ht="14.5" x14ac:dyDescent="0.35">
      <c r="B74" s="138"/>
      <c r="C74" s="138"/>
      <c r="D74" s="138"/>
      <c r="E74" s="138"/>
      <c r="F74" s="138"/>
      <c r="G74" s="138"/>
      <c r="H74" s="138"/>
      <c r="I74"/>
      <c r="J74"/>
      <c r="K74"/>
      <c r="L74"/>
      <c r="M74"/>
      <c r="N74"/>
      <c r="O74" s="138"/>
    </row>
    <row r="75" spans="2:15" ht="14.5" x14ac:dyDescent="0.35">
      <c r="B75" s="138"/>
      <c r="C75" s="138"/>
      <c r="D75" s="138"/>
      <c r="E75" s="138"/>
      <c r="F75" s="138"/>
      <c r="G75" s="138"/>
      <c r="H75" s="138"/>
      <c r="I75"/>
      <c r="J75"/>
      <c r="K75"/>
      <c r="L75"/>
      <c r="M75"/>
      <c r="N75"/>
      <c r="O75" s="138"/>
    </row>
    <row r="76" spans="2:15" ht="14.5" x14ac:dyDescent="0.35">
      <c r="B76" s="138"/>
      <c r="C76" s="138"/>
      <c r="D76" s="138"/>
      <c r="E76" s="138"/>
      <c r="F76" s="138"/>
      <c r="G76" s="138"/>
      <c r="H76" s="138"/>
      <c r="I76"/>
      <c r="J76"/>
      <c r="K76"/>
      <c r="L76"/>
      <c r="M76"/>
      <c r="N76"/>
      <c r="O76" s="138"/>
    </row>
    <row r="77" spans="2:15" ht="14.5" x14ac:dyDescent="0.35">
      <c r="B77" s="138"/>
      <c r="C77" s="138"/>
      <c r="D77" s="138"/>
      <c r="E77" s="138"/>
      <c r="F77" s="138"/>
      <c r="G77" s="138"/>
      <c r="H77" s="138"/>
      <c r="I77"/>
      <c r="J77"/>
      <c r="K77"/>
      <c r="L77"/>
      <c r="M77"/>
      <c r="N77"/>
      <c r="O77" s="138"/>
    </row>
    <row r="78" spans="2:15" ht="14.5" x14ac:dyDescent="0.35">
      <c r="B78" s="138"/>
      <c r="C78" s="138"/>
      <c r="D78" s="138"/>
      <c r="E78" s="138"/>
      <c r="F78" s="138"/>
      <c r="G78" s="138"/>
      <c r="H78" s="138"/>
      <c r="I78"/>
      <c r="J78"/>
      <c r="K78"/>
      <c r="L78"/>
      <c r="M78"/>
      <c r="N78"/>
      <c r="O78" s="138"/>
    </row>
    <row r="79" spans="2:15" ht="14.5" x14ac:dyDescent="0.35">
      <c r="B79" s="138"/>
      <c r="C79" s="138"/>
      <c r="D79" s="138"/>
      <c r="E79" s="138"/>
      <c r="F79" s="138"/>
      <c r="G79" s="138"/>
      <c r="H79" s="138"/>
      <c r="I79"/>
      <c r="J79"/>
      <c r="K79"/>
      <c r="L79"/>
      <c r="M79"/>
      <c r="N79"/>
      <c r="O79" s="138"/>
    </row>
    <row r="80" spans="2:15" ht="14.5" x14ac:dyDescent="0.35">
      <c r="B80" s="138"/>
      <c r="C80" s="138"/>
      <c r="D80" s="138"/>
      <c r="E80" s="138"/>
      <c r="F80" s="138"/>
      <c r="G80" s="138"/>
      <c r="H80" s="138"/>
      <c r="I80"/>
      <c r="J80"/>
      <c r="K80"/>
      <c r="L80"/>
      <c r="M80"/>
      <c r="N80"/>
      <c r="O80" s="138"/>
    </row>
    <row r="81" spans="2:15" ht="14.5" x14ac:dyDescent="0.35">
      <c r="B81" s="138"/>
      <c r="C81" s="138"/>
      <c r="D81" s="138"/>
      <c r="E81" s="138"/>
      <c r="F81" s="138"/>
      <c r="G81" s="138"/>
      <c r="H81" s="138"/>
      <c r="I81"/>
      <c r="J81"/>
      <c r="K81"/>
      <c r="L81"/>
      <c r="M81"/>
      <c r="N81"/>
      <c r="O81" s="138"/>
    </row>
    <row r="82" spans="2:15" ht="14.5" x14ac:dyDescent="0.35">
      <c r="B82" s="138"/>
      <c r="C82" s="138"/>
      <c r="D82" s="138"/>
      <c r="E82" s="138"/>
      <c r="F82" s="138"/>
      <c r="G82" s="138"/>
      <c r="H82" s="138"/>
      <c r="I82"/>
      <c r="J82"/>
      <c r="K82"/>
      <c r="L82"/>
      <c r="M82"/>
      <c r="N82"/>
      <c r="O82" s="138"/>
    </row>
    <row r="83" spans="2:15" ht="14.5" x14ac:dyDescent="0.35">
      <c r="B83" s="138"/>
      <c r="C83" s="138"/>
      <c r="D83" s="138"/>
      <c r="E83" s="138"/>
      <c r="F83" s="138"/>
      <c r="G83" s="138"/>
      <c r="H83" s="138"/>
      <c r="I83"/>
      <c r="J83"/>
      <c r="K83"/>
      <c r="L83"/>
      <c r="M83"/>
      <c r="N83"/>
      <c r="O83" s="138"/>
    </row>
    <row r="84" spans="2:15" ht="14.5" x14ac:dyDescent="0.35">
      <c r="B84" s="138"/>
      <c r="C84" s="138"/>
      <c r="D84" s="138"/>
      <c r="E84" s="138"/>
      <c r="F84" s="138"/>
      <c r="G84" s="138"/>
      <c r="H84" s="138"/>
      <c r="I84"/>
      <c r="J84"/>
      <c r="K84"/>
      <c r="L84"/>
      <c r="M84"/>
      <c r="N84"/>
      <c r="O84" s="138"/>
    </row>
    <row r="85" spans="2:15" ht="14.5" x14ac:dyDescent="0.35">
      <c r="B85" s="138"/>
      <c r="C85" s="138"/>
      <c r="D85" s="138"/>
      <c r="E85" s="138"/>
      <c r="F85" s="138"/>
      <c r="G85" s="138"/>
      <c r="H85" s="138"/>
      <c r="I85"/>
      <c r="J85"/>
      <c r="K85"/>
      <c r="L85"/>
      <c r="M85"/>
      <c r="N85"/>
      <c r="O85" s="138"/>
    </row>
    <row r="86" spans="2:15" ht="14.5" x14ac:dyDescent="0.35">
      <c r="B86" s="138"/>
      <c r="C86" s="138"/>
      <c r="D86" s="138"/>
      <c r="E86" s="138"/>
      <c r="F86" s="138"/>
      <c r="G86" s="138"/>
      <c r="H86" s="138"/>
      <c r="I86"/>
      <c r="J86"/>
      <c r="K86"/>
      <c r="L86"/>
      <c r="M86"/>
      <c r="N86"/>
      <c r="O86" s="138"/>
    </row>
    <row r="87" spans="2:15" x14ac:dyDescent="0.3">
      <c r="B87" s="138"/>
      <c r="C87" s="138"/>
      <c r="D87" s="138"/>
      <c r="E87" s="138"/>
      <c r="F87" s="138"/>
      <c r="G87" s="138"/>
      <c r="H87" s="138"/>
      <c r="I87" s="138"/>
      <c r="J87" s="138"/>
      <c r="K87" s="138"/>
      <c r="L87" s="138"/>
      <c r="M87" s="138"/>
      <c r="N87" s="138"/>
      <c r="O87" s="138"/>
    </row>
    <row r="88" spans="2:15" x14ac:dyDescent="0.3">
      <c r="B88" s="138"/>
      <c r="C88" s="138"/>
      <c r="D88" s="138"/>
      <c r="E88" s="138"/>
      <c r="F88" s="138"/>
      <c r="G88" s="138"/>
      <c r="H88" s="138"/>
      <c r="I88" s="138"/>
      <c r="J88" s="138"/>
      <c r="K88" s="138"/>
      <c r="L88" s="138"/>
      <c r="M88" s="138"/>
      <c r="N88" s="138"/>
      <c r="O88" s="138"/>
    </row>
    <row r="89" spans="2:15" x14ac:dyDescent="0.3">
      <c r="B89" s="138"/>
      <c r="C89" s="138"/>
      <c r="D89" s="138"/>
      <c r="E89" s="138"/>
      <c r="F89" s="138"/>
      <c r="G89" s="138"/>
      <c r="H89" s="138"/>
      <c r="I89" s="138"/>
      <c r="J89" s="138"/>
      <c r="K89" s="138"/>
      <c r="L89" s="138"/>
      <c r="M89" s="138"/>
      <c r="N89" s="138"/>
      <c r="O89" s="138"/>
    </row>
    <row r="90" spans="2:15" x14ac:dyDescent="0.3">
      <c r="B90" s="138"/>
      <c r="C90" s="138"/>
      <c r="D90" s="138"/>
      <c r="E90" s="138"/>
      <c r="F90" s="138"/>
      <c r="G90" s="138"/>
      <c r="H90" s="138"/>
      <c r="I90" s="138"/>
      <c r="J90" s="138"/>
      <c r="K90" s="138"/>
      <c r="L90" s="138"/>
      <c r="M90" s="138"/>
      <c r="N90" s="138"/>
      <c r="O90" s="138"/>
    </row>
    <row r="91" spans="2:15" x14ac:dyDescent="0.3">
      <c r="B91" s="138"/>
      <c r="C91" s="138"/>
      <c r="D91" s="138"/>
      <c r="E91" s="138"/>
      <c r="F91" s="138"/>
      <c r="G91" s="138"/>
      <c r="H91" s="138"/>
      <c r="I91" s="138"/>
      <c r="J91" s="138"/>
      <c r="K91" s="138"/>
      <c r="L91" s="138"/>
      <c r="M91" s="138"/>
      <c r="N91" s="138"/>
      <c r="O91" s="138"/>
    </row>
    <row r="92" spans="2:15" x14ac:dyDescent="0.3">
      <c r="B92" s="138"/>
      <c r="C92" s="138"/>
      <c r="D92" s="138"/>
      <c r="E92" s="138"/>
      <c r="F92" s="138"/>
      <c r="G92" s="138"/>
      <c r="H92" s="138"/>
      <c r="I92" s="138"/>
      <c r="J92" s="138"/>
      <c r="K92" s="138"/>
      <c r="L92" s="138"/>
      <c r="M92" s="138"/>
      <c r="N92" s="138"/>
      <c r="O92" s="138"/>
    </row>
    <row r="93" spans="2:15" x14ac:dyDescent="0.3">
      <c r="B93" s="138"/>
      <c r="C93" s="138"/>
      <c r="D93" s="138"/>
      <c r="E93" s="138"/>
      <c r="F93" s="138"/>
      <c r="G93" s="138"/>
      <c r="H93" s="138"/>
      <c r="I93" s="138"/>
      <c r="J93" s="138"/>
      <c r="K93" s="138"/>
      <c r="L93" s="138"/>
      <c r="M93" s="138"/>
      <c r="N93" s="138"/>
      <c r="O93" s="138"/>
    </row>
    <row r="94" spans="2:15" x14ac:dyDescent="0.3">
      <c r="B94" s="138"/>
      <c r="C94" s="138"/>
      <c r="D94" s="138"/>
      <c r="E94" s="138"/>
      <c r="F94" s="138"/>
      <c r="G94" s="138"/>
      <c r="H94" s="138"/>
      <c r="I94" s="138"/>
      <c r="J94" s="138"/>
      <c r="K94" s="138"/>
      <c r="L94" s="138"/>
      <c r="M94" s="138"/>
      <c r="N94" s="138"/>
      <c r="O94" s="138"/>
    </row>
    <row r="95" spans="2:15" x14ac:dyDescent="0.3">
      <c r="B95" s="138"/>
      <c r="C95" s="138"/>
      <c r="D95" s="138"/>
      <c r="E95" s="138"/>
      <c r="F95" s="138"/>
      <c r="G95" s="138"/>
      <c r="H95" s="138"/>
      <c r="I95" s="138"/>
      <c r="J95" s="138"/>
      <c r="K95" s="138"/>
      <c r="L95" s="138"/>
      <c r="M95" s="138"/>
      <c r="N95" s="138"/>
      <c r="O95" s="138"/>
    </row>
    <row r="96" spans="2:15" x14ac:dyDescent="0.3">
      <c r="B96" s="138"/>
      <c r="C96" s="138"/>
      <c r="D96" s="138"/>
      <c r="E96" s="138"/>
      <c r="F96" s="138"/>
      <c r="G96" s="138"/>
      <c r="H96" s="138"/>
      <c r="I96" s="138"/>
      <c r="J96" s="138"/>
      <c r="K96" s="138"/>
      <c r="L96" s="138"/>
      <c r="M96" s="138"/>
      <c r="N96" s="138"/>
      <c r="O96" s="138"/>
    </row>
    <row r="97" spans="2:15" x14ac:dyDescent="0.3">
      <c r="B97" s="138"/>
      <c r="C97" s="138"/>
      <c r="D97" s="138"/>
      <c r="E97" s="138"/>
      <c r="F97" s="138"/>
      <c r="G97" s="138"/>
      <c r="H97" s="138"/>
      <c r="I97" s="138"/>
      <c r="J97" s="138"/>
      <c r="K97" s="138"/>
      <c r="L97" s="138"/>
      <c r="M97" s="138"/>
      <c r="N97" s="138"/>
      <c r="O97" s="138"/>
    </row>
    <row r="98" spans="2:15" x14ac:dyDescent="0.3">
      <c r="B98" s="138"/>
      <c r="C98" s="138"/>
      <c r="D98" s="138"/>
      <c r="E98" s="138"/>
      <c r="F98" s="138"/>
      <c r="G98" s="138"/>
      <c r="H98" s="138"/>
      <c r="I98" s="138"/>
      <c r="J98" s="138"/>
      <c r="K98" s="138"/>
      <c r="L98" s="138"/>
      <c r="M98" s="138"/>
      <c r="N98" s="138"/>
      <c r="O98" s="138"/>
    </row>
    <row r="99" spans="2:15" x14ac:dyDescent="0.3">
      <c r="B99" s="138"/>
      <c r="C99" s="138"/>
      <c r="D99" s="138"/>
      <c r="E99" s="138"/>
      <c r="F99" s="138"/>
      <c r="G99" s="138"/>
      <c r="H99" s="138"/>
      <c r="I99" s="138"/>
      <c r="J99" s="138"/>
      <c r="K99" s="138"/>
      <c r="L99" s="138"/>
      <c r="M99" s="138"/>
      <c r="N99" s="138"/>
      <c r="O99" s="138"/>
    </row>
    <row r="100" spans="2:15" x14ac:dyDescent="0.3">
      <c r="B100" s="138"/>
      <c r="C100" s="138"/>
      <c r="D100" s="138"/>
      <c r="E100" s="138"/>
      <c r="F100" s="138"/>
      <c r="G100" s="138"/>
      <c r="H100" s="138"/>
      <c r="I100" s="138"/>
      <c r="J100" s="138"/>
      <c r="K100" s="138"/>
      <c r="L100" s="138"/>
      <c r="M100" s="138"/>
      <c r="N100" s="138"/>
      <c r="O100" s="138"/>
    </row>
    <row r="101" spans="2:15" x14ac:dyDescent="0.3">
      <c r="B101" s="138"/>
      <c r="C101" s="138"/>
      <c r="D101" s="138"/>
      <c r="E101" s="138"/>
      <c r="F101" s="138"/>
      <c r="G101" s="138"/>
      <c r="H101" s="138"/>
      <c r="I101" s="138"/>
      <c r="J101" s="138"/>
      <c r="K101" s="138"/>
      <c r="L101" s="138"/>
      <c r="M101" s="138"/>
      <c r="N101" s="138"/>
      <c r="O101" s="138"/>
    </row>
  </sheetData>
  <conditionalFormatting pivot="1" sqref="C6:F14">
    <cfRule type="colorScale" priority="1">
      <colorScale>
        <cfvo type="min"/>
        <cfvo type="max"/>
        <color rgb="FFFFEF9C"/>
        <color rgb="FF63BE7B"/>
      </colorScale>
    </cfRule>
  </conditionalFormatting>
  <pageMargins left="0.7" right="0.7" top="0.75" bottom="0.75" header="0.3" footer="0.3"/>
  <pageSetup paperSize="9" orientation="portrait" r:id="rId7"/>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EF25D-4262-43B4-9929-E67A4387F259}">
  <dimension ref="B2:G104"/>
  <sheetViews>
    <sheetView workbookViewId="0"/>
  </sheetViews>
  <sheetFormatPr defaultColWidth="45.81640625" defaultRowHeight="13.5" x14ac:dyDescent="0.35"/>
  <cols>
    <col min="1" max="1" width="3.1796875" style="120" customWidth="1"/>
    <col min="2" max="2" width="8.1796875" style="96" bestFit="1" customWidth="1"/>
    <col min="3" max="3" width="38.1796875" style="120" customWidth="1"/>
    <col min="4" max="4" width="15.453125" style="96" bestFit="1" customWidth="1"/>
    <col min="5" max="5" width="22.54296875" style="96" bestFit="1" customWidth="1"/>
    <col min="6" max="6" width="34" style="151" customWidth="1"/>
    <col min="7" max="7" width="33.453125" style="120" customWidth="1"/>
    <col min="8" max="16384" width="45.81640625" style="120"/>
  </cols>
  <sheetData>
    <row r="2" spans="2:7" x14ac:dyDescent="0.35">
      <c r="B2" s="96" t="s">
        <v>4</v>
      </c>
      <c r="C2" s="120" t="s">
        <v>5</v>
      </c>
      <c r="D2" s="96" t="s">
        <v>12</v>
      </c>
      <c r="E2" s="96" t="s">
        <v>1416</v>
      </c>
      <c r="F2" s="151" t="s">
        <v>1417</v>
      </c>
      <c r="G2" s="120" t="s">
        <v>1418</v>
      </c>
    </row>
    <row r="3" spans="2:7" s="146" customFormat="1" x14ac:dyDescent="0.35">
      <c r="B3" s="70">
        <v>1</v>
      </c>
      <c r="C3" s="71" t="s">
        <v>53</v>
      </c>
      <c r="D3" s="70" t="s">
        <v>436</v>
      </c>
      <c r="E3" s="70" t="s">
        <v>417</v>
      </c>
      <c r="F3" s="295"/>
      <c r="G3" s="71"/>
    </row>
    <row r="4" spans="2:7" s="146" customFormat="1" x14ac:dyDescent="0.35">
      <c r="B4" s="70">
        <v>2</v>
      </c>
      <c r="C4" s="71" t="s">
        <v>220</v>
      </c>
      <c r="D4" s="70" t="s">
        <v>436</v>
      </c>
      <c r="E4" s="70" t="s">
        <v>837</v>
      </c>
      <c r="F4" s="295" t="s">
        <v>837</v>
      </c>
      <c r="G4" s="71" t="s">
        <v>1419</v>
      </c>
    </row>
    <row r="5" spans="2:7" s="146" customFormat="1" x14ac:dyDescent="0.35">
      <c r="B5" s="70">
        <v>3</v>
      </c>
      <c r="C5" s="71" t="s">
        <v>1107</v>
      </c>
      <c r="D5" s="70" t="s">
        <v>436</v>
      </c>
      <c r="E5" s="70" t="s">
        <v>418</v>
      </c>
      <c r="F5" s="295"/>
      <c r="G5" s="71"/>
    </row>
    <row r="6" spans="2:7" s="146" customFormat="1" x14ac:dyDescent="0.35">
      <c r="B6" s="70">
        <v>4</v>
      </c>
      <c r="C6" s="71" t="s">
        <v>21</v>
      </c>
      <c r="D6" s="70" t="s">
        <v>436</v>
      </c>
      <c r="E6" s="70" t="s">
        <v>418</v>
      </c>
      <c r="F6" s="295"/>
      <c r="G6" s="71"/>
    </row>
    <row r="7" spans="2:7" s="146" customFormat="1" x14ac:dyDescent="0.35">
      <c r="B7" s="70">
        <v>5</v>
      </c>
      <c r="C7" s="71" t="s">
        <v>242</v>
      </c>
      <c r="D7" s="70" t="s">
        <v>436</v>
      </c>
      <c r="E7" s="70" t="s">
        <v>418</v>
      </c>
      <c r="F7" s="295"/>
      <c r="G7" s="71"/>
    </row>
    <row r="8" spans="2:7" s="146" customFormat="1" x14ac:dyDescent="0.35">
      <c r="B8" s="70">
        <v>6</v>
      </c>
      <c r="C8" s="71" t="s">
        <v>62</v>
      </c>
      <c r="D8" s="70" t="s">
        <v>436</v>
      </c>
      <c r="E8" s="70" t="s">
        <v>418</v>
      </c>
      <c r="F8" s="295"/>
      <c r="G8" s="71"/>
    </row>
    <row r="9" spans="2:7" s="146" customFormat="1" x14ac:dyDescent="0.35">
      <c r="B9" s="70">
        <v>7</v>
      </c>
      <c r="C9" s="71" t="s">
        <v>49</v>
      </c>
      <c r="D9" s="70" t="s">
        <v>415</v>
      </c>
      <c r="E9" s="70" t="s">
        <v>418</v>
      </c>
      <c r="F9" s="295"/>
      <c r="G9" s="71"/>
    </row>
    <row r="10" spans="2:7" s="146" customFormat="1" x14ac:dyDescent="0.35">
      <c r="B10" s="70">
        <v>8</v>
      </c>
      <c r="C10" s="71" t="s">
        <v>31</v>
      </c>
      <c r="D10" s="70" t="s">
        <v>436</v>
      </c>
      <c r="E10" s="70" t="s">
        <v>418</v>
      </c>
      <c r="F10" s="295"/>
      <c r="G10" s="71"/>
    </row>
    <row r="11" spans="2:7" s="146" customFormat="1" x14ac:dyDescent="0.35">
      <c r="B11" s="70">
        <v>9</v>
      </c>
      <c r="C11" s="71" t="s">
        <v>140</v>
      </c>
      <c r="D11" s="70" t="s">
        <v>436</v>
      </c>
      <c r="E11" s="70" t="s">
        <v>418</v>
      </c>
      <c r="F11" s="295"/>
      <c r="G11" s="71"/>
    </row>
    <row r="12" spans="2:7" s="146" customFormat="1" x14ac:dyDescent="0.35">
      <c r="B12" s="70">
        <v>10</v>
      </c>
      <c r="C12" s="71" t="s">
        <v>162</v>
      </c>
      <c r="D12" s="70" t="s">
        <v>436</v>
      </c>
      <c r="E12" s="70" t="s">
        <v>418</v>
      </c>
      <c r="F12" s="295"/>
      <c r="G12" s="71"/>
    </row>
    <row r="13" spans="2:7" s="146" customFormat="1" ht="27" x14ac:dyDescent="0.35">
      <c r="B13" s="70">
        <v>11</v>
      </c>
      <c r="C13" s="71" t="s">
        <v>157</v>
      </c>
      <c r="D13" s="70" t="s">
        <v>436</v>
      </c>
      <c r="E13" s="70" t="s">
        <v>418</v>
      </c>
      <c r="F13" s="295"/>
      <c r="G13" s="71"/>
    </row>
    <row r="14" spans="2:7" s="146" customFormat="1" x14ac:dyDescent="0.35">
      <c r="B14" s="70">
        <v>12</v>
      </c>
      <c r="C14" s="71" t="s">
        <v>45</v>
      </c>
      <c r="D14" s="70" t="s">
        <v>436</v>
      </c>
      <c r="E14" s="70" t="s">
        <v>418</v>
      </c>
      <c r="F14" s="295"/>
      <c r="G14" s="71"/>
    </row>
    <row r="15" spans="2:7" s="146" customFormat="1" x14ac:dyDescent="0.35">
      <c r="B15" s="70">
        <v>13</v>
      </c>
      <c r="C15" s="71" t="s">
        <v>26</v>
      </c>
      <c r="D15" s="70" t="s">
        <v>436</v>
      </c>
      <c r="E15" s="70" t="s">
        <v>418</v>
      </c>
      <c r="F15" s="295"/>
      <c r="G15" s="71"/>
    </row>
    <row r="16" spans="2:7" s="146" customFormat="1" x14ac:dyDescent="0.35">
      <c r="B16" s="70">
        <v>14</v>
      </c>
      <c r="C16" s="71" t="s">
        <v>207</v>
      </c>
      <c r="D16" s="70" t="s">
        <v>436</v>
      </c>
      <c r="E16" s="70" t="s">
        <v>837</v>
      </c>
      <c r="F16" s="295" t="s">
        <v>837</v>
      </c>
      <c r="G16" s="71"/>
    </row>
    <row r="17" spans="2:7" s="146" customFormat="1" x14ac:dyDescent="0.35">
      <c r="B17" s="70">
        <v>15</v>
      </c>
      <c r="C17" s="71" t="s">
        <v>210</v>
      </c>
      <c r="D17" s="70" t="s">
        <v>436</v>
      </c>
      <c r="E17" s="70" t="s">
        <v>837</v>
      </c>
      <c r="F17" s="295" t="s">
        <v>837</v>
      </c>
      <c r="G17" s="71"/>
    </row>
    <row r="18" spans="2:7" s="146" customFormat="1" x14ac:dyDescent="0.35">
      <c r="B18" s="70">
        <v>16</v>
      </c>
      <c r="C18" s="71" t="s">
        <v>18</v>
      </c>
      <c r="D18" s="70" t="s">
        <v>415</v>
      </c>
      <c r="E18" s="70" t="s">
        <v>417</v>
      </c>
      <c r="F18" s="295"/>
      <c r="G18" s="71"/>
    </row>
    <row r="19" spans="2:7" s="146" customFormat="1" x14ac:dyDescent="0.35">
      <c r="B19" s="70">
        <v>17</v>
      </c>
      <c r="C19" s="71" t="s">
        <v>234</v>
      </c>
      <c r="D19" s="70" t="s">
        <v>436</v>
      </c>
      <c r="E19" s="70" t="s">
        <v>418</v>
      </c>
      <c r="F19" s="295"/>
      <c r="G19" s="71"/>
    </row>
    <row r="20" spans="2:7" s="146" customFormat="1" x14ac:dyDescent="0.35">
      <c r="B20" s="70">
        <v>18</v>
      </c>
      <c r="C20" s="71" t="s">
        <v>24</v>
      </c>
      <c r="D20" s="70" t="s">
        <v>415</v>
      </c>
      <c r="E20" s="70" t="s">
        <v>418</v>
      </c>
      <c r="F20" s="295"/>
      <c r="G20" s="71"/>
    </row>
    <row r="21" spans="2:7" s="146" customFormat="1" x14ac:dyDescent="0.35">
      <c r="B21" s="70">
        <v>19</v>
      </c>
      <c r="C21" s="71" t="s">
        <v>218</v>
      </c>
      <c r="D21" s="70" t="s">
        <v>436</v>
      </c>
      <c r="E21" s="70" t="s">
        <v>418</v>
      </c>
      <c r="F21" s="295"/>
      <c r="G21" s="71"/>
    </row>
    <row r="22" spans="2:7" x14ac:dyDescent="0.35">
      <c r="B22" s="70">
        <v>20</v>
      </c>
      <c r="C22" s="71" t="s">
        <v>151</v>
      </c>
      <c r="D22" s="70" t="s">
        <v>436</v>
      </c>
      <c r="E22" s="70" t="s">
        <v>418</v>
      </c>
      <c r="F22" s="295"/>
      <c r="G22" s="71"/>
    </row>
    <row r="23" spans="2:7" ht="27" x14ac:dyDescent="0.35">
      <c r="B23" s="70">
        <v>21</v>
      </c>
      <c r="C23" s="71" t="s">
        <v>43</v>
      </c>
      <c r="D23" s="70" t="s">
        <v>415</v>
      </c>
      <c r="E23" s="70" t="s">
        <v>417</v>
      </c>
      <c r="F23" s="295" t="s">
        <v>1420</v>
      </c>
      <c r="G23" s="71"/>
    </row>
    <row r="24" spans="2:7" x14ac:dyDescent="0.35">
      <c r="B24" s="70">
        <v>22</v>
      </c>
      <c r="C24" s="71" t="s">
        <v>149</v>
      </c>
      <c r="D24" s="70" t="s">
        <v>443</v>
      </c>
      <c r="E24" s="70" t="s">
        <v>417</v>
      </c>
      <c r="F24" s="295" t="s">
        <v>887</v>
      </c>
      <c r="G24" s="71"/>
    </row>
    <row r="25" spans="2:7" x14ac:dyDescent="0.35">
      <c r="B25" s="70">
        <v>23</v>
      </c>
      <c r="C25" s="71" t="s">
        <v>186</v>
      </c>
      <c r="D25" s="70" t="s">
        <v>436</v>
      </c>
      <c r="E25" s="70" t="s">
        <v>418</v>
      </c>
      <c r="F25" s="295"/>
      <c r="G25" s="71"/>
    </row>
    <row r="26" spans="2:7" x14ac:dyDescent="0.35">
      <c r="B26" s="70">
        <v>24</v>
      </c>
      <c r="C26" s="71" t="s">
        <v>172</v>
      </c>
      <c r="D26" s="70" t="s">
        <v>443</v>
      </c>
      <c r="E26" s="70" t="s">
        <v>837</v>
      </c>
      <c r="F26" s="295" t="s">
        <v>887</v>
      </c>
      <c r="G26" s="71"/>
    </row>
    <row r="27" spans="2:7" x14ac:dyDescent="0.35">
      <c r="B27" s="70">
        <v>25</v>
      </c>
      <c r="C27" s="71" t="s">
        <v>204</v>
      </c>
      <c r="D27" s="70" t="s">
        <v>436</v>
      </c>
      <c r="E27" s="70" t="s">
        <v>418</v>
      </c>
      <c r="F27" s="295"/>
      <c r="G27" s="71"/>
    </row>
    <row r="28" spans="2:7" ht="27" x14ac:dyDescent="0.35">
      <c r="B28" s="70">
        <v>26</v>
      </c>
      <c r="C28" s="71" t="s">
        <v>892</v>
      </c>
      <c r="D28" s="70" t="s">
        <v>436</v>
      </c>
      <c r="E28" s="70" t="s">
        <v>417</v>
      </c>
      <c r="F28" s="295"/>
      <c r="G28" s="71"/>
    </row>
    <row r="29" spans="2:7" x14ac:dyDescent="0.35">
      <c r="B29" s="70">
        <v>27</v>
      </c>
      <c r="C29" s="71" t="s">
        <v>17</v>
      </c>
      <c r="D29" s="70" t="s">
        <v>415</v>
      </c>
      <c r="E29" s="70" t="s">
        <v>417</v>
      </c>
      <c r="F29" s="295"/>
      <c r="G29" s="71"/>
    </row>
    <row r="30" spans="2:7" ht="27" x14ac:dyDescent="0.35">
      <c r="B30" s="70">
        <v>28</v>
      </c>
      <c r="C30" s="71" t="s">
        <v>56</v>
      </c>
      <c r="D30" s="70" t="s">
        <v>436</v>
      </c>
      <c r="E30" s="70" t="s">
        <v>417</v>
      </c>
      <c r="F30" s="295"/>
      <c r="G30" s="71"/>
    </row>
    <row r="31" spans="2:7" ht="27" x14ac:dyDescent="0.35">
      <c r="B31" s="70">
        <v>29</v>
      </c>
      <c r="C31" s="71" t="s">
        <v>215</v>
      </c>
      <c r="D31" s="70" t="s">
        <v>436</v>
      </c>
      <c r="E31" s="70" t="s">
        <v>418</v>
      </c>
      <c r="F31" s="295"/>
      <c r="G31" s="71"/>
    </row>
    <row r="32" spans="2:7" ht="27" x14ac:dyDescent="0.35">
      <c r="B32" s="70">
        <v>30</v>
      </c>
      <c r="C32" s="71" t="s">
        <v>27</v>
      </c>
      <c r="D32" s="70" t="s">
        <v>415</v>
      </c>
      <c r="E32" s="70" t="s">
        <v>417</v>
      </c>
      <c r="F32" s="295"/>
      <c r="G32" s="71"/>
    </row>
    <row r="33" spans="2:7" ht="27" x14ac:dyDescent="0.35">
      <c r="B33" s="70">
        <v>31</v>
      </c>
      <c r="C33" s="71" t="s">
        <v>216</v>
      </c>
      <c r="D33" s="70" t="s">
        <v>436</v>
      </c>
      <c r="E33" s="70" t="s">
        <v>418</v>
      </c>
      <c r="F33" s="295"/>
      <c r="G33" s="71"/>
    </row>
    <row r="34" spans="2:7" ht="27" x14ac:dyDescent="0.35">
      <c r="B34" s="70">
        <v>32</v>
      </c>
      <c r="C34" s="71" t="s">
        <v>158</v>
      </c>
      <c r="D34" s="70" t="s">
        <v>436</v>
      </c>
      <c r="E34" s="70" t="s">
        <v>837</v>
      </c>
      <c r="F34" s="295" t="s">
        <v>837</v>
      </c>
      <c r="G34" s="71"/>
    </row>
    <row r="35" spans="2:7" ht="27" x14ac:dyDescent="0.35">
      <c r="B35" s="70">
        <v>33</v>
      </c>
      <c r="C35" s="71" t="s">
        <v>1103</v>
      </c>
      <c r="D35" s="70" t="s">
        <v>415</v>
      </c>
      <c r="E35" s="70" t="s">
        <v>417</v>
      </c>
      <c r="F35" s="295"/>
      <c r="G35" s="71"/>
    </row>
    <row r="36" spans="2:7" x14ac:dyDescent="0.35">
      <c r="B36" s="70">
        <v>34</v>
      </c>
      <c r="C36" s="71" t="s">
        <v>37</v>
      </c>
      <c r="D36" s="70" t="s">
        <v>415</v>
      </c>
      <c r="E36" s="70" t="s">
        <v>418</v>
      </c>
      <c r="F36" s="295"/>
      <c r="G36" s="71"/>
    </row>
    <row r="37" spans="2:7" x14ac:dyDescent="0.35">
      <c r="B37" s="70">
        <v>35</v>
      </c>
      <c r="C37" s="71" t="s">
        <v>167</v>
      </c>
      <c r="D37" s="70" t="s">
        <v>436</v>
      </c>
      <c r="E37" s="70" t="s">
        <v>418</v>
      </c>
      <c r="F37" s="295"/>
      <c r="G37" s="71"/>
    </row>
    <row r="38" spans="2:7" ht="27" x14ac:dyDescent="0.35">
      <c r="B38" s="70">
        <v>36</v>
      </c>
      <c r="C38" s="71" t="s">
        <v>195</v>
      </c>
      <c r="D38" s="70" t="s">
        <v>436</v>
      </c>
      <c r="E38" s="70" t="s">
        <v>418</v>
      </c>
      <c r="F38" s="295"/>
      <c r="G38" s="71"/>
    </row>
    <row r="39" spans="2:7" x14ac:dyDescent="0.35">
      <c r="B39" s="70">
        <v>37</v>
      </c>
      <c r="C39" s="71" t="s">
        <v>28</v>
      </c>
      <c r="D39" s="70" t="s">
        <v>415</v>
      </c>
      <c r="E39" s="70" t="s">
        <v>418</v>
      </c>
      <c r="F39" s="295"/>
      <c r="G39" s="71"/>
    </row>
    <row r="40" spans="2:7" ht="27" x14ac:dyDescent="0.35">
      <c r="B40" s="70">
        <v>38</v>
      </c>
      <c r="C40" s="71" t="s">
        <v>29</v>
      </c>
      <c r="D40" s="70" t="s">
        <v>436</v>
      </c>
      <c r="E40" s="70" t="s">
        <v>417</v>
      </c>
      <c r="F40" s="295" t="s">
        <v>1109</v>
      </c>
      <c r="G40" s="71"/>
    </row>
    <row r="41" spans="2:7" ht="27" x14ac:dyDescent="0.35">
      <c r="B41" s="70">
        <v>39</v>
      </c>
      <c r="C41" s="71" t="s">
        <v>164</v>
      </c>
      <c r="D41" s="70" t="s">
        <v>436</v>
      </c>
      <c r="E41" s="70" t="s">
        <v>418</v>
      </c>
      <c r="F41" s="295"/>
      <c r="G41" s="71"/>
    </row>
    <row r="42" spans="2:7" x14ac:dyDescent="0.35">
      <c r="B42" s="70">
        <v>40</v>
      </c>
      <c r="C42" s="71" t="s">
        <v>60</v>
      </c>
      <c r="D42" s="70" t="s">
        <v>436</v>
      </c>
      <c r="E42" s="70" t="s">
        <v>418</v>
      </c>
      <c r="F42" s="295"/>
      <c r="G42" s="71"/>
    </row>
    <row r="43" spans="2:7" ht="49.5" customHeight="1" x14ac:dyDescent="0.35">
      <c r="B43" s="70">
        <v>41</v>
      </c>
      <c r="C43" s="71" t="s">
        <v>182</v>
      </c>
      <c r="D43" s="70"/>
      <c r="E43" s="70" t="s">
        <v>837</v>
      </c>
      <c r="F43" s="295" t="s">
        <v>932</v>
      </c>
      <c r="G43" s="71"/>
    </row>
    <row r="44" spans="2:7" x14ac:dyDescent="0.35">
      <c r="B44" s="70">
        <v>42</v>
      </c>
      <c r="C44" s="71" t="s">
        <v>22</v>
      </c>
      <c r="D44" s="70" t="s">
        <v>415</v>
      </c>
      <c r="E44" s="70" t="s">
        <v>417</v>
      </c>
      <c r="F44" s="295"/>
      <c r="G44" s="71"/>
    </row>
    <row r="45" spans="2:7" x14ac:dyDescent="0.35">
      <c r="B45" s="70">
        <v>43</v>
      </c>
      <c r="C45" s="71" t="s">
        <v>58</v>
      </c>
      <c r="D45" s="70" t="s">
        <v>443</v>
      </c>
      <c r="E45" s="70" t="s">
        <v>417</v>
      </c>
      <c r="F45" s="295"/>
      <c r="G45" s="71"/>
    </row>
    <row r="46" spans="2:7" x14ac:dyDescent="0.35">
      <c r="B46" s="70">
        <v>44</v>
      </c>
      <c r="C46" s="71" t="s">
        <v>59</v>
      </c>
      <c r="D46" s="70" t="s">
        <v>443</v>
      </c>
      <c r="E46" s="70" t="s">
        <v>418</v>
      </c>
      <c r="F46" s="295"/>
      <c r="G46" s="71"/>
    </row>
    <row r="47" spans="2:7" x14ac:dyDescent="0.35">
      <c r="B47" s="70">
        <v>45</v>
      </c>
      <c r="C47" s="71" t="s">
        <v>154</v>
      </c>
      <c r="D47" s="70" t="s">
        <v>436</v>
      </c>
      <c r="E47" s="70" t="s">
        <v>418</v>
      </c>
      <c r="F47" s="295"/>
      <c r="G47" s="71"/>
    </row>
    <row r="48" spans="2:7" x14ac:dyDescent="0.35">
      <c r="B48" s="70">
        <v>46</v>
      </c>
      <c r="C48" s="71" t="s">
        <v>232</v>
      </c>
      <c r="D48" s="70" t="s">
        <v>436</v>
      </c>
      <c r="E48" s="70" t="s">
        <v>418</v>
      </c>
      <c r="F48" s="295"/>
      <c r="G48" s="71"/>
    </row>
    <row r="49" spans="2:7" x14ac:dyDescent="0.35">
      <c r="B49" s="70">
        <v>47</v>
      </c>
      <c r="C49" s="71" t="s">
        <v>235</v>
      </c>
      <c r="D49" s="70" t="s">
        <v>436</v>
      </c>
      <c r="E49" s="70" t="s">
        <v>837</v>
      </c>
      <c r="F49" s="295" t="s">
        <v>837</v>
      </c>
      <c r="G49" s="71"/>
    </row>
    <row r="50" spans="2:7" x14ac:dyDescent="0.35">
      <c r="B50" s="70">
        <v>48</v>
      </c>
      <c r="C50" s="71" t="s">
        <v>55</v>
      </c>
      <c r="D50" s="70" t="s">
        <v>443</v>
      </c>
      <c r="E50" s="70" t="s">
        <v>418</v>
      </c>
      <c r="F50" s="295"/>
      <c r="G50" s="71"/>
    </row>
    <row r="51" spans="2:7" x14ac:dyDescent="0.35">
      <c r="B51" s="70">
        <v>49</v>
      </c>
      <c r="C51" s="71" t="s">
        <v>199</v>
      </c>
      <c r="D51" s="70" t="s">
        <v>436</v>
      </c>
      <c r="E51" s="70" t="s">
        <v>418</v>
      </c>
      <c r="F51" s="295"/>
      <c r="G51" s="71"/>
    </row>
    <row r="52" spans="2:7" x14ac:dyDescent="0.35">
      <c r="B52" s="70">
        <v>50</v>
      </c>
      <c r="C52" s="71" t="s">
        <v>248</v>
      </c>
      <c r="D52" s="70" t="s">
        <v>436</v>
      </c>
      <c r="E52" s="70" t="s">
        <v>418</v>
      </c>
      <c r="F52" s="295"/>
      <c r="G52" s="71"/>
    </row>
    <row r="53" spans="2:7" x14ac:dyDescent="0.35">
      <c r="B53" s="70">
        <v>51</v>
      </c>
      <c r="C53" s="71" t="s">
        <v>238</v>
      </c>
      <c r="D53" s="70" t="s">
        <v>436</v>
      </c>
      <c r="E53" s="70" t="s">
        <v>418</v>
      </c>
      <c r="F53" s="295"/>
      <c r="G53" s="71"/>
    </row>
    <row r="54" spans="2:7" ht="27" x14ac:dyDescent="0.35">
      <c r="B54" s="70">
        <v>52</v>
      </c>
      <c r="C54" s="71" t="s">
        <v>20</v>
      </c>
      <c r="D54" s="70" t="s">
        <v>415</v>
      </c>
      <c r="E54" s="70" t="s">
        <v>417</v>
      </c>
      <c r="F54" s="295" t="s">
        <v>952</v>
      </c>
      <c r="G54" s="71"/>
    </row>
    <row r="55" spans="2:7" x14ac:dyDescent="0.35">
      <c r="B55" s="70">
        <v>53</v>
      </c>
      <c r="C55" s="71" t="s">
        <v>197</v>
      </c>
      <c r="D55" s="70" t="s">
        <v>436</v>
      </c>
      <c r="E55" s="70" t="s">
        <v>837</v>
      </c>
      <c r="F55" s="295" t="s">
        <v>837</v>
      </c>
      <c r="G55" s="71"/>
    </row>
    <row r="56" spans="2:7" x14ac:dyDescent="0.35">
      <c r="B56" s="70">
        <v>54</v>
      </c>
      <c r="C56" s="71" t="s">
        <v>239</v>
      </c>
      <c r="D56" s="70" t="s">
        <v>436</v>
      </c>
      <c r="E56" s="70" t="s">
        <v>837</v>
      </c>
      <c r="F56" s="295" t="s">
        <v>837</v>
      </c>
      <c r="G56" s="71"/>
    </row>
    <row r="57" spans="2:7" x14ac:dyDescent="0.35">
      <c r="B57" s="70">
        <v>55</v>
      </c>
      <c r="C57" s="71" t="s">
        <v>138</v>
      </c>
      <c r="D57" s="70" t="s">
        <v>436</v>
      </c>
      <c r="E57" s="70" t="s">
        <v>417</v>
      </c>
      <c r="F57" s="295"/>
      <c r="G57" s="71"/>
    </row>
    <row r="58" spans="2:7" x14ac:dyDescent="0.35">
      <c r="B58" s="70">
        <v>56</v>
      </c>
      <c r="C58" s="71" t="s">
        <v>61</v>
      </c>
      <c r="D58" s="70" t="s">
        <v>436</v>
      </c>
      <c r="E58" s="70" t="s">
        <v>418</v>
      </c>
      <c r="F58" s="295"/>
      <c r="G58" s="71"/>
    </row>
    <row r="59" spans="2:7" x14ac:dyDescent="0.35">
      <c r="B59" s="70">
        <v>57</v>
      </c>
      <c r="C59" s="71" t="s">
        <v>487</v>
      </c>
      <c r="D59" s="70" t="s">
        <v>436</v>
      </c>
      <c r="E59" s="70" t="s">
        <v>418</v>
      </c>
      <c r="F59" s="295"/>
      <c r="G59" s="71"/>
    </row>
    <row r="60" spans="2:7" x14ac:dyDescent="0.35">
      <c r="B60" s="70">
        <v>58</v>
      </c>
      <c r="C60" s="71" t="s">
        <v>36</v>
      </c>
      <c r="D60" s="70" t="s">
        <v>415</v>
      </c>
      <c r="E60" s="70" t="s">
        <v>418</v>
      </c>
      <c r="F60" s="295" t="s">
        <v>967</v>
      </c>
      <c r="G60" s="71"/>
    </row>
    <row r="61" spans="2:7" x14ac:dyDescent="0.35">
      <c r="B61" s="70">
        <v>59</v>
      </c>
      <c r="C61" s="71" t="s">
        <v>175</v>
      </c>
      <c r="D61" s="70" t="s">
        <v>436</v>
      </c>
      <c r="E61" s="70" t="s">
        <v>418</v>
      </c>
      <c r="F61" s="295"/>
      <c r="G61" s="71"/>
    </row>
    <row r="62" spans="2:7" x14ac:dyDescent="0.35">
      <c r="B62" s="70">
        <v>60</v>
      </c>
      <c r="C62" s="71" t="s">
        <v>19</v>
      </c>
      <c r="D62" s="70" t="s">
        <v>415</v>
      </c>
      <c r="E62" s="70" t="s">
        <v>418</v>
      </c>
      <c r="F62" s="295"/>
      <c r="G62" s="71"/>
    </row>
    <row r="63" spans="2:7" x14ac:dyDescent="0.35">
      <c r="B63" s="70">
        <v>61</v>
      </c>
      <c r="C63" s="71" t="s">
        <v>223</v>
      </c>
      <c r="D63" s="70" t="s">
        <v>436</v>
      </c>
      <c r="E63" s="70" t="s">
        <v>837</v>
      </c>
      <c r="F63" s="295" t="s">
        <v>837</v>
      </c>
      <c r="G63" s="71"/>
    </row>
    <row r="64" spans="2:7" x14ac:dyDescent="0.35">
      <c r="B64" s="70">
        <v>62</v>
      </c>
      <c r="C64" s="71" t="s">
        <v>227</v>
      </c>
      <c r="D64" s="70" t="s">
        <v>436</v>
      </c>
      <c r="E64" s="70" t="s">
        <v>418</v>
      </c>
      <c r="F64" s="295"/>
      <c r="G64" s="71"/>
    </row>
    <row r="65" spans="2:7" x14ac:dyDescent="0.35">
      <c r="B65" s="70">
        <v>63</v>
      </c>
      <c r="C65" s="71" t="s">
        <v>50</v>
      </c>
      <c r="D65" s="70" t="s">
        <v>443</v>
      </c>
      <c r="E65" s="70" t="s">
        <v>418</v>
      </c>
      <c r="F65" s="295"/>
      <c r="G65" s="71"/>
    </row>
    <row r="66" spans="2:7" x14ac:dyDescent="0.35">
      <c r="B66" s="70">
        <v>64</v>
      </c>
      <c r="C66" s="71" t="s">
        <v>41</v>
      </c>
      <c r="D66" s="70" t="s">
        <v>443</v>
      </c>
      <c r="E66" s="70" t="s">
        <v>417</v>
      </c>
      <c r="F66" s="295"/>
      <c r="G66" s="71"/>
    </row>
    <row r="67" spans="2:7" ht="39.75" customHeight="1" x14ac:dyDescent="0.35">
      <c r="B67" s="70">
        <v>65</v>
      </c>
      <c r="C67" s="71" t="s">
        <v>42</v>
      </c>
      <c r="D67" s="70" t="s">
        <v>415</v>
      </c>
      <c r="E67" s="70" t="s">
        <v>417</v>
      </c>
      <c r="F67" s="295" t="s">
        <v>983</v>
      </c>
      <c r="G67" s="71"/>
    </row>
    <row r="68" spans="2:7" x14ac:dyDescent="0.35">
      <c r="B68" s="70">
        <v>66</v>
      </c>
      <c r="C68" s="71" t="s">
        <v>845</v>
      </c>
      <c r="D68" s="70" t="s">
        <v>415</v>
      </c>
      <c r="E68" s="70" t="s">
        <v>418</v>
      </c>
      <c r="F68" s="295"/>
      <c r="G68" s="71"/>
    </row>
    <row r="69" spans="2:7" x14ac:dyDescent="0.35">
      <c r="B69" s="70">
        <v>67</v>
      </c>
      <c r="C69" s="71" t="s">
        <v>25</v>
      </c>
      <c r="D69" s="70" t="s">
        <v>443</v>
      </c>
      <c r="E69" s="70" t="s">
        <v>417</v>
      </c>
      <c r="F69" s="295" t="s">
        <v>887</v>
      </c>
      <c r="G69" s="71"/>
    </row>
    <row r="70" spans="2:7" ht="27" x14ac:dyDescent="0.35">
      <c r="B70" s="70">
        <v>68</v>
      </c>
      <c r="C70" s="71" t="s">
        <v>64</v>
      </c>
      <c r="D70" s="70" t="s">
        <v>415</v>
      </c>
      <c r="E70" s="70" t="s">
        <v>418</v>
      </c>
      <c r="F70" s="295" t="s">
        <v>967</v>
      </c>
      <c r="G70" s="71"/>
    </row>
    <row r="71" spans="2:7" ht="27" x14ac:dyDescent="0.35">
      <c r="B71" s="70">
        <v>69</v>
      </c>
      <c r="C71" s="71" t="s">
        <v>191</v>
      </c>
      <c r="D71" s="70" t="s">
        <v>440</v>
      </c>
      <c r="E71" s="70" t="s">
        <v>418</v>
      </c>
      <c r="F71" s="295" t="s">
        <v>998</v>
      </c>
      <c r="G71" s="71"/>
    </row>
    <row r="72" spans="2:7" ht="27" x14ac:dyDescent="0.35">
      <c r="B72" s="70">
        <v>70</v>
      </c>
      <c r="C72" s="71" t="s">
        <v>169</v>
      </c>
      <c r="D72" s="70" t="s">
        <v>440</v>
      </c>
      <c r="E72" s="70" t="s">
        <v>418</v>
      </c>
      <c r="F72" s="295"/>
      <c r="G72" s="71"/>
    </row>
    <row r="73" spans="2:7" x14ac:dyDescent="0.35">
      <c r="B73" s="70">
        <v>71</v>
      </c>
      <c r="C73" s="71" t="s">
        <v>52</v>
      </c>
      <c r="D73" s="70" t="s">
        <v>440</v>
      </c>
      <c r="E73" s="70" t="s">
        <v>417</v>
      </c>
      <c r="F73" s="295"/>
      <c r="G73" s="71"/>
    </row>
    <row r="74" spans="2:7" x14ac:dyDescent="0.35">
      <c r="B74" s="70">
        <v>72</v>
      </c>
      <c r="C74" s="71" t="s">
        <v>192</v>
      </c>
      <c r="D74" s="70" t="s">
        <v>440</v>
      </c>
      <c r="E74" s="70" t="s">
        <v>837</v>
      </c>
      <c r="F74" s="295" t="s">
        <v>837</v>
      </c>
      <c r="G74" s="71"/>
    </row>
    <row r="75" spans="2:7" x14ac:dyDescent="0.35">
      <c r="B75" s="70">
        <v>73</v>
      </c>
      <c r="C75" s="71" t="s">
        <v>161</v>
      </c>
      <c r="D75" s="70" t="s">
        <v>440</v>
      </c>
      <c r="E75" s="70" t="s">
        <v>418</v>
      </c>
      <c r="F75" s="295"/>
      <c r="G75" s="71"/>
    </row>
    <row r="76" spans="2:7" x14ac:dyDescent="0.35">
      <c r="B76" s="70">
        <v>74</v>
      </c>
      <c r="C76" s="71" t="s">
        <v>193</v>
      </c>
      <c r="D76" s="70" t="s">
        <v>440</v>
      </c>
      <c r="E76" s="70" t="s">
        <v>837</v>
      </c>
      <c r="F76" s="295" t="s">
        <v>837</v>
      </c>
      <c r="G76" s="71"/>
    </row>
    <row r="77" spans="2:7" x14ac:dyDescent="0.35">
      <c r="B77" s="70">
        <v>75</v>
      </c>
      <c r="C77" s="71" t="s">
        <v>33</v>
      </c>
      <c r="D77" s="70" t="s">
        <v>440</v>
      </c>
      <c r="E77" s="70" t="s">
        <v>417</v>
      </c>
      <c r="F77" s="295"/>
      <c r="G77" s="71"/>
    </row>
    <row r="78" spans="2:7" x14ac:dyDescent="0.35">
      <c r="B78" s="70">
        <v>76</v>
      </c>
      <c r="C78" s="71" t="s">
        <v>159</v>
      </c>
      <c r="D78" s="70" t="s">
        <v>440</v>
      </c>
      <c r="E78" s="70" t="s">
        <v>837</v>
      </c>
      <c r="F78" s="295" t="s">
        <v>837</v>
      </c>
      <c r="G78" s="71"/>
    </row>
    <row r="79" spans="2:7" x14ac:dyDescent="0.35">
      <c r="B79" s="70">
        <v>77</v>
      </c>
      <c r="C79" s="71" t="s">
        <v>143</v>
      </c>
      <c r="D79" s="70" t="s">
        <v>440</v>
      </c>
      <c r="E79" s="70" t="s">
        <v>418</v>
      </c>
      <c r="F79" s="295"/>
      <c r="G79" s="71"/>
    </row>
    <row r="80" spans="2:7" x14ac:dyDescent="0.35">
      <c r="B80" s="70">
        <v>78</v>
      </c>
      <c r="C80" s="71" t="s">
        <v>142</v>
      </c>
      <c r="D80" s="70" t="s">
        <v>440</v>
      </c>
      <c r="E80" s="70" t="s">
        <v>837</v>
      </c>
      <c r="F80" s="295" t="s">
        <v>837</v>
      </c>
      <c r="G80" s="71"/>
    </row>
    <row r="81" spans="2:7" x14ac:dyDescent="0.35">
      <c r="B81" s="70">
        <v>79</v>
      </c>
      <c r="C81" s="71" t="s">
        <v>44</v>
      </c>
      <c r="D81" s="70" t="s">
        <v>440</v>
      </c>
      <c r="E81" s="70" t="s">
        <v>417</v>
      </c>
      <c r="F81" s="295" t="s">
        <v>1025</v>
      </c>
      <c r="G81" s="71"/>
    </row>
    <row r="82" spans="2:7" x14ac:dyDescent="0.35">
      <c r="B82" s="70">
        <v>80</v>
      </c>
      <c r="C82" s="71" t="s">
        <v>201</v>
      </c>
      <c r="D82" s="70" t="s">
        <v>440</v>
      </c>
      <c r="E82" s="70" t="s">
        <v>837</v>
      </c>
      <c r="F82" s="295"/>
      <c r="G82" s="71"/>
    </row>
    <row r="83" spans="2:7" ht="27" x14ac:dyDescent="0.35">
      <c r="B83" s="70">
        <v>81</v>
      </c>
      <c r="C83" s="71" t="s">
        <v>38</v>
      </c>
      <c r="D83" s="70" t="s">
        <v>440</v>
      </c>
      <c r="E83" s="70" t="s">
        <v>418</v>
      </c>
      <c r="F83" s="295" t="s">
        <v>1031</v>
      </c>
      <c r="G83" s="71"/>
    </row>
    <row r="84" spans="2:7" x14ac:dyDescent="0.35">
      <c r="B84" s="70">
        <v>82</v>
      </c>
      <c r="C84" s="71" t="s">
        <v>48</v>
      </c>
      <c r="D84" s="70" t="s">
        <v>440</v>
      </c>
      <c r="E84" s="70" t="s">
        <v>837</v>
      </c>
      <c r="F84" s="295"/>
      <c r="G84" s="71"/>
    </row>
    <row r="85" spans="2:7" x14ac:dyDescent="0.35">
      <c r="B85" s="70">
        <v>83</v>
      </c>
      <c r="C85" s="71" t="s">
        <v>40</v>
      </c>
      <c r="D85" s="70" t="s">
        <v>440</v>
      </c>
      <c r="E85" s="70" t="s">
        <v>417</v>
      </c>
      <c r="F85" s="295" t="s">
        <v>1025</v>
      </c>
      <c r="G85" s="71"/>
    </row>
    <row r="86" spans="2:7" x14ac:dyDescent="0.35">
      <c r="B86" s="70">
        <v>84</v>
      </c>
      <c r="C86" s="71" t="s">
        <v>184</v>
      </c>
      <c r="D86" s="70" t="s">
        <v>440</v>
      </c>
      <c r="E86" s="70" t="s">
        <v>837</v>
      </c>
      <c r="F86" s="295"/>
      <c r="G86" s="71"/>
    </row>
    <row r="87" spans="2:7" x14ac:dyDescent="0.35">
      <c r="B87" s="70">
        <v>85</v>
      </c>
      <c r="C87" s="71" t="s">
        <v>34</v>
      </c>
      <c r="D87" s="70" t="s">
        <v>440</v>
      </c>
      <c r="E87" s="70" t="s">
        <v>418</v>
      </c>
      <c r="F87" s="295" t="s">
        <v>1025</v>
      </c>
      <c r="G87" s="71"/>
    </row>
    <row r="88" spans="2:7" x14ac:dyDescent="0.35">
      <c r="B88" s="70">
        <v>86</v>
      </c>
      <c r="C88" s="71" t="s">
        <v>213</v>
      </c>
      <c r="D88" s="70" t="s">
        <v>440</v>
      </c>
      <c r="E88" s="70" t="s">
        <v>837</v>
      </c>
      <c r="F88" s="295"/>
      <c r="G88" s="71"/>
    </row>
    <row r="89" spans="2:7" x14ac:dyDescent="0.35">
      <c r="B89" s="70">
        <v>87</v>
      </c>
      <c r="C89" s="71" t="s">
        <v>46</v>
      </c>
      <c r="D89" s="70" t="s">
        <v>440</v>
      </c>
      <c r="E89" s="70" t="s">
        <v>418</v>
      </c>
      <c r="F89" s="295"/>
      <c r="G89" s="71"/>
    </row>
    <row r="90" spans="2:7" x14ac:dyDescent="0.35">
      <c r="B90" s="70">
        <v>88</v>
      </c>
      <c r="C90" s="71" t="s">
        <v>54</v>
      </c>
      <c r="D90" s="70" t="s">
        <v>440</v>
      </c>
      <c r="E90" s="70" t="s">
        <v>418</v>
      </c>
      <c r="F90" s="295" t="s">
        <v>1025</v>
      </c>
      <c r="G90" s="71"/>
    </row>
    <row r="91" spans="2:7" ht="27" x14ac:dyDescent="0.35">
      <c r="B91" s="70">
        <v>89</v>
      </c>
      <c r="C91" s="71" t="s">
        <v>32</v>
      </c>
      <c r="D91" s="70" t="s">
        <v>440</v>
      </c>
      <c r="E91" s="70" t="s">
        <v>418</v>
      </c>
      <c r="F91" s="295" t="s">
        <v>1025</v>
      </c>
      <c r="G91" s="71"/>
    </row>
    <row r="92" spans="2:7" x14ac:dyDescent="0.35">
      <c r="B92" s="70">
        <v>90</v>
      </c>
      <c r="C92" s="71" t="s">
        <v>47</v>
      </c>
      <c r="D92" s="70" t="s">
        <v>440</v>
      </c>
      <c r="E92" s="70" t="s">
        <v>837</v>
      </c>
      <c r="F92" s="295"/>
      <c r="G92" s="71"/>
    </row>
    <row r="93" spans="2:7" ht="27" x14ac:dyDescent="0.35">
      <c r="B93" s="70">
        <v>91</v>
      </c>
      <c r="C93" s="71" t="s">
        <v>188</v>
      </c>
      <c r="D93" s="70" t="s">
        <v>440</v>
      </c>
      <c r="E93" s="70" t="s">
        <v>418</v>
      </c>
      <c r="F93" s="295"/>
      <c r="G93" s="71"/>
    </row>
    <row r="94" spans="2:7" x14ac:dyDescent="0.35">
      <c r="B94" s="70">
        <v>92</v>
      </c>
      <c r="C94" s="71" t="s">
        <v>39</v>
      </c>
      <c r="D94" s="70" t="s">
        <v>440</v>
      </c>
      <c r="E94" s="70" t="s">
        <v>418</v>
      </c>
      <c r="F94" s="295"/>
      <c r="G94" s="71"/>
    </row>
    <row r="95" spans="2:7" x14ac:dyDescent="0.35">
      <c r="B95" s="70">
        <v>93</v>
      </c>
      <c r="C95" s="71" t="s">
        <v>35</v>
      </c>
      <c r="D95" s="70" t="s">
        <v>440</v>
      </c>
      <c r="E95" s="70" t="s">
        <v>418</v>
      </c>
      <c r="F95" s="295" t="s">
        <v>1025</v>
      </c>
      <c r="G95" s="71"/>
    </row>
    <row r="96" spans="2:7" ht="27" x14ac:dyDescent="0.35">
      <c r="B96" s="70">
        <v>94</v>
      </c>
      <c r="C96" s="71" t="s">
        <v>145</v>
      </c>
      <c r="D96" s="70" t="s">
        <v>440</v>
      </c>
      <c r="E96" s="70" t="s">
        <v>418</v>
      </c>
      <c r="F96" s="295" t="s">
        <v>1031</v>
      </c>
      <c r="G96" s="71"/>
    </row>
    <row r="97" spans="2:7" x14ac:dyDescent="0.35">
      <c r="B97" s="70">
        <v>95</v>
      </c>
      <c r="C97" s="71" t="s">
        <v>51</v>
      </c>
      <c r="D97" s="70" t="s">
        <v>440</v>
      </c>
      <c r="E97" s="70" t="s">
        <v>418</v>
      </c>
      <c r="F97" s="295" t="s">
        <v>998</v>
      </c>
      <c r="G97" s="71"/>
    </row>
    <row r="98" spans="2:7" x14ac:dyDescent="0.35">
      <c r="B98" s="70">
        <v>96</v>
      </c>
      <c r="C98" s="71" t="s">
        <v>160</v>
      </c>
      <c r="D98" s="70" t="s">
        <v>440</v>
      </c>
      <c r="E98" s="70" t="s">
        <v>418</v>
      </c>
      <c r="F98" s="295"/>
      <c r="G98" s="71"/>
    </row>
    <row r="99" spans="2:7" x14ac:dyDescent="0.35">
      <c r="B99" s="70">
        <v>97</v>
      </c>
      <c r="C99" s="71" t="s">
        <v>165</v>
      </c>
      <c r="D99" s="70" t="s">
        <v>440</v>
      </c>
      <c r="E99" s="70" t="s">
        <v>418</v>
      </c>
      <c r="F99" s="295"/>
      <c r="G99" s="71"/>
    </row>
    <row r="100" spans="2:7" ht="55.5" customHeight="1" x14ac:dyDescent="0.35">
      <c r="B100" s="70" t="s">
        <v>245</v>
      </c>
      <c r="C100" s="71" t="s">
        <v>1115</v>
      </c>
      <c r="D100" s="70"/>
      <c r="E100" s="70" t="s">
        <v>837</v>
      </c>
      <c r="F100" s="295" t="s">
        <v>1117</v>
      </c>
      <c r="G100" s="71" t="s">
        <v>1421</v>
      </c>
    </row>
    <row r="101" spans="2:7" ht="54" x14ac:dyDescent="0.35">
      <c r="B101" s="70" t="s">
        <v>229</v>
      </c>
      <c r="C101" s="71" t="s">
        <v>1118</v>
      </c>
      <c r="D101" s="70" t="s">
        <v>443</v>
      </c>
      <c r="E101" s="70" t="s">
        <v>837</v>
      </c>
      <c r="F101" s="295" t="s">
        <v>1064</v>
      </c>
      <c r="G101" s="71"/>
    </row>
    <row r="102" spans="2:7" ht="54" x14ac:dyDescent="0.35">
      <c r="B102" s="70" t="s">
        <v>177</v>
      </c>
      <c r="C102" s="71" t="s">
        <v>246</v>
      </c>
      <c r="D102" s="70" t="s">
        <v>443</v>
      </c>
      <c r="E102" s="70" t="s">
        <v>837</v>
      </c>
      <c r="F102" s="295" t="s">
        <v>1064</v>
      </c>
      <c r="G102" s="71"/>
    </row>
    <row r="103" spans="2:7" ht="54" x14ac:dyDescent="0.35">
      <c r="B103" s="70" t="s">
        <v>225</v>
      </c>
      <c r="C103" s="71" t="s">
        <v>230</v>
      </c>
      <c r="D103" s="70" t="s">
        <v>443</v>
      </c>
      <c r="E103" s="70" t="s">
        <v>837</v>
      </c>
      <c r="F103" s="295" t="s">
        <v>1064</v>
      </c>
      <c r="G103" s="71"/>
    </row>
    <row r="104" spans="2:7" ht="54" x14ac:dyDescent="0.35">
      <c r="B104" s="70" t="s">
        <v>1121</v>
      </c>
      <c r="C104" s="71" t="s">
        <v>178</v>
      </c>
      <c r="D104" s="70" t="s">
        <v>443</v>
      </c>
      <c r="E104" s="70" t="s">
        <v>837</v>
      </c>
      <c r="F104" s="295" t="s">
        <v>1064</v>
      </c>
      <c r="G104" s="71"/>
    </row>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CB13D-2BD1-4694-A121-DA314133E0B6}">
  <dimension ref="B1:Z49"/>
  <sheetViews>
    <sheetView topLeftCell="M23" zoomScale="70" zoomScaleNormal="70" workbookViewId="0">
      <selection activeCell="T38" sqref="T38"/>
    </sheetView>
  </sheetViews>
  <sheetFormatPr defaultRowHeight="29.5" customHeight="1" x14ac:dyDescent="0.35"/>
  <cols>
    <col min="2" max="2" width="3.81640625" customWidth="1"/>
    <col min="3" max="3" width="41.90625" bestFit="1" customWidth="1"/>
    <col min="4" max="4" width="29.6328125" bestFit="1" customWidth="1"/>
    <col min="5" max="6" width="16.36328125" customWidth="1"/>
    <col min="7" max="7" width="16" customWidth="1"/>
    <col min="8" max="8" width="17.1796875" customWidth="1"/>
    <col min="9" max="9" width="12.453125" bestFit="1" customWidth="1"/>
    <col min="10" max="10" width="10.81640625" customWidth="1"/>
    <col min="11" max="11" width="14.1796875" style="65" customWidth="1"/>
    <col min="14" max="14" width="3.81640625" bestFit="1" customWidth="1"/>
    <col min="15" max="15" width="34.1796875" customWidth="1"/>
    <col min="16" max="16" width="20.453125" customWidth="1"/>
    <col min="17" max="17" width="19.81640625" customWidth="1"/>
    <col min="18" max="18" width="18.453125" customWidth="1"/>
    <col min="19" max="19" width="17.1796875" customWidth="1"/>
    <col min="20" max="20" width="23.36328125" customWidth="1"/>
    <col min="21" max="21" width="16.453125" customWidth="1"/>
  </cols>
  <sheetData>
    <row r="1" spans="2:21" ht="19" customHeight="1" x14ac:dyDescent="0.35">
      <c r="C1" s="636"/>
      <c r="D1" s="635"/>
      <c r="E1" s="635"/>
      <c r="F1" s="635"/>
      <c r="G1" s="635"/>
      <c r="H1" s="646"/>
      <c r="I1" s="635"/>
      <c r="J1" s="635"/>
      <c r="K1" s="637"/>
    </row>
    <row r="2" spans="2:21" ht="45" customHeight="1" x14ac:dyDescent="0.35">
      <c r="B2" s="628" t="s">
        <v>4</v>
      </c>
      <c r="C2" s="628" t="s">
        <v>5</v>
      </c>
      <c r="D2" s="628" t="s">
        <v>6</v>
      </c>
      <c r="E2" s="628" t="s">
        <v>7</v>
      </c>
      <c r="F2" s="628" t="s">
        <v>8</v>
      </c>
      <c r="G2" s="628" t="s">
        <v>9</v>
      </c>
      <c r="H2" s="628" t="s">
        <v>1236</v>
      </c>
      <c r="I2" s="628" t="s">
        <v>11</v>
      </c>
      <c r="J2" s="628" t="s">
        <v>12</v>
      </c>
      <c r="K2" s="629" t="s">
        <v>1439</v>
      </c>
      <c r="L2" s="630" t="s">
        <v>16</v>
      </c>
      <c r="N2" s="628" t="s">
        <v>4</v>
      </c>
      <c r="O2" s="628" t="s">
        <v>5</v>
      </c>
      <c r="P2" s="628" t="s">
        <v>6</v>
      </c>
      <c r="Q2" s="628" t="s">
        <v>7</v>
      </c>
      <c r="R2" s="628" t="s">
        <v>8</v>
      </c>
      <c r="S2" s="628" t="s">
        <v>9</v>
      </c>
      <c r="T2" s="629" t="s">
        <v>1439</v>
      </c>
      <c r="U2" s="630" t="s">
        <v>16</v>
      </c>
    </row>
    <row r="3" spans="2:21" ht="29.5" customHeight="1" x14ac:dyDescent="0.35">
      <c r="B3" s="631">
        <v>1</v>
      </c>
      <c r="C3" s="632" t="s">
        <v>17</v>
      </c>
      <c r="D3" s="631" t="s">
        <v>68</v>
      </c>
      <c r="E3" s="631" t="s">
        <v>68</v>
      </c>
      <c r="F3" s="631" t="s">
        <v>71</v>
      </c>
      <c r="G3" s="631" t="s">
        <v>70</v>
      </c>
      <c r="H3" s="645">
        <v>11004.665000000001</v>
      </c>
      <c r="I3" s="631" t="s">
        <v>412</v>
      </c>
      <c r="J3" s="631" t="s">
        <v>415</v>
      </c>
      <c r="K3" s="633">
        <v>3.3920000000000003</v>
      </c>
      <c r="L3" s="773">
        <v>1</v>
      </c>
      <c r="N3" s="631">
        <v>1</v>
      </c>
      <c r="O3" s="632" t="s">
        <v>17</v>
      </c>
      <c r="P3" s="631" t="s">
        <v>68</v>
      </c>
      <c r="Q3" s="631" t="s">
        <v>68</v>
      </c>
      <c r="R3" s="631" t="s">
        <v>71</v>
      </c>
      <c r="S3" s="631" t="s">
        <v>70</v>
      </c>
      <c r="T3" s="633">
        <v>3.3920000000000003</v>
      </c>
      <c r="U3" s="773">
        <v>1</v>
      </c>
    </row>
    <row r="4" spans="2:21" ht="29.5" customHeight="1" x14ac:dyDescent="0.35">
      <c r="B4" s="635">
        <v>2</v>
      </c>
      <c r="C4" s="636" t="s">
        <v>18</v>
      </c>
      <c r="D4" s="635" t="s">
        <v>68</v>
      </c>
      <c r="E4" s="635" t="s">
        <v>72</v>
      </c>
      <c r="F4" s="635" t="s">
        <v>73</v>
      </c>
      <c r="G4" s="635" t="s">
        <v>70</v>
      </c>
      <c r="H4" s="646">
        <v>9549.5499999999993</v>
      </c>
      <c r="I4" s="635" t="s">
        <v>412</v>
      </c>
      <c r="J4" s="635" t="s">
        <v>415</v>
      </c>
      <c r="K4" s="637">
        <v>3.3920000000000003</v>
      </c>
      <c r="L4" s="774"/>
      <c r="N4" s="635">
        <v>2</v>
      </c>
      <c r="O4" s="636" t="s">
        <v>18</v>
      </c>
      <c r="P4" s="635" t="s">
        <v>68</v>
      </c>
      <c r="Q4" s="635" t="s">
        <v>72</v>
      </c>
      <c r="R4" s="635" t="s">
        <v>73</v>
      </c>
      <c r="S4" s="635" t="s">
        <v>70</v>
      </c>
      <c r="T4" s="637">
        <v>3.3920000000000003</v>
      </c>
      <c r="U4" s="774"/>
    </row>
    <row r="5" spans="2:21" ht="29.5" customHeight="1" x14ac:dyDescent="0.35">
      <c r="B5" s="631">
        <v>3</v>
      </c>
      <c r="C5" s="632" t="s">
        <v>19</v>
      </c>
      <c r="D5" s="631" t="s">
        <v>68</v>
      </c>
      <c r="E5" s="631" t="s">
        <v>68</v>
      </c>
      <c r="F5" s="631" t="s">
        <v>69</v>
      </c>
      <c r="G5" s="631" t="s">
        <v>70</v>
      </c>
      <c r="H5" s="645">
        <v>1918.807</v>
      </c>
      <c r="I5" s="631" t="s">
        <v>412</v>
      </c>
      <c r="J5" s="631" t="s">
        <v>415</v>
      </c>
      <c r="K5" s="633">
        <v>3.3920000000000003</v>
      </c>
      <c r="L5" s="775"/>
      <c r="N5" s="631">
        <v>3</v>
      </c>
      <c r="O5" s="632" t="s">
        <v>19</v>
      </c>
      <c r="P5" s="631" t="s">
        <v>68</v>
      </c>
      <c r="Q5" s="631" t="s">
        <v>68</v>
      </c>
      <c r="R5" s="631" t="s">
        <v>69</v>
      </c>
      <c r="S5" s="631" t="s">
        <v>70</v>
      </c>
      <c r="T5" s="633">
        <v>3.3920000000000003</v>
      </c>
      <c r="U5" s="775"/>
    </row>
    <row r="6" spans="2:21" ht="29.5" customHeight="1" x14ac:dyDescent="0.35">
      <c r="B6" s="635">
        <v>4</v>
      </c>
      <c r="C6" s="636" t="s">
        <v>21</v>
      </c>
      <c r="D6" s="635" t="s">
        <v>76</v>
      </c>
      <c r="E6" s="635" t="s">
        <v>77</v>
      </c>
      <c r="F6" s="635" t="s">
        <v>78</v>
      </c>
      <c r="G6" s="635" t="s">
        <v>79</v>
      </c>
      <c r="H6" s="646">
        <v>1010.9</v>
      </c>
      <c r="I6" s="635" t="s">
        <v>412</v>
      </c>
      <c r="J6" s="635" t="s">
        <v>415</v>
      </c>
      <c r="K6" s="637">
        <v>3.258</v>
      </c>
      <c r="L6" s="685">
        <v>2</v>
      </c>
      <c r="N6" s="635">
        <v>4</v>
      </c>
      <c r="O6" s="636" t="s">
        <v>21</v>
      </c>
      <c r="P6" s="635" t="s">
        <v>76</v>
      </c>
      <c r="Q6" s="635" t="s">
        <v>77</v>
      </c>
      <c r="R6" s="635" t="s">
        <v>78</v>
      </c>
      <c r="S6" s="635" t="s">
        <v>79</v>
      </c>
      <c r="T6" s="637">
        <v>3.258</v>
      </c>
      <c r="U6" s="685">
        <v>2</v>
      </c>
    </row>
    <row r="7" spans="2:21" ht="29.5" customHeight="1" x14ac:dyDescent="0.35">
      <c r="B7" s="631">
        <v>5</v>
      </c>
      <c r="C7" s="682" t="s">
        <v>20</v>
      </c>
      <c r="D7" s="683" t="s">
        <v>68</v>
      </c>
      <c r="E7" s="683" t="s">
        <v>74</v>
      </c>
      <c r="F7" s="683" t="s">
        <v>75</v>
      </c>
      <c r="G7" s="683" t="s">
        <v>70</v>
      </c>
      <c r="H7" s="686">
        <v>965.36</v>
      </c>
      <c r="I7" s="683" t="s">
        <v>412</v>
      </c>
      <c r="J7" s="683" t="s">
        <v>415</v>
      </c>
      <c r="K7" s="684">
        <v>3.234</v>
      </c>
      <c r="L7" s="672">
        <v>3</v>
      </c>
      <c r="N7" s="631">
        <v>5</v>
      </c>
      <c r="O7" s="682" t="s">
        <v>20</v>
      </c>
      <c r="P7" s="683" t="s">
        <v>68</v>
      </c>
      <c r="Q7" s="683" t="s">
        <v>74</v>
      </c>
      <c r="R7" s="683" t="s">
        <v>75</v>
      </c>
      <c r="S7" s="683" t="s">
        <v>70</v>
      </c>
      <c r="T7" s="684">
        <v>3.234</v>
      </c>
      <c r="U7" s="672">
        <v>3</v>
      </c>
    </row>
    <row r="8" spans="2:21" ht="29.5" customHeight="1" x14ac:dyDescent="0.35">
      <c r="B8" s="635">
        <v>6</v>
      </c>
      <c r="C8" s="617" t="s">
        <v>30</v>
      </c>
      <c r="D8" s="616" t="s">
        <v>68</v>
      </c>
      <c r="E8" s="616" t="s">
        <v>74</v>
      </c>
      <c r="F8" s="616" t="s">
        <v>88</v>
      </c>
      <c r="G8" s="616" t="s">
        <v>70</v>
      </c>
      <c r="H8" s="687">
        <v>1000</v>
      </c>
      <c r="I8" s="616" t="s">
        <v>412</v>
      </c>
      <c r="J8" s="616" t="s">
        <v>415</v>
      </c>
      <c r="K8" s="619">
        <v>3.234</v>
      </c>
      <c r="L8" s="685">
        <v>4</v>
      </c>
      <c r="N8" s="635">
        <v>6</v>
      </c>
      <c r="O8" s="617" t="s">
        <v>30</v>
      </c>
      <c r="P8" s="616" t="s">
        <v>68</v>
      </c>
      <c r="Q8" s="616" t="s">
        <v>74</v>
      </c>
      <c r="R8" s="616" t="s">
        <v>88</v>
      </c>
      <c r="S8" s="616" t="s">
        <v>70</v>
      </c>
      <c r="T8" s="619">
        <v>3.234</v>
      </c>
      <c r="U8" s="685">
        <v>4</v>
      </c>
    </row>
    <row r="9" spans="2:21" ht="29.5" customHeight="1" x14ac:dyDescent="0.35">
      <c r="B9" s="631">
        <v>7</v>
      </c>
      <c r="C9" s="632" t="s">
        <v>22</v>
      </c>
      <c r="D9" s="631" t="s">
        <v>76</v>
      </c>
      <c r="E9" s="631" t="s">
        <v>76</v>
      </c>
      <c r="F9" s="631" t="s">
        <v>80</v>
      </c>
      <c r="G9" s="631" t="s">
        <v>70</v>
      </c>
      <c r="H9" s="645">
        <v>880.04200000000003</v>
      </c>
      <c r="I9" s="631" t="s">
        <v>412</v>
      </c>
      <c r="J9" s="631" t="s">
        <v>415</v>
      </c>
      <c r="K9" s="633">
        <v>3.2160000000000002</v>
      </c>
      <c r="L9" s="672">
        <v>5</v>
      </c>
      <c r="N9" s="631">
        <v>7</v>
      </c>
      <c r="O9" s="632" t="s">
        <v>22</v>
      </c>
      <c r="P9" s="631" t="s">
        <v>76</v>
      </c>
      <c r="Q9" s="631" t="s">
        <v>76</v>
      </c>
      <c r="R9" s="631" t="s">
        <v>80</v>
      </c>
      <c r="S9" s="631" t="s">
        <v>70</v>
      </c>
      <c r="T9" s="633">
        <v>3.2160000000000002</v>
      </c>
      <c r="U9" s="672">
        <v>5</v>
      </c>
    </row>
    <row r="10" spans="2:21" ht="29.5" customHeight="1" x14ac:dyDescent="0.35">
      <c r="B10" s="635">
        <v>8</v>
      </c>
      <c r="C10" s="636" t="s">
        <v>27</v>
      </c>
      <c r="D10" s="635" t="s">
        <v>68</v>
      </c>
      <c r="E10" s="635" t="s">
        <v>74</v>
      </c>
      <c r="F10" s="635" t="s">
        <v>88</v>
      </c>
      <c r="G10" s="635" t="s">
        <v>70</v>
      </c>
      <c r="H10" s="646">
        <v>1240.72</v>
      </c>
      <c r="I10" s="635" t="s">
        <v>412</v>
      </c>
      <c r="J10" s="635" t="s">
        <v>415</v>
      </c>
      <c r="K10" s="637">
        <v>3.1340000000000003</v>
      </c>
      <c r="L10" s="685">
        <v>6</v>
      </c>
      <c r="N10" s="635">
        <v>8</v>
      </c>
      <c r="O10" s="636" t="s">
        <v>27</v>
      </c>
      <c r="P10" s="635" t="s">
        <v>68</v>
      </c>
      <c r="Q10" s="635" t="s">
        <v>74</v>
      </c>
      <c r="R10" s="635" t="s">
        <v>88</v>
      </c>
      <c r="S10" s="635" t="s">
        <v>70</v>
      </c>
      <c r="T10" s="637">
        <v>3.1340000000000003</v>
      </c>
      <c r="U10" s="685">
        <v>6</v>
      </c>
    </row>
    <row r="11" spans="2:21" ht="29.5" customHeight="1" x14ac:dyDescent="0.35">
      <c r="B11" s="631">
        <v>9</v>
      </c>
      <c r="C11" s="632" t="s">
        <v>25</v>
      </c>
      <c r="D11" s="631" t="s">
        <v>84</v>
      </c>
      <c r="E11" s="631" t="s">
        <v>85</v>
      </c>
      <c r="F11" s="631" t="s">
        <v>86</v>
      </c>
      <c r="G11" s="631" t="s">
        <v>79</v>
      </c>
      <c r="H11" s="645">
        <v>382.07209999999998</v>
      </c>
      <c r="I11" s="631" t="s">
        <v>412</v>
      </c>
      <c r="J11" s="631" t="s">
        <v>415</v>
      </c>
      <c r="K11" s="633">
        <v>2.9359999999999999</v>
      </c>
      <c r="L11" s="672">
        <v>7</v>
      </c>
      <c r="N11" s="631">
        <v>9</v>
      </c>
      <c r="O11" s="632" t="s">
        <v>25</v>
      </c>
      <c r="P11" s="631" t="s">
        <v>84</v>
      </c>
      <c r="Q11" s="631" t="s">
        <v>85</v>
      </c>
      <c r="R11" s="631" t="s">
        <v>86</v>
      </c>
      <c r="S11" s="631" t="s">
        <v>79</v>
      </c>
      <c r="T11" s="633">
        <v>2.9359999999999999</v>
      </c>
      <c r="U11" s="672">
        <v>7</v>
      </c>
    </row>
    <row r="12" spans="2:21" ht="29.5" customHeight="1" x14ac:dyDescent="0.35">
      <c r="B12" s="635">
        <v>10</v>
      </c>
      <c r="C12" s="636" t="s">
        <v>23</v>
      </c>
      <c r="D12" s="635" t="s">
        <v>68</v>
      </c>
      <c r="E12" s="635" t="s">
        <v>68</v>
      </c>
      <c r="F12" s="635" t="s">
        <v>81</v>
      </c>
      <c r="G12" s="635" t="s">
        <v>79</v>
      </c>
      <c r="H12" s="646">
        <v>805.86649999999997</v>
      </c>
      <c r="I12" s="635" t="s">
        <v>412</v>
      </c>
      <c r="J12" s="635" t="s">
        <v>415</v>
      </c>
      <c r="K12" s="637">
        <v>2.9280000000000004</v>
      </c>
      <c r="L12" s="638">
        <f>L11+1</f>
        <v>8</v>
      </c>
      <c r="N12" s="635">
        <v>10</v>
      </c>
      <c r="O12" s="675" t="s">
        <v>43</v>
      </c>
      <c r="P12" s="674" t="s">
        <v>104</v>
      </c>
      <c r="Q12" s="674" t="s">
        <v>105</v>
      </c>
      <c r="R12" s="674" t="s">
        <v>106</v>
      </c>
      <c r="S12" s="674" t="s">
        <v>70</v>
      </c>
      <c r="T12" s="676">
        <v>2.5339999999999998</v>
      </c>
      <c r="U12" s="639">
        <v>17</v>
      </c>
    </row>
    <row r="13" spans="2:21" ht="29.5" customHeight="1" x14ac:dyDescent="0.35">
      <c r="B13" s="631">
        <v>11</v>
      </c>
      <c r="C13" s="632" t="s">
        <v>26</v>
      </c>
      <c r="D13" s="631" t="s">
        <v>76</v>
      </c>
      <c r="E13" s="631" t="s">
        <v>76</v>
      </c>
      <c r="F13" s="631" t="s">
        <v>87</v>
      </c>
      <c r="G13" s="631" t="s">
        <v>70</v>
      </c>
      <c r="H13" s="645">
        <v>104.985</v>
      </c>
      <c r="I13" s="631" t="s">
        <v>435</v>
      </c>
      <c r="J13" s="631" t="s">
        <v>436</v>
      </c>
      <c r="K13" s="633">
        <v>2.7880000000000003</v>
      </c>
      <c r="L13" s="634">
        <f t="shared" ref="L13:L49" si="0">L12+1</f>
        <v>9</v>
      </c>
      <c r="N13" s="631">
        <v>11</v>
      </c>
      <c r="O13" s="632" t="s">
        <v>36</v>
      </c>
      <c r="P13" s="631" t="s">
        <v>94</v>
      </c>
      <c r="Q13" s="631" t="s">
        <v>95</v>
      </c>
      <c r="R13" s="631" t="s">
        <v>96</v>
      </c>
      <c r="S13" s="631" t="s">
        <v>70</v>
      </c>
      <c r="T13" s="633">
        <v>2.52</v>
      </c>
      <c r="U13" s="639">
        <v>19</v>
      </c>
    </row>
    <row r="14" spans="2:21" ht="29.5" customHeight="1" x14ac:dyDescent="0.35">
      <c r="B14" s="635">
        <v>12</v>
      </c>
      <c r="C14" s="636" t="s">
        <v>24</v>
      </c>
      <c r="D14" s="635" t="s">
        <v>76</v>
      </c>
      <c r="E14" s="635" t="s">
        <v>82</v>
      </c>
      <c r="F14" s="635" t="s">
        <v>83</v>
      </c>
      <c r="G14" s="635" t="s">
        <v>70</v>
      </c>
      <c r="H14" s="646">
        <v>201.83</v>
      </c>
      <c r="I14" s="635" t="s">
        <v>412</v>
      </c>
      <c r="J14" s="635" t="s">
        <v>415</v>
      </c>
      <c r="K14" s="637">
        <v>2.77</v>
      </c>
      <c r="L14" s="638">
        <f t="shared" si="0"/>
        <v>10</v>
      </c>
      <c r="N14" s="635">
        <v>12</v>
      </c>
      <c r="O14" s="675" t="s">
        <v>49</v>
      </c>
      <c r="P14" s="674" t="s">
        <v>113</v>
      </c>
      <c r="Q14" s="674" t="s">
        <v>114</v>
      </c>
      <c r="R14" s="674" t="s">
        <v>115</v>
      </c>
      <c r="S14" s="674" t="s">
        <v>70</v>
      </c>
      <c r="T14" s="676">
        <v>2.4500000000000002</v>
      </c>
      <c r="U14" s="639">
        <v>25</v>
      </c>
    </row>
    <row r="15" spans="2:21" ht="29.5" customHeight="1" x14ac:dyDescent="0.35">
      <c r="B15" s="631">
        <v>13</v>
      </c>
      <c r="C15" s="632" t="s">
        <v>28</v>
      </c>
      <c r="D15" s="631" t="s">
        <v>68</v>
      </c>
      <c r="E15" s="631" t="s">
        <v>74</v>
      </c>
      <c r="F15" s="631" t="s">
        <v>75</v>
      </c>
      <c r="G15" s="631" t="s">
        <v>70</v>
      </c>
      <c r="H15" s="645">
        <v>293.05</v>
      </c>
      <c r="I15" s="631" t="s">
        <v>412</v>
      </c>
      <c r="J15" s="631" t="s">
        <v>415</v>
      </c>
      <c r="K15" s="633">
        <v>2.738</v>
      </c>
      <c r="L15" s="634">
        <f t="shared" si="0"/>
        <v>11</v>
      </c>
      <c r="N15" s="631">
        <v>13</v>
      </c>
      <c r="O15" s="682" t="s">
        <v>53</v>
      </c>
      <c r="P15" s="683" t="s">
        <v>119</v>
      </c>
      <c r="Q15" s="683" t="s">
        <v>119</v>
      </c>
      <c r="R15" s="683" t="s">
        <v>120</v>
      </c>
      <c r="S15" s="683" t="s">
        <v>70</v>
      </c>
      <c r="T15" s="684">
        <v>2.2640000000000002</v>
      </c>
      <c r="U15" s="639">
        <v>36</v>
      </c>
    </row>
    <row r="16" spans="2:21" ht="29.5" customHeight="1" x14ac:dyDescent="0.35">
      <c r="B16" s="635">
        <v>14</v>
      </c>
      <c r="C16" s="636" t="s">
        <v>29</v>
      </c>
      <c r="D16" s="635" t="s">
        <v>76</v>
      </c>
      <c r="E16" s="635" t="s">
        <v>77</v>
      </c>
      <c r="F16" s="635" t="s">
        <v>89</v>
      </c>
      <c r="G16" s="635" t="s">
        <v>70</v>
      </c>
      <c r="H16" s="646">
        <v>276.12</v>
      </c>
      <c r="I16" s="635" t="s">
        <v>435</v>
      </c>
      <c r="J16" s="635" t="s">
        <v>436</v>
      </c>
      <c r="K16" s="637">
        <v>2.7280000000000002</v>
      </c>
      <c r="L16" s="638">
        <f t="shared" si="0"/>
        <v>12</v>
      </c>
      <c r="N16" s="635">
        <v>14</v>
      </c>
      <c r="O16" s="675" t="s">
        <v>55</v>
      </c>
      <c r="P16" s="674" t="s">
        <v>121</v>
      </c>
      <c r="Q16" s="674" t="s">
        <v>122</v>
      </c>
      <c r="R16" s="674" t="s">
        <v>123</v>
      </c>
      <c r="S16" s="674" t="s">
        <v>70</v>
      </c>
      <c r="T16" s="676">
        <v>2.1779999999999999</v>
      </c>
      <c r="U16" s="639">
        <v>38</v>
      </c>
    </row>
    <row r="17" spans="2:26" ht="29.5" customHeight="1" thickBot="1" x14ac:dyDescent="0.4">
      <c r="B17" s="631">
        <v>15</v>
      </c>
      <c r="C17" s="632" t="s">
        <v>31</v>
      </c>
      <c r="D17" s="631" t="s">
        <v>68</v>
      </c>
      <c r="E17" s="631" t="s">
        <v>90</v>
      </c>
      <c r="F17" s="631" t="s">
        <v>91</v>
      </c>
      <c r="G17" s="631" t="s">
        <v>70</v>
      </c>
      <c r="H17" s="645">
        <v>3037.85</v>
      </c>
      <c r="I17" s="631" t="s">
        <v>412</v>
      </c>
      <c r="J17" s="631" t="s">
        <v>415</v>
      </c>
      <c r="K17" s="633">
        <v>2.5920000000000001</v>
      </c>
      <c r="L17" s="634">
        <f t="shared" si="0"/>
        <v>13</v>
      </c>
    </row>
    <row r="18" spans="2:26" ht="47" customHeight="1" thickBot="1" x14ac:dyDescent="0.4">
      <c r="B18" s="635">
        <v>16</v>
      </c>
      <c r="C18" s="636" t="s">
        <v>32</v>
      </c>
      <c r="D18" s="635" t="s">
        <v>68</v>
      </c>
      <c r="E18" s="635" t="s">
        <v>68</v>
      </c>
      <c r="F18" s="635" t="s">
        <v>81</v>
      </c>
      <c r="G18" s="635" t="s">
        <v>92</v>
      </c>
      <c r="H18" s="646">
        <v>65.247799999999998</v>
      </c>
      <c r="I18" s="635" t="s">
        <v>412</v>
      </c>
      <c r="J18" s="635" t="s">
        <v>440</v>
      </c>
      <c r="K18" s="637">
        <v>2.56</v>
      </c>
      <c r="L18" s="638">
        <f t="shared" si="0"/>
        <v>14</v>
      </c>
      <c r="N18" s="629" t="s">
        <v>4</v>
      </c>
      <c r="O18" s="629" t="s">
        <v>5</v>
      </c>
      <c r="P18" s="629" t="s">
        <v>6</v>
      </c>
      <c r="Q18" s="629" t="s">
        <v>7</v>
      </c>
      <c r="R18" s="629" t="s">
        <v>8</v>
      </c>
      <c r="S18" s="629" t="s">
        <v>9</v>
      </c>
      <c r="T18" s="410" t="s">
        <v>299</v>
      </c>
      <c r="U18" s="410" t="s">
        <v>16</v>
      </c>
    </row>
    <row r="19" spans="2:26" ht="29.5" customHeight="1" x14ac:dyDescent="0.35">
      <c r="B19" s="631">
        <v>17</v>
      </c>
      <c r="C19" s="632" t="s">
        <v>33</v>
      </c>
      <c r="D19" s="631" t="s">
        <v>76</v>
      </c>
      <c r="E19" s="631" t="s">
        <v>77</v>
      </c>
      <c r="F19" s="631" t="s">
        <v>93</v>
      </c>
      <c r="G19" s="631" t="s">
        <v>92</v>
      </c>
      <c r="H19" s="645">
        <v>150</v>
      </c>
      <c r="I19" s="631" t="s">
        <v>412</v>
      </c>
      <c r="J19" s="631" t="s">
        <v>440</v>
      </c>
      <c r="K19" s="633">
        <v>2.556</v>
      </c>
      <c r="L19" s="634">
        <f t="shared" si="0"/>
        <v>15</v>
      </c>
      <c r="N19" s="217">
        <v>1</v>
      </c>
      <c r="O19" s="218" t="s">
        <v>30</v>
      </c>
      <c r="P19" s="217" t="s">
        <v>68</v>
      </c>
      <c r="Q19" s="217" t="s">
        <v>74</v>
      </c>
      <c r="R19" s="217" t="s">
        <v>88</v>
      </c>
      <c r="S19" s="217" t="s">
        <v>70</v>
      </c>
      <c r="T19" s="412">
        <v>3.234</v>
      </c>
      <c r="U19" s="413">
        <v>4</v>
      </c>
    </row>
    <row r="20" spans="2:26" ht="29.5" customHeight="1" x14ac:dyDescent="0.35">
      <c r="B20" s="635">
        <v>18</v>
      </c>
      <c r="C20" s="636" t="s">
        <v>34</v>
      </c>
      <c r="D20" s="635" t="s">
        <v>76</v>
      </c>
      <c r="E20" s="635" t="s">
        <v>76</v>
      </c>
      <c r="F20" s="635" t="s">
        <v>87</v>
      </c>
      <c r="G20" s="635" t="s">
        <v>92</v>
      </c>
      <c r="H20" s="646">
        <v>53.872700000000002</v>
      </c>
      <c r="I20" s="635" t="s">
        <v>412</v>
      </c>
      <c r="J20" s="635" t="s">
        <v>440</v>
      </c>
      <c r="K20" s="637">
        <v>2.556</v>
      </c>
      <c r="L20" s="638">
        <f t="shared" si="0"/>
        <v>16</v>
      </c>
      <c r="N20" s="220">
        <v>2</v>
      </c>
      <c r="O20" s="221" t="s">
        <v>22</v>
      </c>
      <c r="P20" s="220" t="s">
        <v>76</v>
      </c>
      <c r="Q20" s="220" t="s">
        <v>76</v>
      </c>
      <c r="R20" s="220" t="s">
        <v>80</v>
      </c>
      <c r="S20" s="220" t="s">
        <v>70</v>
      </c>
      <c r="T20" s="415">
        <v>3.2160000000000002</v>
      </c>
      <c r="U20" s="416">
        <v>5</v>
      </c>
    </row>
    <row r="21" spans="2:26" ht="29.5" customHeight="1" x14ac:dyDescent="0.35">
      <c r="B21" s="631">
        <v>19</v>
      </c>
      <c r="C21" s="632" t="s">
        <v>43</v>
      </c>
      <c r="D21" s="631" t="s">
        <v>104</v>
      </c>
      <c r="E21" s="631" t="s">
        <v>105</v>
      </c>
      <c r="F21" s="631" t="s">
        <v>106</v>
      </c>
      <c r="G21" s="631" t="s">
        <v>70</v>
      </c>
      <c r="H21" s="645">
        <v>441.64</v>
      </c>
      <c r="I21" s="631" t="s">
        <v>412</v>
      </c>
      <c r="J21" s="631" t="s">
        <v>415</v>
      </c>
      <c r="K21" s="633">
        <v>2.5339999999999998</v>
      </c>
      <c r="L21" s="639">
        <f t="shared" si="0"/>
        <v>17</v>
      </c>
      <c r="N21" s="677">
        <v>3</v>
      </c>
      <c r="O21" s="678" t="s">
        <v>25</v>
      </c>
      <c r="P21" s="677" t="s">
        <v>84</v>
      </c>
      <c r="Q21" s="677" t="s">
        <v>85</v>
      </c>
      <c r="R21" s="677" t="s">
        <v>86</v>
      </c>
      <c r="S21" s="677" t="s">
        <v>79</v>
      </c>
      <c r="T21" s="679">
        <v>2.9359999999999999</v>
      </c>
      <c r="U21" s="680">
        <v>7</v>
      </c>
    </row>
    <row r="22" spans="2:26" ht="29.5" customHeight="1" x14ac:dyDescent="0.35">
      <c r="B22" s="635">
        <v>20</v>
      </c>
      <c r="C22" s="640" t="s">
        <v>35</v>
      </c>
      <c r="D22" s="635" t="s">
        <v>76</v>
      </c>
      <c r="E22" s="635" t="s">
        <v>77</v>
      </c>
      <c r="F22" s="635" t="s">
        <v>93</v>
      </c>
      <c r="G22" s="635" t="s">
        <v>92</v>
      </c>
      <c r="H22" s="646">
        <v>80</v>
      </c>
      <c r="I22" s="635" t="s">
        <v>412</v>
      </c>
      <c r="J22" s="635" t="s">
        <v>440</v>
      </c>
      <c r="K22" s="637">
        <v>2.528</v>
      </c>
      <c r="L22" s="638">
        <f t="shared" si="0"/>
        <v>18</v>
      </c>
      <c r="N22" s="220">
        <v>4</v>
      </c>
      <c r="O22" s="221" t="s">
        <v>24</v>
      </c>
      <c r="P22" s="220" t="s">
        <v>76</v>
      </c>
      <c r="Q22" s="220" t="s">
        <v>82</v>
      </c>
      <c r="R22" s="220" t="s">
        <v>83</v>
      </c>
      <c r="S22" s="220" t="s">
        <v>70</v>
      </c>
      <c r="T22" s="415">
        <v>2.77</v>
      </c>
      <c r="U22" s="416">
        <v>10</v>
      </c>
    </row>
    <row r="23" spans="2:26" ht="29.5" customHeight="1" x14ac:dyDescent="0.35">
      <c r="B23" s="631">
        <v>21</v>
      </c>
      <c r="C23" s="632" t="s">
        <v>36</v>
      </c>
      <c r="D23" s="631" t="s">
        <v>94</v>
      </c>
      <c r="E23" s="631" t="s">
        <v>95</v>
      </c>
      <c r="F23" s="631" t="s">
        <v>96</v>
      </c>
      <c r="G23" s="631" t="s">
        <v>70</v>
      </c>
      <c r="H23" s="645">
        <v>352.12</v>
      </c>
      <c r="I23" s="631" t="s">
        <v>412</v>
      </c>
      <c r="J23" s="631" t="s">
        <v>415</v>
      </c>
      <c r="K23" s="633">
        <v>2.52</v>
      </c>
      <c r="L23" s="639">
        <f t="shared" si="0"/>
        <v>19</v>
      </c>
      <c r="N23" s="217">
        <v>5</v>
      </c>
      <c r="O23" s="218" t="s">
        <v>28</v>
      </c>
      <c r="P23" s="217" t="s">
        <v>68</v>
      </c>
      <c r="Q23" s="217" t="s">
        <v>74</v>
      </c>
      <c r="R23" s="217" t="s">
        <v>75</v>
      </c>
      <c r="S23" s="217" t="s">
        <v>70</v>
      </c>
      <c r="T23" s="412">
        <v>2.738</v>
      </c>
      <c r="U23" s="421">
        <v>11</v>
      </c>
    </row>
    <row r="24" spans="2:26" ht="29.5" customHeight="1" x14ac:dyDescent="0.35">
      <c r="B24" s="635">
        <v>22</v>
      </c>
      <c r="C24" s="636" t="s">
        <v>37</v>
      </c>
      <c r="D24" s="635" t="s">
        <v>84</v>
      </c>
      <c r="E24" s="635" t="s">
        <v>97</v>
      </c>
      <c r="F24" s="635" t="s">
        <v>98</v>
      </c>
      <c r="G24" s="635" t="s">
        <v>70</v>
      </c>
      <c r="H24" s="646">
        <v>205.22</v>
      </c>
      <c r="I24" s="635" t="s">
        <v>412</v>
      </c>
      <c r="J24" s="635" t="s">
        <v>415</v>
      </c>
      <c r="K24" s="637">
        <v>2.5040000000000004</v>
      </c>
      <c r="L24" s="638">
        <f t="shared" si="0"/>
        <v>20</v>
      </c>
      <c r="N24" s="220">
        <v>6</v>
      </c>
      <c r="O24" s="221" t="s">
        <v>31</v>
      </c>
      <c r="P24" s="220" t="s">
        <v>68</v>
      </c>
      <c r="Q24" s="220" t="s">
        <v>90</v>
      </c>
      <c r="R24" s="220" t="s">
        <v>91</v>
      </c>
      <c r="S24" s="220" t="s">
        <v>70</v>
      </c>
      <c r="T24" s="415">
        <v>2.5920000000000001</v>
      </c>
      <c r="U24" s="422">
        <v>13</v>
      </c>
    </row>
    <row r="25" spans="2:26" ht="29.5" customHeight="1" x14ac:dyDescent="0.35">
      <c r="B25" s="631">
        <v>23</v>
      </c>
      <c r="C25" s="632" t="s">
        <v>38</v>
      </c>
      <c r="D25" s="631" t="s">
        <v>76</v>
      </c>
      <c r="E25" s="631" t="s">
        <v>77</v>
      </c>
      <c r="F25" s="631" t="s">
        <v>99</v>
      </c>
      <c r="G25" s="631" t="s">
        <v>92</v>
      </c>
      <c r="H25" s="645">
        <v>91.214100000000002</v>
      </c>
      <c r="I25" s="631" t="s">
        <v>412</v>
      </c>
      <c r="J25" s="631" t="s">
        <v>440</v>
      </c>
      <c r="K25" s="633">
        <v>2.496</v>
      </c>
      <c r="L25" s="634">
        <f t="shared" si="0"/>
        <v>21</v>
      </c>
      <c r="N25" s="677">
        <v>7</v>
      </c>
      <c r="O25" s="678" t="s">
        <v>50</v>
      </c>
      <c r="P25" s="677" t="s">
        <v>94</v>
      </c>
      <c r="Q25" s="677" t="s">
        <v>94</v>
      </c>
      <c r="R25" s="677" t="s">
        <v>116</v>
      </c>
      <c r="S25" s="677" t="s">
        <v>70</v>
      </c>
      <c r="T25" s="679">
        <v>2.3540000000000001</v>
      </c>
      <c r="U25" s="680">
        <v>32</v>
      </c>
    </row>
    <row r="26" spans="2:26" ht="29.5" customHeight="1" x14ac:dyDescent="0.35">
      <c r="B26" s="635">
        <v>24</v>
      </c>
      <c r="C26" s="636" t="s">
        <v>39</v>
      </c>
      <c r="D26" s="635" t="s">
        <v>76</v>
      </c>
      <c r="E26" s="635" t="s">
        <v>77</v>
      </c>
      <c r="F26" s="635" t="s">
        <v>93</v>
      </c>
      <c r="G26" s="635" t="s">
        <v>92</v>
      </c>
      <c r="H26" s="646">
        <v>67.916300000000007</v>
      </c>
      <c r="I26" s="635" t="s">
        <v>412</v>
      </c>
      <c r="J26" s="635" t="s">
        <v>440</v>
      </c>
      <c r="K26" s="637">
        <v>2.496</v>
      </c>
      <c r="L26" s="638">
        <f t="shared" si="0"/>
        <v>22</v>
      </c>
      <c r="N26" s="220">
        <v>8</v>
      </c>
      <c r="O26" s="221" t="s">
        <v>55</v>
      </c>
      <c r="P26" s="220" t="s">
        <v>121</v>
      </c>
      <c r="Q26" s="220" t="s">
        <v>122</v>
      </c>
      <c r="R26" s="220" t="s">
        <v>123</v>
      </c>
      <c r="S26" s="220" t="s">
        <v>70</v>
      </c>
      <c r="T26" s="415">
        <v>2.1779999999999999</v>
      </c>
      <c r="U26" s="681">
        <v>38</v>
      </c>
    </row>
    <row r="27" spans="2:26" ht="29.5" customHeight="1" thickBot="1" x14ac:dyDescent="0.4">
      <c r="B27" s="631">
        <v>25</v>
      </c>
      <c r="C27" s="632" t="s">
        <v>40</v>
      </c>
      <c r="D27" s="631" t="s">
        <v>68</v>
      </c>
      <c r="E27" s="631" t="s">
        <v>100</v>
      </c>
      <c r="F27" s="631" t="s">
        <v>101</v>
      </c>
      <c r="G27" s="631" t="s">
        <v>92</v>
      </c>
      <c r="H27" s="645">
        <v>272</v>
      </c>
      <c r="I27" s="631" t="s">
        <v>412</v>
      </c>
      <c r="J27" s="631" t="s">
        <v>440</v>
      </c>
      <c r="K27" s="633">
        <v>2.4940000000000002</v>
      </c>
      <c r="L27" s="634">
        <f t="shared" si="0"/>
        <v>23</v>
      </c>
    </row>
    <row r="28" spans="2:26" ht="29.5" customHeight="1" thickBot="1" x14ac:dyDescent="0.4">
      <c r="B28" s="635">
        <v>26</v>
      </c>
      <c r="C28" s="636" t="s">
        <v>41</v>
      </c>
      <c r="D28" s="635" t="s">
        <v>76</v>
      </c>
      <c r="E28" s="635" t="s">
        <v>102</v>
      </c>
      <c r="F28" s="635" t="s">
        <v>103</v>
      </c>
      <c r="G28" s="635" t="s">
        <v>70</v>
      </c>
      <c r="H28" s="646">
        <v>1764.89</v>
      </c>
      <c r="I28" s="635" t="s">
        <v>435</v>
      </c>
      <c r="J28" s="635" t="s">
        <v>443</v>
      </c>
      <c r="K28" s="637">
        <v>2.476</v>
      </c>
      <c r="L28" s="638">
        <f t="shared" si="0"/>
        <v>24</v>
      </c>
      <c r="N28" s="769" t="s">
        <v>4</v>
      </c>
      <c r="O28" s="660" t="s">
        <v>5</v>
      </c>
      <c r="P28" s="660" t="s">
        <v>300</v>
      </c>
      <c r="Q28" s="667" t="s">
        <v>1077</v>
      </c>
      <c r="R28" s="667" t="s">
        <v>1079</v>
      </c>
      <c r="S28" s="668" t="s">
        <v>1428</v>
      </c>
      <c r="T28" s="668" t="s">
        <v>756</v>
      </c>
      <c r="U28" s="668" t="s">
        <v>1084</v>
      </c>
      <c r="V28" s="668" t="s">
        <v>1086</v>
      </c>
      <c r="W28" s="668" t="s">
        <v>1430</v>
      </c>
      <c r="X28" s="668" t="s">
        <v>1431</v>
      </c>
      <c r="Y28" s="688" t="s">
        <v>299</v>
      </c>
      <c r="Z28" s="767" t="s">
        <v>16</v>
      </c>
    </row>
    <row r="29" spans="2:26" ht="29.5" customHeight="1" x14ac:dyDescent="0.35">
      <c r="B29" s="631">
        <v>27</v>
      </c>
      <c r="C29" s="632" t="s">
        <v>49</v>
      </c>
      <c r="D29" s="631" t="s">
        <v>113</v>
      </c>
      <c r="E29" s="631" t="s">
        <v>114</v>
      </c>
      <c r="F29" s="631" t="s">
        <v>115</v>
      </c>
      <c r="G29" s="631" t="s">
        <v>70</v>
      </c>
      <c r="H29" s="645">
        <v>251.43</v>
      </c>
      <c r="I29" s="631" t="s">
        <v>444</v>
      </c>
      <c r="J29" s="631" t="s">
        <v>415</v>
      </c>
      <c r="K29" s="633">
        <v>2.4500000000000002</v>
      </c>
      <c r="L29" s="639">
        <f t="shared" si="0"/>
        <v>25</v>
      </c>
      <c r="N29" s="770"/>
      <c r="O29" s="669" t="s">
        <v>1436</v>
      </c>
      <c r="P29" s="670">
        <v>0.8</v>
      </c>
      <c r="Q29" s="670">
        <v>0.6</v>
      </c>
      <c r="R29" s="670">
        <v>0.6</v>
      </c>
      <c r="S29" s="671">
        <v>0.4</v>
      </c>
      <c r="T29" s="671">
        <v>0.48</v>
      </c>
      <c r="U29" s="671">
        <v>0.4</v>
      </c>
      <c r="V29" s="671">
        <v>0.16</v>
      </c>
      <c r="W29" s="671">
        <v>0.32</v>
      </c>
      <c r="X29" s="671">
        <v>0.24</v>
      </c>
      <c r="Y29" s="671">
        <v>4</v>
      </c>
      <c r="Z29" s="768"/>
    </row>
    <row r="30" spans="2:26" ht="29.5" customHeight="1" x14ac:dyDescent="0.35">
      <c r="B30" s="635">
        <v>28</v>
      </c>
      <c r="C30" s="636" t="s">
        <v>42</v>
      </c>
      <c r="D30" s="635" t="s">
        <v>68</v>
      </c>
      <c r="E30" s="635" t="s">
        <v>68</v>
      </c>
      <c r="F30" s="635" t="s">
        <v>81</v>
      </c>
      <c r="G30" s="635" t="s">
        <v>70</v>
      </c>
      <c r="H30" s="646">
        <v>634.9</v>
      </c>
      <c r="I30" s="635" t="s">
        <v>444</v>
      </c>
      <c r="J30" s="635" t="s">
        <v>436</v>
      </c>
      <c r="K30" s="637">
        <v>2.4400000000000004</v>
      </c>
      <c r="L30" s="638">
        <f t="shared" si="0"/>
        <v>26</v>
      </c>
      <c r="N30" s="217">
        <v>1</v>
      </c>
      <c r="O30" s="218" t="s">
        <v>49</v>
      </c>
      <c r="P30" s="623">
        <v>0.24000000000000005</v>
      </c>
      <c r="Q30" s="414">
        <v>0.6</v>
      </c>
      <c r="R30" s="421">
        <v>0.15</v>
      </c>
      <c r="S30" s="625">
        <v>0.27999999999999997</v>
      </c>
      <c r="T30" s="624">
        <v>0.48</v>
      </c>
      <c r="U30" s="624">
        <v>0.32000000000000006</v>
      </c>
      <c r="V30" s="624">
        <v>0</v>
      </c>
      <c r="W30" s="624">
        <v>0.32</v>
      </c>
      <c r="X30" s="624">
        <v>0.06</v>
      </c>
      <c r="Y30" s="412">
        <v>2.4500000000000002</v>
      </c>
      <c r="Z30" s="420">
        <v>25</v>
      </c>
    </row>
    <row r="31" spans="2:26" ht="29.5" customHeight="1" x14ac:dyDescent="0.35">
      <c r="B31" s="631">
        <v>29</v>
      </c>
      <c r="C31" s="632" t="s">
        <v>44</v>
      </c>
      <c r="D31" s="631" t="s">
        <v>76</v>
      </c>
      <c r="E31" s="631" t="s">
        <v>107</v>
      </c>
      <c r="F31" s="631" t="s">
        <v>108</v>
      </c>
      <c r="G31" s="631" t="s">
        <v>92</v>
      </c>
      <c r="H31" s="645">
        <v>65</v>
      </c>
      <c r="I31" s="631" t="s">
        <v>412</v>
      </c>
      <c r="J31" s="631" t="s">
        <v>440</v>
      </c>
      <c r="K31" s="633">
        <v>2.4319999999999999</v>
      </c>
      <c r="L31" s="634">
        <f t="shared" si="0"/>
        <v>27</v>
      </c>
      <c r="N31" s="689">
        <v>2</v>
      </c>
      <c r="O31" s="690" t="s">
        <v>235</v>
      </c>
      <c r="P31" s="691">
        <v>0.34000000000000008</v>
      </c>
      <c r="Q31" s="692">
        <v>0.36</v>
      </c>
      <c r="R31" s="681">
        <v>0</v>
      </c>
      <c r="S31" s="693">
        <v>0.36</v>
      </c>
      <c r="T31" s="694">
        <v>0.432</v>
      </c>
      <c r="U31" s="694">
        <v>0.32000000000000006</v>
      </c>
      <c r="V31" s="694">
        <v>0.16</v>
      </c>
      <c r="W31" s="694">
        <v>0.24800000000000003</v>
      </c>
      <c r="X31" s="694">
        <v>7.2000000000000008E-2</v>
      </c>
      <c r="Y31" s="695">
        <v>2.2920000000000003</v>
      </c>
      <c r="Z31" s="681">
        <v>35</v>
      </c>
    </row>
    <row r="32" spans="2:26" ht="29.5" customHeight="1" x14ac:dyDescent="0.35">
      <c r="B32" s="635">
        <v>30</v>
      </c>
      <c r="C32" s="636" t="s">
        <v>45</v>
      </c>
      <c r="D32" s="635" t="s">
        <v>76</v>
      </c>
      <c r="E32" s="635" t="s">
        <v>76</v>
      </c>
      <c r="F32" s="635" t="s">
        <v>109</v>
      </c>
      <c r="G32" s="635" t="s">
        <v>70</v>
      </c>
      <c r="H32" s="646">
        <v>316.35000000000002</v>
      </c>
      <c r="I32" s="635" t="s">
        <v>435</v>
      </c>
      <c r="J32" s="635" t="s">
        <v>436</v>
      </c>
      <c r="K32" s="637">
        <v>2.4260000000000002</v>
      </c>
      <c r="L32" s="638">
        <f t="shared" si="0"/>
        <v>28</v>
      </c>
    </row>
    <row r="33" spans="2:24" ht="29.5" customHeight="1" x14ac:dyDescent="0.35">
      <c r="B33" s="631">
        <v>31</v>
      </c>
      <c r="C33" s="632" t="s">
        <v>47</v>
      </c>
      <c r="D33" s="631" t="s">
        <v>68</v>
      </c>
      <c r="E33" s="631" t="s">
        <v>68</v>
      </c>
      <c r="F33" s="631" t="s">
        <v>111</v>
      </c>
      <c r="G33" s="631" t="s">
        <v>92</v>
      </c>
      <c r="H33" s="645">
        <v>130.62530000000001</v>
      </c>
      <c r="I33" s="631" t="s">
        <v>435</v>
      </c>
      <c r="J33" s="631" t="s">
        <v>440</v>
      </c>
      <c r="K33" s="633">
        <v>2.3800000000000003</v>
      </c>
      <c r="L33" s="634">
        <f t="shared" si="0"/>
        <v>29</v>
      </c>
    </row>
    <row r="34" spans="2:24" ht="49" customHeight="1" x14ac:dyDescent="0.35">
      <c r="B34" s="635">
        <v>32</v>
      </c>
      <c r="C34" s="636" t="s">
        <v>46</v>
      </c>
      <c r="D34" s="635" t="s">
        <v>104</v>
      </c>
      <c r="E34" s="635" t="s">
        <v>104</v>
      </c>
      <c r="F34" s="635" t="s">
        <v>110</v>
      </c>
      <c r="G34" s="635" t="s">
        <v>92</v>
      </c>
      <c r="H34" s="646">
        <v>153</v>
      </c>
      <c r="I34" s="635" t="s">
        <v>435</v>
      </c>
      <c r="J34" s="635" t="s">
        <v>440</v>
      </c>
      <c r="K34" s="637">
        <v>2.3800000000000003</v>
      </c>
      <c r="L34" s="638">
        <f t="shared" si="0"/>
        <v>30</v>
      </c>
      <c r="O34" s="662" t="s">
        <v>5</v>
      </c>
      <c r="P34" s="699" t="s">
        <v>1436</v>
      </c>
      <c r="Q34" s="700" t="s">
        <v>49</v>
      </c>
      <c r="R34" s="701" t="s">
        <v>235</v>
      </c>
    </row>
    <row r="35" spans="2:24" ht="29.5" customHeight="1" x14ac:dyDescent="0.35">
      <c r="B35" s="631">
        <v>33</v>
      </c>
      <c r="C35" s="632" t="s">
        <v>48</v>
      </c>
      <c r="D35" s="631" t="s">
        <v>76</v>
      </c>
      <c r="E35" s="631" t="s">
        <v>76</v>
      </c>
      <c r="F35" s="631" t="s">
        <v>112</v>
      </c>
      <c r="G35" s="631" t="s">
        <v>92</v>
      </c>
      <c r="H35" s="645">
        <v>115.8685</v>
      </c>
      <c r="I35" s="631" t="s">
        <v>435</v>
      </c>
      <c r="J35" s="631" t="s">
        <v>440</v>
      </c>
      <c r="K35" s="633">
        <v>2.3760000000000003</v>
      </c>
      <c r="L35" s="634">
        <f t="shared" si="0"/>
        <v>31</v>
      </c>
      <c r="O35" s="662" t="s">
        <v>300</v>
      </c>
      <c r="P35" s="670">
        <v>0.8</v>
      </c>
      <c r="Q35" s="648">
        <v>0.24000000000000005</v>
      </c>
      <c r="R35" s="704">
        <v>0.34000000000000008</v>
      </c>
    </row>
    <row r="36" spans="2:24" ht="29.5" customHeight="1" x14ac:dyDescent="0.35">
      <c r="B36" s="635">
        <v>34</v>
      </c>
      <c r="C36" s="636" t="s">
        <v>50</v>
      </c>
      <c r="D36" s="635" t="s">
        <v>94</v>
      </c>
      <c r="E36" s="635" t="s">
        <v>94</v>
      </c>
      <c r="F36" s="635" t="s">
        <v>116</v>
      </c>
      <c r="G36" s="635" t="s">
        <v>70</v>
      </c>
      <c r="H36" s="646">
        <v>255.86</v>
      </c>
      <c r="I36" s="635" t="s">
        <v>435</v>
      </c>
      <c r="J36" s="635" t="s">
        <v>443</v>
      </c>
      <c r="K36" s="637">
        <v>2.3540000000000001</v>
      </c>
      <c r="L36" s="638">
        <f t="shared" si="0"/>
        <v>32</v>
      </c>
      <c r="O36" s="696" t="s">
        <v>1077</v>
      </c>
      <c r="P36" s="670">
        <v>0.6</v>
      </c>
      <c r="Q36" s="650">
        <v>0.6</v>
      </c>
      <c r="R36" s="705">
        <v>0.36</v>
      </c>
    </row>
    <row r="37" spans="2:24" ht="29.5" customHeight="1" x14ac:dyDescent="0.35">
      <c r="B37" s="631">
        <v>35</v>
      </c>
      <c r="C37" s="632" t="s">
        <v>51</v>
      </c>
      <c r="D37" s="631" t="s">
        <v>76</v>
      </c>
      <c r="E37" s="631" t="s">
        <v>77</v>
      </c>
      <c r="F37" s="631" t="s">
        <v>93</v>
      </c>
      <c r="G37" s="631" t="s">
        <v>92</v>
      </c>
      <c r="H37" s="645">
        <v>300</v>
      </c>
      <c r="I37" s="631" t="s">
        <v>435</v>
      </c>
      <c r="J37" s="631" t="s">
        <v>440</v>
      </c>
      <c r="K37" s="633">
        <v>2.3480000000000003</v>
      </c>
      <c r="L37" s="634">
        <f t="shared" si="0"/>
        <v>33</v>
      </c>
      <c r="O37" s="696" t="s">
        <v>1079</v>
      </c>
      <c r="P37" s="670">
        <v>0.6</v>
      </c>
      <c r="Q37" s="625">
        <v>0.15</v>
      </c>
      <c r="R37" s="706">
        <v>0</v>
      </c>
    </row>
    <row r="38" spans="2:24" ht="29.5" customHeight="1" x14ac:dyDescent="0.35">
      <c r="B38" s="635">
        <v>36</v>
      </c>
      <c r="C38" s="636" t="s">
        <v>52</v>
      </c>
      <c r="D38" s="635" t="s">
        <v>76</v>
      </c>
      <c r="E38" s="635" t="s">
        <v>117</v>
      </c>
      <c r="F38" s="635" t="s">
        <v>118</v>
      </c>
      <c r="G38" s="635" t="s">
        <v>92</v>
      </c>
      <c r="H38" s="646">
        <v>197.01</v>
      </c>
      <c r="I38" s="635" t="s">
        <v>412</v>
      </c>
      <c r="J38" s="635" t="s">
        <v>440</v>
      </c>
      <c r="K38" s="637">
        <v>2.306</v>
      </c>
      <c r="L38" s="638">
        <f t="shared" si="0"/>
        <v>34</v>
      </c>
      <c r="O38" s="697" t="s">
        <v>1428</v>
      </c>
      <c r="P38" s="671">
        <v>0.4</v>
      </c>
      <c r="Q38" s="625">
        <v>0.27999999999999997</v>
      </c>
      <c r="R38" s="702">
        <v>0.36</v>
      </c>
    </row>
    <row r="39" spans="2:24" ht="29.5" customHeight="1" x14ac:dyDescent="0.35">
      <c r="B39" s="631">
        <v>37</v>
      </c>
      <c r="C39" s="632" t="s">
        <v>235</v>
      </c>
      <c r="D39" s="631" t="s">
        <v>113</v>
      </c>
      <c r="E39" s="631" t="s">
        <v>236</v>
      </c>
      <c r="F39" s="631" t="s">
        <v>237</v>
      </c>
      <c r="G39" s="631" t="s">
        <v>70</v>
      </c>
      <c r="H39" s="645">
        <v>405.84</v>
      </c>
      <c r="I39" s="631" t="s">
        <v>444</v>
      </c>
      <c r="J39" s="631" t="s">
        <v>436</v>
      </c>
      <c r="K39" s="633">
        <v>2.2920000000000003</v>
      </c>
      <c r="L39" s="634">
        <f t="shared" si="0"/>
        <v>35</v>
      </c>
      <c r="O39" s="697" t="s">
        <v>756</v>
      </c>
      <c r="P39" s="671">
        <v>0.48</v>
      </c>
      <c r="Q39" s="625">
        <v>0.48</v>
      </c>
      <c r="R39" s="702">
        <v>0.432</v>
      </c>
    </row>
    <row r="40" spans="2:24" ht="29.5" customHeight="1" x14ac:dyDescent="0.35">
      <c r="B40" s="635">
        <v>38</v>
      </c>
      <c r="C40" s="636" t="s">
        <v>53</v>
      </c>
      <c r="D40" s="635" t="s">
        <v>119</v>
      </c>
      <c r="E40" s="635" t="s">
        <v>119</v>
      </c>
      <c r="F40" s="635" t="s">
        <v>120</v>
      </c>
      <c r="G40" s="635" t="s">
        <v>70</v>
      </c>
      <c r="H40" s="646">
        <v>300</v>
      </c>
      <c r="I40" s="635" t="s">
        <v>444</v>
      </c>
      <c r="J40" s="635" t="s">
        <v>436</v>
      </c>
      <c r="K40" s="637">
        <v>2.2640000000000002</v>
      </c>
      <c r="L40" s="639">
        <f t="shared" si="0"/>
        <v>36</v>
      </c>
      <c r="O40" s="697" t="s">
        <v>1084</v>
      </c>
      <c r="P40" s="671">
        <v>0.4</v>
      </c>
      <c r="Q40" s="625">
        <v>0.32000000000000006</v>
      </c>
      <c r="R40" s="702">
        <v>0.32000000000000006</v>
      </c>
    </row>
    <row r="41" spans="2:24" ht="29.5" customHeight="1" x14ac:dyDescent="0.35">
      <c r="B41" s="631">
        <v>39</v>
      </c>
      <c r="C41" s="632" t="s">
        <v>54</v>
      </c>
      <c r="D41" s="631" t="s">
        <v>76</v>
      </c>
      <c r="E41" s="631" t="s">
        <v>117</v>
      </c>
      <c r="F41" s="631" t="s">
        <v>118</v>
      </c>
      <c r="G41" s="631" t="s">
        <v>92</v>
      </c>
      <c r="H41" s="645">
        <v>75.47</v>
      </c>
      <c r="I41" s="631" t="s">
        <v>412</v>
      </c>
      <c r="J41" s="631" t="s">
        <v>440</v>
      </c>
      <c r="K41" s="633">
        <v>2.246</v>
      </c>
      <c r="L41" s="634">
        <f t="shared" si="0"/>
        <v>37</v>
      </c>
      <c r="O41" s="697" t="s">
        <v>1086</v>
      </c>
      <c r="P41" s="671">
        <v>0.16</v>
      </c>
      <c r="Q41" s="625">
        <v>0</v>
      </c>
      <c r="R41" s="702">
        <v>0.16</v>
      </c>
    </row>
    <row r="42" spans="2:24" ht="29.5" customHeight="1" x14ac:dyDescent="0.35">
      <c r="B42" s="635">
        <v>40</v>
      </c>
      <c r="C42" s="636" t="s">
        <v>55</v>
      </c>
      <c r="D42" s="635" t="s">
        <v>121</v>
      </c>
      <c r="E42" s="635" t="s">
        <v>122</v>
      </c>
      <c r="F42" s="635" t="s">
        <v>123</v>
      </c>
      <c r="G42" s="635" t="s">
        <v>70</v>
      </c>
      <c r="H42" s="646">
        <v>602.41999999999996</v>
      </c>
      <c r="I42" s="635" t="s">
        <v>435</v>
      </c>
      <c r="J42" s="635" t="s">
        <v>415</v>
      </c>
      <c r="K42" s="637">
        <v>2.1779999999999999</v>
      </c>
      <c r="L42" s="639">
        <f t="shared" si="0"/>
        <v>38</v>
      </c>
      <c r="O42" s="697" t="s">
        <v>1430</v>
      </c>
      <c r="P42" s="671">
        <v>0.32</v>
      </c>
      <c r="Q42" s="625">
        <v>0.32</v>
      </c>
      <c r="R42" s="702">
        <v>0.24800000000000003</v>
      </c>
      <c r="U42" s="769" t="s">
        <v>4</v>
      </c>
      <c r="V42" s="770"/>
      <c r="W42" s="217">
        <v>1</v>
      </c>
      <c r="X42" s="689">
        <v>2</v>
      </c>
    </row>
    <row r="43" spans="2:24" ht="29.5" customHeight="1" thickBot="1" x14ac:dyDescent="0.4">
      <c r="B43" s="631">
        <v>41</v>
      </c>
      <c r="C43" s="632" t="s">
        <v>57</v>
      </c>
      <c r="D43" s="631" t="s">
        <v>76</v>
      </c>
      <c r="E43" s="631" t="s">
        <v>124</v>
      </c>
      <c r="F43" s="631" t="s">
        <v>125</v>
      </c>
      <c r="G43" s="631" t="s">
        <v>70</v>
      </c>
      <c r="H43" s="645">
        <v>320.37</v>
      </c>
      <c r="I43" s="631" t="s">
        <v>444</v>
      </c>
      <c r="J43" s="631" t="s">
        <v>436</v>
      </c>
      <c r="K43" s="633">
        <v>2.08</v>
      </c>
      <c r="L43" s="634">
        <f t="shared" si="0"/>
        <v>39</v>
      </c>
      <c r="O43" s="697" t="s">
        <v>1431</v>
      </c>
      <c r="P43" s="671">
        <v>0.24</v>
      </c>
      <c r="Q43" s="625">
        <v>0.06</v>
      </c>
      <c r="R43" s="702">
        <v>7.2000000000000008E-2</v>
      </c>
    </row>
    <row r="44" spans="2:24" ht="29.5" customHeight="1" thickBot="1" x14ac:dyDescent="0.4">
      <c r="B44" s="635">
        <v>42</v>
      </c>
      <c r="C44" s="636" t="s">
        <v>58</v>
      </c>
      <c r="D44" s="635" t="s">
        <v>104</v>
      </c>
      <c r="E44" s="635" t="s">
        <v>126</v>
      </c>
      <c r="F44" s="635" t="s">
        <v>127</v>
      </c>
      <c r="G44" s="635" t="s">
        <v>70</v>
      </c>
      <c r="H44" s="646">
        <v>500</v>
      </c>
      <c r="I44" s="635" t="s">
        <v>444</v>
      </c>
      <c r="J44" s="635" t="s">
        <v>443</v>
      </c>
      <c r="K44" s="637">
        <v>2.0760000000000001</v>
      </c>
      <c r="L44" s="638">
        <f t="shared" si="0"/>
        <v>40</v>
      </c>
      <c r="O44" s="698" t="s">
        <v>299</v>
      </c>
      <c r="P44" s="671">
        <v>4</v>
      </c>
      <c r="Q44" s="412">
        <v>2.4500000000000002</v>
      </c>
      <c r="R44" s="703">
        <v>2.2920000000000003</v>
      </c>
    </row>
    <row r="45" spans="2:24" ht="29.5" customHeight="1" x14ac:dyDescent="0.35">
      <c r="B45" s="631">
        <v>43</v>
      </c>
      <c r="C45" s="632" t="s">
        <v>59</v>
      </c>
      <c r="D45" s="631" t="s">
        <v>121</v>
      </c>
      <c r="E45" s="631" t="s">
        <v>128</v>
      </c>
      <c r="F45" s="631" t="s">
        <v>129</v>
      </c>
      <c r="G45" s="631" t="s">
        <v>70</v>
      </c>
      <c r="H45" s="645">
        <v>107.73</v>
      </c>
      <c r="I45" s="631" t="s">
        <v>435</v>
      </c>
      <c r="J45" s="631" t="s">
        <v>443</v>
      </c>
      <c r="K45" s="633">
        <v>1.9720000000000002</v>
      </c>
      <c r="L45" s="634">
        <f t="shared" si="0"/>
        <v>41</v>
      </c>
      <c r="O45" s="771" t="s">
        <v>16</v>
      </c>
      <c r="P45" s="772"/>
      <c r="Q45" s="680">
        <v>25</v>
      </c>
      <c r="R45" s="680">
        <v>35</v>
      </c>
    </row>
    <row r="46" spans="2:24" ht="29.5" customHeight="1" x14ac:dyDescent="0.35">
      <c r="B46" s="635">
        <v>44</v>
      </c>
      <c r="C46" s="636" t="s">
        <v>60</v>
      </c>
      <c r="D46" s="635" t="s">
        <v>113</v>
      </c>
      <c r="E46" s="635" t="s">
        <v>130</v>
      </c>
      <c r="F46" s="635" t="s">
        <v>131</v>
      </c>
      <c r="G46" s="635" t="s">
        <v>70</v>
      </c>
      <c r="H46" s="646">
        <v>242.34</v>
      </c>
      <c r="I46" s="635" t="s">
        <v>444</v>
      </c>
      <c r="J46" s="635" t="s">
        <v>436</v>
      </c>
      <c r="K46" s="637">
        <v>1.9140000000000001</v>
      </c>
      <c r="L46" s="638">
        <f t="shared" si="0"/>
        <v>42</v>
      </c>
    </row>
    <row r="47" spans="2:24" ht="29.5" customHeight="1" x14ac:dyDescent="0.35">
      <c r="B47" s="631">
        <v>45</v>
      </c>
      <c r="C47" s="632" t="s">
        <v>61</v>
      </c>
      <c r="D47" s="631" t="s">
        <v>76</v>
      </c>
      <c r="E47" s="631" t="s">
        <v>132</v>
      </c>
      <c r="F47" s="631" t="s">
        <v>133</v>
      </c>
      <c r="G47" s="631" t="s">
        <v>70</v>
      </c>
      <c r="H47" s="645">
        <v>525.26499999999999</v>
      </c>
      <c r="I47" s="631" t="s">
        <v>444</v>
      </c>
      <c r="J47" s="631" t="s">
        <v>436</v>
      </c>
      <c r="K47" s="633">
        <v>1.8640000000000003</v>
      </c>
      <c r="L47" s="634">
        <f t="shared" si="0"/>
        <v>43</v>
      </c>
    </row>
    <row r="48" spans="2:24" ht="29.5" customHeight="1" x14ac:dyDescent="0.35">
      <c r="B48" s="635">
        <v>46</v>
      </c>
      <c r="C48" s="636" t="s">
        <v>62</v>
      </c>
      <c r="D48" s="635" t="s">
        <v>119</v>
      </c>
      <c r="E48" s="635" t="s">
        <v>134</v>
      </c>
      <c r="F48" s="635" t="s">
        <v>135</v>
      </c>
      <c r="G48" s="635" t="s">
        <v>70</v>
      </c>
      <c r="H48" s="646">
        <v>304.07</v>
      </c>
      <c r="I48" s="635" t="s">
        <v>444</v>
      </c>
      <c r="J48" s="635" t="s">
        <v>436</v>
      </c>
      <c r="K48" s="637">
        <v>1.778</v>
      </c>
      <c r="L48" s="638">
        <f t="shared" si="0"/>
        <v>44</v>
      </c>
    </row>
    <row r="49" spans="2:12" ht="29.5" customHeight="1" x14ac:dyDescent="0.35">
      <c r="B49" s="631">
        <v>47</v>
      </c>
      <c r="C49" s="642" t="s">
        <v>63</v>
      </c>
      <c r="D49" s="641" t="s">
        <v>104</v>
      </c>
      <c r="E49" s="641" t="s">
        <v>136</v>
      </c>
      <c r="F49" s="641" t="s">
        <v>137</v>
      </c>
      <c r="G49" s="641" t="s">
        <v>70</v>
      </c>
      <c r="H49" s="647">
        <v>403.63</v>
      </c>
      <c r="I49" s="641" t="s">
        <v>435</v>
      </c>
      <c r="J49" s="641" t="s">
        <v>436</v>
      </c>
      <c r="K49" s="643">
        <v>1.5880000000000001</v>
      </c>
      <c r="L49" s="644">
        <f t="shared" si="0"/>
        <v>45</v>
      </c>
    </row>
  </sheetData>
  <mergeCells count="6">
    <mergeCell ref="Z28:Z29"/>
    <mergeCell ref="N28:N29"/>
    <mergeCell ref="U42:V42"/>
    <mergeCell ref="O45:P45"/>
    <mergeCell ref="L3:L5"/>
    <mergeCell ref="U3:U5"/>
  </mergeCells>
  <conditionalFormatting sqref="Z30:Z31">
    <cfRule type="cellIs" dxfId="2790" priority="7" operator="lessThan">
      <formula>10</formula>
    </cfRule>
  </conditionalFormatting>
  <conditionalFormatting sqref="Q45:R45">
    <cfRule type="cellIs" dxfId="2789" priority="1" operator="lessThan">
      <formula>10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59DAC-AEB2-4DB7-86C9-BB81A0FCCB1B}">
  <dimension ref="B1:AV55"/>
  <sheetViews>
    <sheetView topLeftCell="A20" zoomScale="70" zoomScaleNormal="70" workbookViewId="0">
      <selection activeCell="AM21" sqref="B21:AM36"/>
    </sheetView>
  </sheetViews>
  <sheetFormatPr defaultColWidth="16.81640625" defaultRowHeight="14.5" x14ac:dyDescent="0.35"/>
  <cols>
    <col min="1" max="1" width="3.90625" customWidth="1"/>
    <col min="2" max="2" width="9.81640625" customWidth="1"/>
    <col min="3" max="3" width="30.453125" customWidth="1"/>
    <col min="4" max="4" width="13.81640625" bestFit="1" customWidth="1"/>
    <col min="5" max="6" width="16.6328125" bestFit="1" customWidth="1"/>
    <col min="7" max="7" width="27.08984375" customWidth="1"/>
    <col min="8" max="8" width="14.6328125" bestFit="1" customWidth="1"/>
    <col min="9" max="9" width="15.81640625" bestFit="1" customWidth="1"/>
    <col min="11" max="11" width="18.81640625" customWidth="1"/>
    <col min="12" max="12" width="16.6328125" bestFit="1" customWidth="1"/>
    <col min="13" max="13" width="15.36328125" bestFit="1" customWidth="1"/>
    <col min="14" max="14" width="14.90625" bestFit="1" customWidth="1"/>
    <col min="15" max="15" width="15.1796875" bestFit="1" customWidth="1"/>
    <col min="16" max="16" width="13.81640625" bestFit="1" customWidth="1"/>
    <col min="17" max="18" width="15.1796875" bestFit="1" customWidth="1"/>
    <col min="19" max="19" width="16.36328125" bestFit="1" customWidth="1"/>
    <col min="20" max="20" width="13.81640625" bestFit="1" customWidth="1"/>
    <col min="21" max="21" width="16.54296875" bestFit="1" customWidth="1"/>
    <col min="22" max="22" width="16.36328125" bestFit="1" customWidth="1"/>
    <col min="23" max="23" width="14.1796875" bestFit="1" customWidth="1"/>
    <col min="24" max="24" width="15.08984375" bestFit="1" customWidth="1"/>
    <col min="25" max="26" width="14.08984375" bestFit="1" customWidth="1"/>
    <col min="27" max="27" width="15.1796875" bestFit="1" customWidth="1"/>
    <col min="28" max="28" width="13.81640625" bestFit="1" customWidth="1"/>
    <col min="29" max="29" width="13.453125" bestFit="1" customWidth="1"/>
    <col min="30" max="30" width="18.1796875" customWidth="1"/>
    <col min="31" max="31" width="14.36328125" bestFit="1" customWidth="1"/>
    <col min="32" max="32" width="15.81640625" bestFit="1" customWidth="1"/>
    <col min="33" max="33" width="16.08984375" bestFit="1" customWidth="1"/>
    <col min="34" max="34" width="14.08984375" bestFit="1" customWidth="1"/>
    <col min="35" max="35" width="10.1796875" bestFit="1" customWidth="1"/>
    <col min="36" max="36" width="15.36328125" bestFit="1" customWidth="1"/>
    <col min="37" max="37" width="12.453125" bestFit="1" customWidth="1"/>
    <col min="38" max="38" width="14.453125" bestFit="1" customWidth="1"/>
    <col min="39" max="39" width="18.453125" customWidth="1"/>
    <col min="40" max="40" width="15.54296875" bestFit="1" customWidth="1"/>
    <col min="41" max="41" width="14.81640625" bestFit="1" customWidth="1"/>
    <col min="42" max="42" width="15.1796875" bestFit="1" customWidth="1"/>
    <col min="43" max="43" width="14.81640625" bestFit="1" customWidth="1"/>
    <col min="44" max="44" width="15.453125" bestFit="1" customWidth="1"/>
    <col min="45" max="45" width="15.1796875" bestFit="1" customWidth="1"/>
    <col min="46" max="46" width="18.54296875" customWidth="1"/>
    <col min="47" max="48" width="13.90625" bestFit="1" customWidth="1"/>
  </cols>
  <sheetData>
    <row r="1" spans="2:48" x14ac:dyDescent="0.35">
      <c r="D1" s="652"/>
      <c r="E1" s="652"/>
      <c r="F1" s="652"/>
      <c r="G1" s="652"/>
      <c r="H1" s="653"/>
      <c r="I1" s="652"/>
      <c r="J1" s="652"/>
      <c r="K1" s="654"/>
      <c r="L1" s="652"/>
      <c r="M1" s="652"/>
      <c r="N1" s="654"/>
      <c r="O1" s="655"/>
      <c r="P1" s="656"/>
      <c r="Q1" s="656"/>
      <c r="R1" s="656"/>
      <c r="S1" s="656"/>
      <c r="T1" s="656"/>
      <c r="U1" s="657"/>
      <c r="V1" s="656"/>
      <c r="W1" s="656"/>
      <c r="X1" s="656"/>
      <c r="Y1" s="657"/>
      <c r="Z1" s="656"/>
      <c r="AA1" s="656"/>
      <c r="AB1" s="656"/>
      <c r="AC1" s="656"/>
      <c r="AD1" s="657"/>
      <c r="AE1" s="656"/>
      <c r="AF1" s="656"/>
      <c r="AG1" s="657"/>
      <c r="AH1" s="656"/>
      <c r="AI1" s="656"/>
      <c r="AJ1" s="656"/>
      <c r="AK1" s="656"/>
      <c r="AL1" s="656"/>
      <c r="AM1" s="657"/>
      <c r="AN1" s="656"/>
      <c r="AO1" s="656"/>
      <c r="AP1" s="658"/>
      <c r="AQ1" s="658"/>
      <c r="AR1" s="658"/>
      <c r="AS1" s="658"/>
      <c r="AT1" s="659"/>
      <c r="AU1" s="659"/>
      <c r="AV1" s="659"/>
    </row>
    <row r="2" spans="2:48" ht="40.5" x14ac:dyDescent="0.35">
      <c r="B2" s="783" t="s">
        <v>4</v>
      </c>
      <c r="C2" s="660" t="s">
        <v>5</v>
      </c>
      <c r="D2" s="660" t="s">
        <v>300</v>
      </c>
      <c r="E2" s="667" t="s">
        <v>1077</v>
      </c>
      <c r="F2" s="667" t="s">
        <v>1079</v>
      </c>
      <c r="G2" s="668" t="s">
        <v>1428</v>
      </c>
      <c r="H2" s="668" t="s">
        <v>756</v>
      </c>
      <c r="I2" s="668" t="s">
        <v>1084</v>
      </c>
      <c r="J2" s="668" t="s">
        <v>1086</v>
      </c>
      <c r="K2" s="668" t="s">
        <v>1430</v>
      </c>
      <c r="L2" s="668" t="s">
        <v>1431</v>
      </c>
      <c r="M2" s="668" t="s">
        <v>299</v>
      </c>
      <c r="N2" s="781" t="s">
        <v>16</v>
      </c>
    </row>
    <row r="3" spans="2:48" ht="29" customHeight="1" x14ac:dyDescent="0.35">
      <c r="B3" s="784"/>
      <c r="C3" s="669" t="s">
        <v>1436</v>
      </c>
      <c r="D3" s="670">
        <v>0.8</v>
      </c>
      <c r="E3" s="670">
        <v>0.6</v>
      </c>
      <c r="F3" s="670">
        <v>0.6</v>
      </c>
      <c r="G3" s="671">
        <v>0.4</v>
      </c>
      <c r="H3" s="671">
        <v>0.48</v>
      </c>
      <c r="I3" s="671">
        <v>0.4</v>
      </c>
      <c r="J3" s="671">
        <v>0.16</v>
      </c>
      <c r="K3" s="671">
        <v>0.32</v>
      </c>
      <c r="L3" s="671">
        <v>0.24</v>
      </c>
      <c r="M3" s="671">
        <v>4</v>
      </c>
      <c r="N3" s="782"/>
    </row>
    <row r="4" spans="2:48" ht="29" customHeight="1" x14ac:dyDescent="0.35">
      <c r="B4" s="660"/>
      <c r="C4" s="662" t="s">
        <v>1437</v>
      </c>
      <c r="D4" s="664">
        <v>0.4</v>
      </c>
      <c r="E4" s="664">
        <v>0.3</v>
      </c>
      <c r="F4" s="664">
        <v>0.3</v>
      </c>
      <c r="G4" s="666">
        <v>0.2</v>
      </c>
      <c r="H4" s="666">
        <v>0.24</v>
      </c>
      <c r="I4" s="666">
        <v>0.2</v>
      </c>
      <c r="J4" s="666">
        <v>0.08</v>
      </c>
      <c r="K4" s="666">
        <v>0.16</v>
      </c>
      <c r="L4" s="666">
        <v>0.12</v>
      </c>
      <c r="M4" s="666">
        <v>2</v>
      </c>
      <c r="N4" s="661"/>
    </row>
    <row r="5" spans="2:48" ht="25" customHeight="1" x14ac:dyDescent="0.35">
      <c r="B5" s="217">
        <v>1</v>
      </c>
      <c r="C5" s="218" t="s">
        <v>18</v>
      </c>
      <c r="D5" s="649">
        <v>0.76000000000000012</v>
      </c>
      <c r="E5" s="649">
        <v>0.6</v>
      </c>
      <c r="F5" s="649">
        <v>0.3</v>
      </c>
      <c r="G5" s="649">
        <v>0.4</v>
      </c>
      <c r="H5" s="649">
        <v>0.48</v>
      </c>
      <c r="I5" s="649">
        <v>0.4</v>
      </c>
      <c r="J5" s="649">
        <v>0</v>
      </c>
      <c r="K5" s="649">
        <v>0.32</v>
      </c>
      <c r="L5" s="649">
        <v>0.13199999999999998</v>
      </c>
      <c r="M5" s="412">
        <v>3.3920000000000003</v>
      </c>
      <c r="N5" s="776">
        <v>1</v>
      </c>
    </row>
    <row r="6" spans="2:48" x14ac:dyDescent="0.35">
      <c r="B6" s="220">
        <v>2</v>
      </c>
      <c r="C6" s="524" t="s">
        <v>17</v>
      </c>
      <c r="D6" s="627">
        <v>0.76000000000000012</v>
      </c>
      <c r="E6" s="627">
        <v>0.6</v>
      </c>
      <c r="F6" s="627">
        <v>0.3</v>
      </c>
      <c r="G6" s="627">
        <v>0.4</v>
      </c>
      <c r="H6" s="627">
        <v>0.48</v>
      </c>
      <c r="I6" s="627">
        <v>0.4</v>
      </c>
      <c r="J6" s="627">
        <v>0</v>
      </c>
      <c r="K6" s="627">
        <v>0.32</v>
      </c>
      <c r="L6" s="627">
        <v>0.13199999999999998</v>
      </c>
      <c r="M6" s="415">
        <v>3.3920000000000003</v>
      </c>
      <c r="N6" s="777"/>
    </row>
    <row r="7" spans="2:48" x14ac:dyDescent="0.35">
      <c r="B7" s="217">
        <v>3</v>
      </c>
      <c r="C7" s="218" t="s">
        <v>19</v>
      </c>
      <c r="D7" s="649">
        <v>0.76000000000000012</v>
      </c>
      <c r="E7" s="649">
        <v>0.6</v>
      </c>
      <c r="F7" s="649">
        <v>0.3</v>
      </c>
      <c r="G7" s="649">
        <v>0.4</v>
      </c>
      <c r="H7" s="649">
        <v>0.48</v>
      </c>
      <c r="I7" s="649">
        <v>0.4</v>
      </c>
      <c r="J7" s="649">
        <v>0</v>
      </c>
      <c r="K7" s="649">
        <v>0.32</v>
      </c>
      <c r="L7" s="649">
        <v>0.13199999999999998</v>
      </c>
      <c r="M7" s="412">
        <v>3.3920000000000003</v>
      </c>
      <c r="N7" s="778"/>
    </row>
    <row r="8" spans="2:48" x14ac:dyDescent="0.35">
      <c r="B8" s="220">
        <v>4</v>
      </c>
      <c r="C8" s="221" t="s">
        <v>21</v>
      </c>
      <c r="D8" s="627">
        <v>0.8</v>
      </c>
      <c r="E8" s="627">
        <v>0.6</v>
      </c>
      <c r="F8" s="627">
        <v>0.3</v>
      </c>
      <c r="G8" s="627">
        <v>0.26999999999999996</v>
      </c>
      <c r="H8" s="627">
        <v>0.48</v>
      </c>
      <c r="I8" s="627">
        <v>0.4</v>
      </c>
      <c r="J8" s="627">
        <v>0</v>
      </c>
      <c r="K8" s="627">
        <v>0.28800000000000003</v>
      </c>
      <c r="L8" s="627">
        <v>0.12</v>
      </c>
      <c r="M8" s="415">
        <v>3.258</v>
      </c>
      <c r="N8" s="416">
        <v>2</v>
      </c>
    </row>
    <row r="9" spans="2:48" x14ac:dyDescent="0.35">
      <c r="B9" s="217">
        <v>5</v>
      </c>
      <c r="C9" s="218" t="s">
        <v>30</v>
      </c>
      <c r="D9" s="649">
        <v>0.76000000000000012</v>
      </c>
      <c r="E9" s="649">
        <v>0.6</v>
      </c>
      <c r="F9" s="649">
        <v>0.15</v>
      </c>
      <c r="G9" s="649">
        <v>0.30000000000000004</v>
      </c>
      <c r="H9" s="649">
        <v>0.48</v>
      </c>
      <c r="I9" s="649">
        <v>0.32000000000000006</v>
      </c>
      <c r="J9" s="649">
        <v>0.16</v>
      </c>
      <c r="K9" s="649">
        <v>0.32</v>
      </c>
      <c r="L9" s="649">
        <v>0.14399999999999999</v>
      </c>
      <c r="M9" s="412">
        <v>3.234</v>
      </c>
      <c r="N9" s="673">
        <v>4</v>
      </c>
    </row>
    <row r="10" spans="2:48" x14ac:dyDescent="0.35">
      <c r="B10" s="220">
        <v>6</v>
      </c>
      <c r="C10" s="221" t="s">
        <v>20</v>
      </c>
      <c r="D10" s="627">
        <v>0.66000000000000014</v>
      </c>
      <c r="E10" s="627">
        <v>0.6</v>
      </c>
      <c r="F10" s="627">
        <v>0.15</v>
      </c>
      <c r="G10" s="627">
        <v>0.4</v>
      </c>
      <c r="H10" s="627">
        <v>0.48</v>
      </c>
      <c r="I10" s="627">
        <v>0.32000000000000006</v>
      </c>
      <c r="J10" s="627">
        <v>0.16</v>
      </c>
      <c r="K10" s="627">
        <v>0.32</v>
      </c>
      <c r="L10" s="627">
        <v>0.14399999999999999</v>
      </c>
      <c r="M10" s="415">
        <v>3.234</v>
      </c>
      <c r="N10" s="673">
        <v>3</v>
      </c>
    </row>
    <row r="11" spans="2:48" x14ac:dyDescent="0.35">
      <c r="B11" s="217">
        <v>7</v>
      </c>
      <c r="C11" s="218" t="s">
        <v>22</v>
      </c>
      <c r="D11" s="649">
        <v>0.70000000000000007</v>
      </c>
      <c r="E11" s="649">
        <v>0.6</v>
      </c>
      <c r="F11" s="649">
        <v>0.3</v>
      </c>
      <c r="G11" s="649">
        <v>0.33999999999999997</v>
      </c>
      <c r="H11" s="649">
        <v>0.48</v>
      </c>
      <c r="I11" s="649">
        <v>0.4</v>
      </c>
      <c r="J11" s="649">
        <v>0</v>
      </c>
      <c r="K11" s="649">
        <v>0.28800000000000003</v>
      </c>
      <c r="L11" s="649">
        <v>0.10800000000000001</v>
      </c>
      <c r="M11" s="412">
        <v>3.2160000000000002</v>
      </c>
      <c r="N11" s="413">
        <v>5</v>
      </c>
    </row>
    <row r="12" spans="2:48" ht="27" x14ac:dyDescent="0.35">
      <c r="B12" s="220">
        <v>8</v>
      </c>
      <c r="C12" s="221" t="s">
        <v>27</v>
      </c>
      <c r="D12" s="627">
        <v>0.62000000000000011</v>
      </c>
      <c r="E12" s="627">
        <v>0.6</v>
      </c>
      <c r="F12" s="627">
        <v>0.15</v>
      </c>
      <c r="G12" s="627">
        <v>0.34</v>
      </c>
      <c r="H12" s="627">
        <v>0.48</v>
      </c>
      <c r="I12" s="627">
        <v>0.32000000000000006</v>
      </c>
      <c r="J12" s="627">
        <v>0.16</v>
      </c>
      <c r="K12" s="627">
        <v>0.32</v>
      </c>
      <c r="L12" s="627">
        <v>0.14399999999999999</v>
      </c>
      <c r="M12" s="415">
        <v>3.1340000000000003</v>
      </c>
      <c r="N12" s="416">
        <v>6</v>
      </c>
    </row>
    <row r="13" spans="2:48" x14ac:dyDescent="0.35">
      <c r="B13" s="217">
        <v>9</v>
      </c>
      <c r="C13" s="218" t="s">
        <v>25</v>
      </c>
      <c r="D13" s="649">
        <v>0.64</v>
      </c>
      <c r="E13" s="649">
        <v>0.6</v>
      </c>
      <c r="F13" s="649">
        <v>0</v>
      </c>
      <c r="G13" s="649">
        <v>0.34</v>
      </c>
      <c r="H13" s="649">
        <v>0.48</v>
      </c>
      <c r="I13" s="649">
        <v>0.28000000000000003</v>
      </c>
      <c r="J13" s="649">
        <v>0.16</v>
      </c>
      <c r="K13" s="649">
        <v>0.30400000000000005</v>
      </c>
      <c r="L13" s="649">
        <v>0.13199999999999998</v>
      </c>
      <c r="M13" s="412">
        <v>2.9359999999999999</v>
      </c>
      <c r="N13" s="420">
        <v>7</v>
      </c>
    </row>
    <row r="14" spans="2:48" x14ac:dyDescent="0.35">
      <c r="B14" s="220">
        <v>10</v>
      </c>
      <c r="C14" s="221" t="s">
        <v>43</v>
      </c>
      <c r="D14" s="627">
        <v>0.70000000000000007</v>
      </c>
      <c r="E14" s="627">
        <v>0.6</v>
      </c>
      <c r="F14" s="627">
        <v>0.15</v>
      </c>
      <c r="G14" s="627">
        <v>0.24</v>
      </c>
      <c r="H14" s="627">
        <v>0.28800000000000003</v>
      </c>
      <c r="I14" s="627">
        <v>0.12000000000000002</v>
      </c>
      <c r="J14" s="627">
        <v>0</v>
      </c>
      <c r="K14" s="627">
        <v>0.30400000000000005</v>
      </c>
      <c r="L14" s="627">
        <v>0.13200000000000001</v>
      </c>
      <c r="M14" s="415">
        <v>2.5339999999999998</v>
      </c>
      <c r="N14" s="420">
        <v>17</v>
      </c>
    </row>
    <row r="15" spans="2:48" x14ac:dyDescent="0.35">
      <c r="B15" s="217">
        <v>11</v>
      </c>
      <c r="C15" s="218" t="s">
        <v>36</v>
      </c>
      <c r="D15" s="649">
        <v>0.64</v>
      </c>
      <c r="E15" s="649">
        <v>0.6</v>
      </c>
      <c r="F15" s="649">
        <v>0</v>
      </c>
      <c r="G15" s="649">
        <v>0.2</v>
      </c>
      <c r="H15" s="649">
        <v>0.28800000000000003</v>
      </c>
      <c r="I15" s="649">
        <v>0.12000000000000002</v>
      </c>
      <c r="J15" s="649">
        <v>0.16</v>
      </c>
      <c r="K15" s="649">
        <v>0.32</v>
      </c>
      <c r="L15" s="649">
        <v>0.19199999999999998</v>
      </c>
      <c r="M15" s="412">
        <v>2.52</v>
      </c>
      <c r="N15" s="419">
        <v>19</v>
      </c>
    </row>
    <row r="16" spans="2:48" x14ac:dyDescent="0.35">
      <c r="B16" s="220">
        <v>12</v>
      </c>
      <c r="C16" s="221" t="s">
        <v>49</v>
      </c>
      <c r="D16" s="627">
        <v>0.24000000000000005</v>
      </c>
      <c r="E16" s="627">
        <v>0.6</v>
      </c>
      <c r="F16" s="627">
        <v>0.15</v>
      </c>
      <c r="G16" s="627">
        <v>0.27999999999999997</v>
      </c>
      <c r="H16" s="627">
        <v>0.48</v>
      </c>
      <c r="I16" s="627">
        <v>0.32000000000000006</v>
      </c>
      <c r="J16" s="627">
        <v>0</v>
      </c>
      <c r="K16" s="627">
        <v>0.32</v>
      </c>
      <c r="L16" s="627">
        <v>0.06</v>
      </c>
      <c r="M16" s="415">
        <v>2.4500000000000002</v>
      </c>
      <c r="N16" s="420">
        <v>25</v>
      </c>
    </row>
    <row r="17" spans="2:39" x14ac:dyDescent="0.35">
      <c r="B17" s="217">
        <v>13</v>
      </c>
      <c r="C17" s="218" t="s">
        <v>53</v>
      </c>
      <c r="D17" s="649">
        <v>0.06</v>
      </c>
      <c r="E17" s="649">
        <v>0.36</v>
      </c>
      <c r="F17" s="649">
        <v>0.3</v>
      </c>
      <c r="G17" s="649">
        <v>0.38</v>
      </c>
      <c r="H17" s="649">
        <v>0.432</v>
      </c>
      <c r="I17" s="649">
        <v>0.4</v>
      </c>
      <c r="J17" s="649">
        <v>0</v>
      </c>
      <c r="K17" s="649">
        <v>0.27200000000000002</v>
      </c>
      <c r="L17" s="649">
        <v>0.06</v>
      </c>
      <c r="M17" s="412">
        <v>2.2640000000000002</v>
      </c>
      <c r="N17" s="420">
        <v>36</v>
      </c>
    </row>
    <row r="18" spans="2:39" x14ac:dyDescent="0.35">
      <c r="B18" s="220">
        <v>14</v>
      </c>
      <c r="C18" s="221" t="s">
        <v>55</v>
      </c>
      <c r="D18" s="627">
        <v>0.5</v>
      </c>
      <c r="E18" s="627">
        <v>0.6</v>
      </c>
      <c r="F18" s="627">
        <v>0</v>
      </c>
      <c r="G18" s="627">
        <v>0.15000000000000002</v>
      </c>
      <c r="H18" s="627">
        <v>0.38400000000000001</v>
      </c>
      <c r="I18" s="627">
        <v>0.24000000000000005</v>
      </c>
      <c r="J18" s="627">
        <v>0</v>
      </c>
      <c r="K18" s="627">
        <v>0.184</v>
      </c>
      <c r="L18" s="627">
        <v>0.12</v>
      </c>
      <c r="M18" s="415">
        <v>2.1779999999999999</v>
      </c>
      <c r="N18" s="420">
        <v>38</v>
      </c>
    </row>
    <row r="19" spans="2:39" x14ac:dyDescent="0.35">
      <c r="B19" s="583"/>
      <c r="C19" s="582"/>
      <c r="D19" s="707"/>
      <c r="E19" s="707"/>
      <c r="F19" s="707"/>
      <c r="G19" s="707"/>
      <c r="H19" s="707"/>
      <c r="I19" s="707"/>
      <c r="J19" s="707"/>
      <c r="K19" s="707"/>
      <c r="L19" s="707"/>
      <c r="M19" s="708"/>
      <c r="N19" s="708"/>
    </row>
    <row r="20" spans="2:39" x14ac:dyDescent="0.35">
      <c r="B20" s="583"/>
      <c r="C20" s="582"/>
      <c r="D20" s="707"/>
      <c r="E20" s="707"/>
      <c r="F20" s="707"/>
      <c r="G20" s="707"/>
      <c r="H20" s="707"/>
      <c r="I20" s="707"/>
      <c r="J20" s="707"/>
      <c r="K20" s="707"/>
      <c r="L20" s="707"/>
      <c r="M20" s="708"/>
      <c r="N20" s="708"/>
    </row>
    <row r="21" spans="2:39" ht="67.5" customHeight="1" x14ac:dyDescent="0.35">
      <c r="B21" s="785" t="s">
        <v>4</v>
      </c>
      <c r="C21" s="783" t="s">
        <v>5</v>
      </c>
      <c r="D21" s="779" t="s">
        <v>300</v>
      </c>
      <c r="E21" s="780"/>
      <c r="F21" s="780"/>
      <c r="G21" s="787"/>
      <c r="H21" s="779" t="s">
        <v>1077</v>
      </c>
      <c r="I21" s="780"/>
      <c r="J21" s="779" t="s">
        <v>1079</v>
      </c>
      <c r="K21" s="780"/>
      <c r="L21" s="779" t="s">
        <v>1080</v>
      </c>
      <c r="M21" s="780"/>
      <c r="N21" s="780"/>
      <c r="O21" s="780"/>
      <c r="P21" s="780"/>
      <c r="Q21" s="780"/>
      <c r="R21" s="779" t="s">
        <v>756</v>
      </c>
      <c r="S21" s="780"/>
      <c r="T21" s="780"/>
      <c r="U21" s="779" t="s">
        <v>1084</v>
      </c>
      <c r="V21" s="780"/>
      <c r="W21" s="780"/>
      <c r="X21" s="780"/>
      <c r="Y21" s="779" t="s">
        <v>1086</v>
      </c>
      <c r="Z21" s="780"/>
      <c r="AA21" s="779" t="s">
        <v>1430</v>
      </c>
      <c r="AB21" s="780"/>
      <c r="AC21" s="780"/>
      <c r="AD21" s="780"/>
      <c r="AE21" s="780"/>
      <c r="AF21" s="779" t="s">
        <v>1431</v>
      </c>
      <c r="AG21" s="780"/>
      <c r="AH21" s="780"/>
      <c r="AI21" s="780"/>
      <c r="AJ21" s="780"/>
      <c r="AK21" s="780"/>
      <c r="AL21" s="781" t="s">
        <v>299</v>
      </c>
      <c r="AM21" s="781" t="s">
        <v>16</v>
      </c>
    </row>
    <row r="22" spans="2:39" ht="81" x14ac:dyDescent="0.35">
      <c r="B22" s="786"/>
      <c r="C22" s="784"/>
      <c r="D22" s="667" t="s">
        <v>304</v>
      </c>
      <c r="E22" s="667" t="s">
        <v>307</v>
      </c>
      <c r="F22" s="667" t="s">
        <v>310</v>
      </c>
      <c r="G22" s="667" t="s">
        <v>313</v>
      </c>
      <c r="H22" s="667" t="s">
        <v>316</v>
      </c>
      <c r="I22" s="667" t="s">
        <v>319</v>
      </c>
      <c r="J22" s="667" t="s">
        <v>322</v>
      </c>
      <c r="K22" s="667" t="s">
        <v>326</v>
      </c>
      <c r="L22" s="668" t="s">
        <v>329</v>
      </c>
      <c r="M22" s="668" t="s">
        <v>332</v>
      </c>
      <c r="N22" s="668" t="s">
        <v>335</v>
      </c>
      <c r="O22" s="668" t="s">
        <v>338</v>
      </c>
      <c r="P22" s="668" t="s">
        <v>341</v>
      </c>
      <c r="Q22" s="668" t="s">
        <v>344</v>
      </c>
      <c r="R22" s="668" t="s">
        <v>347</v>
      </c>
      <c r="S22" s="668" t="s">
        <v>350</v>
      </c>
      <c r="T22" s="668" t="s">
        <v>353</v>
      </c>
      <c r="U22" s="668" t="s">
        <v>357</v>
      </c>
      <c r="V22" s="668" t="s">
        <v>360</v>
      </c>
      <c r="W22" s="668" t="s">
        <v>363</v>
      </c>
      <c r="X22" s="668" t="s">
        <v>366</v>
      </c>
      <c r="Y22" s="668" t="s">
        <v>369</v>
      </c>
      <c r="Z22" s="668" t="s">
        <v>372</v>
      </c>
      <c r="AA22" s="668" t="s">
        <v>376</v>
      </c>
      <c r="AB22" s="668" t="s">
        <v>379</v>
      </c>
      <c r="AC22" s="668" t="s">
        <v>382</v>
      </c>
      <c r="AD22" s="668" t="s">
        <v>385</v>
      </c>
      <c r="AE22" s="668" t="s">
        <v>388</v>
      </c>
      <c r="AF22" s="668" t="s">
        <v>391</v>
      </c>
      <c r="AG22" s="668" t="s">
        <v>394</v>
      </c>
      <c r="AH22" s="668" t="s">
        <v>397</v>
      </c>
      <c r="AI22" s="668" t="s">
        <v>400</v>
      </c>
      <c r="AJ22" s="668" t="s">
        <v>403</v>
      </c>
      <c r="AK22" s="668" t="s">
        <v>406</v>
      </c>
      <c r="AL22" s="782"/>
      <c r="AM22" s="782"/>
    </row>
    <row r="23" spans="2:39" x14ac:dyDescent="0.35">
      <c r="B23" s="217">
        <v>1</v>
      </c>
      <c r="C23" s="218" t="s">
        <v>18</v>
      </c>
      <c r="D23" s="648">
        <v>4</v>
      </c>
      <c r="E23" s="648">
        <v>4</v>
      </c>
      <c r="F23" s="648">
        <v>4</v>
      </c>
      <c r="G23" s="648">
        <v>2</v>
      </c>
      <c r="H23" s="648">
        <v>4</v>
      </c>
      <c r="I23" s="648">
        <v>4</v>
      </c>
      <c r="J23" s="648">
        <v>4</v>
      </c>
      <c r="K23" s="648">
        <v>0</v>
      </c>
      <c r="L23" s="648">
        <v>4</v>
      </c>
      <c r="M23" s="648">
        <v>4</v>
      </c>
      <c r="N23" s="648">
        <v>4</v>
      </c>
      <c r="O23" s="648">
        <v>4</v>
      </c>
      <c r="P23" s="648">
        <v>4</v>
      </c>
      <c r="Q23" s="648">
        <v>4</v>
      </c>
      <c r="R23" s="648">
        <v>4</v>
      </c>
      <c r="S23" s="648">
        <v>4</v>
      </c>
      <c r="T23" s="648">
        <v>4</v>
      </c>
      <c r="U23" s="648">
        <v>4</v>
      </c>
      <c r="V23" s="648">
        <v>4</v>
      </c>
      <c r="W23" s="648">
        <v>4</v>
      </c>
      <c r="X23" s="648">
        <v>4</v>
      </c>
      <c r="Y23" s="648">
        <v>0</v>
      </c>
      <c r="Z23" s="648">
        <v>0</v>
      </c>
      <c r="AA23" s="648">
        <v>4</v>
      </c>
      <c r="AB23" s="648">
        <v>4</v>
      </c>
      <c r="AC23" s="648">
        <v>4</v>
      </c>
      <c r="AD23" s="648">
        <v>4</v>
      </c>
      <c r="AE23" s="648">
        <v>4</v>
      </c>
      <c r="AF23" s="648">
        <v>4</v>
      </c>
      <c r="AG23" s="648">
        <v>2</v>
      </c>
      <c r="AH23" s="648">
        <v>2</v>
      </c>
      <c r="AI23" s="648">
        <v>2</v>
      </c>
      <c r="AJ23" s="648">
        <v>0</v>
      </c>
      <c r="AK23" s="625">
        <v>0</v>
      </c>
      <c r="AL23" s="412">
        <v>3.3920000000000003</v>
      </c>
      <c r="AM23" s="776">
        <v>1</v>
      </c>
    </row>
    <row r="24" spans="2:39" x14ac:dyDescent="0.35">
      <c r="B24" s="220">
        <v>2</v>
      </c>
      <c r="C24" s="524" t="s">
        <v>17</v>
      </c>
      <c r="D24" s="651">
        <v>4</v>
      </c>
      <c r="E24" s="651">
        <v>4</v>
      </c>
      <c r="F24" s="651">
        <v>4</v>
      </c>
      <c r="G24" s="651">
        <v>2</v>
      </c>
      <c r="H24" s="651">
        <v>4</v>
      </c>
      <c r="I24" s="651">
        <v>4</v>
      </c>
      <c r="J24" s="651">
        <v>4</v>
      </c>
      <c r="K24" s="651">
        <v>0</v>
      </c>
      <c r="L24" s="651">
        <v>4</v>
      </c>
      <c r="M24" s="651">
        <v>4</v>
      </c>
      <c r="N24" s="651">
        <v>4</v>
      </c>
      <c r="O24" s="651">
        <v>4</v>
      </c>
      <c r="P24" s="651">
        <v>4</v>
      </c>
      <c r="Q24" s="651">
        <v>4</v>
      </c>
      <c r="R24" s="651">
        <v>4</v>
      </c>
      <c r="S24" s="651">
        <v>4</v>
      </c>
      <c r="T24" s="651">
        <v>4</v>
      </c>
      <c r="U24" s="651">
        <v>4</v>
      </c>
      <c r="V24" s="651">
        <v>4</v>
      </c>
      <c r="W24" s="651">
        <v>4</v>
      </c>
      <c r="X24" s="651">
        <v>4</v>
      </c>
      <c r="Y24" s="651">
        <v>0</v>
      </c>
      <c r="Z24" s="651">
        <v>0</v>
      </c>
      <c r="AA24" s="651">
        <v>4</v>
      </c>
      <c r="AB24" s="651">
        <v>4</v>
      </c>
      <c r="AC24" s="651">
        <v>4</v>
      </c>
      <c r="AD24" s="651">
        <v>4</v>
      </c>
      <c r="AE24" s="651">
        <v>4</v>
      </c>
      <c r="AF24" s="651">
        <v>4</v>
      </c>
      <c r="AG24" s="651">
        <v>2</v>
      </c>
      <c r="AH24" s="651">
        <v>2</v>
      </c>
      <c r="AI24" s="651">
        <v>2</v>
      </c>
      <c r="AJ24" s="651">
        <v>0</v>
      </c>
      <c r="AK24" s="626">
        <v>0</v>
      </c>
      <c r="AL24" s="415">
        <v>3.3920000000000003</v>
      </c>
      <c r="AM24" s="777"/>
    </row>
    <row r="25" spans="2:39" x14ac:dyDescent="0.35">
      <c r="B25" s="217">
        <v>3</v>
      </c>
      <c r="C25" s="218" t="s">
        <v>19</v>
      </c>
      <c r="D25" s="648">
        <v>4</v>
      </c>
      <c r="E25" s="648">
        <v>4</v>
      </c>
      <c r="F25" s="648">
        <v>4</v>
      </c>
      <c r="G25" s="648">
        <v>2</v>
      </c>
      <c r="H25" s="648">
        <v>4</v>
      </c>
      <c r="I25" s="648">
        <v>4</v>
      </c>
      <c r="J25" s="648">
        <v>4</v>
      </c>
      <c r="K25" s="648">
        <v>0</v>
      </c>
      <c r="L25" s="648">
        <v>4</v>
      </c>
      <c r="M25" s="648">
        <v>4</v>
      </c>
      <c r="N25" s="648">
        <v>4</v>
      </c>
      <c r="O25" s="648">
        <v>4</v>
      </c>
      <c r="P25" s="648">
        <v>4</v>
      </c>
      <c r="Q25" s="648">
        <v>4</v>
      </c>
      <c r="R25" s="648">
        <v>4</v>
      </c>
      <c r="S25" s="648">
        <v>4</v>
      </c>
      <c r="T25" s="648">
        <v>4</v>
      </c>
      <c r="U25" s="648">
        <v>4</v>
      </c>
      <c r="V25" s="648">
        <v>4</v>
      </c>
      <c r="W25" s="648">
        <v>4</v>
      </c>
      <c r="X25" s="648">
        <v>4</v>
      </c>
      <c r="Y25" s="648">
        <v>0</v>
      </c>
      <c r="Z25" s="648">
        <v>0</v>
      </c>
      <c r="AA25" s="648">
        <v>4</v>
      </c>
      <c r="AB25" s="648">
        <v>4</v>
      </c>
      <c r="AC25" s="648">
        <v>4</v>
      </c>
      <c r="AD25" s="648">
        <v>4</v>
      </c>
      <c r="AE25" s="648">
        <v>4</v>
      </c>
      <c r="AF25" s="648">
        <v>4</v>
      </c>
      <c r="AG25" s="648">
        <v>2</v>
      </c>
      <c r="AH25" s="648">
        <v>2</v>
      </c>
      <c r="AI25" s="648">
        <v>2</v>
      </c>
      <c r="AJ25" s="648">
        <v>0</v>
      </c>
      <c r="AK25" s="625">
        <v>0</v>
      </c>
      <c r="AL25" s="412">
        <v>3.3920000000000003</v>
      </c>
      <c r="AM25" s="778"/>
    </row>
    <row r="26" spans="2:39" x14ac:dyDescent="0.35">
      <c r="B26" s="220">
        <v>4</v>
      </c>
      <c r="C26" s="221" t="s">
        <v>21</v>
      </c>
      <c r="D26" s="651">
        <v>4</v>
      </c>
      <c r="E26" s="651">
        <v>4</v>
      </c>
      <c r="F26" s="651">
        <v>4</v>
      </c>
      <c r="G26" s="651">
        <v>4</v>
      </c>
      <c r="H26" s="651">
        <v>4</v>
      </c>
      <c r="I26" s="651">
        <v>4</v>
      </c>
      <c r="J26" s="651">
        <v>4</v>
      </c>
      <c r="K26" s="651">
        <v>0</v>
      </c>
      <c r="L26" s="651">
        <v>2</v>
      </c>
      <c r="M26" s="651">
        <v>4</v>
      </c>
      <c r="N26" s="651">
        <v>2</v>
      </c>
      <c r="O26" s="651">
        <v>4</v>
      </c>
      <c r="P26" s="651">
        <v>4</v>
      </c>
      <c r="Q26" s="651">
        <v>2</v>
      </c>
      <c r="R26" s="651">
        <v>4</v>
      </c>
      <c r="S26" s="651">
        <v>4</v>
      </c>
      <c r="T26" s="651">
        <v>4</v>
      </c>
      <c r="U26" s="651">
        <v>4</v>
      </c>
      <c r="V26" s="651">
        <v>4</v>
      </c>
      <c r="W26" s="651">
        <v>4</v>
      </c>
      <c r="X26" s="651">
        <v>4</v>
      </c>
      <c r="Y26" s="651">
        <v>0</v>
      </c>
      <c r="Z26" s="651">
        <v>0</v>
      </c>
      <c r="AA26" s="651">
        <v>4</v>
      </c>
      <c r="AB26" s="651">
        <v>2</v>
      </c>
      <c r="AC26" s="651">
        <v>4</v>
      </c>
      <c r="AD26" s="651">
        <v>4</v>
      </c>
      <c r="AE26" s="651">
        <v>4</v>
      </c>
      <c r="AF26" s="651">
        <v>4</v>
      </c>
      <c r="AG26" s="651">
        <v>0</v>
      </c>
      <c r="AH26" s="651">
        <v>0</v>
      </c>
      <c r="AI26" s="651">
        <v>4</v>
      </c>
      <c r="AJ26" s="651">
        <v>0</v>
      </c>
      <c r="AK26" s="626">
        <v>4</v>
      </c>
      <c r="AL26" s="415">
        <v>3.258</v>
      </c>
      <c r="AM26" s="416">
        <v>2</v>
      </c>
    </row>
    <row r="27" spans="2:39" x14ac:dyDescent="0.35">
      <c r="B27" s="217">
        <v>5</v>
      </c>
      <c r="C27" s="218" t="s">
        <v>30</v>
      </c>
      <c r="D27" s="648">
        <v>4</v>
      </c>
      <c r="E27" s="648">
        <v>4</v>
      </c>
      <c r="F27" s="648">
        <v>4</v>
      </c>
      <c r="G27" s="648">
        <v>2</v>
      </c>
      <c r="H27" s="648">
        <v>4</v>
      </c>
      <c r="I27" s="648">
        <v>4</v>
      </c>
      <c r="J27" s="648">
        <v>0</v>
      </c>
      <c r="K27" s="648">
        <v>2</v>
      </c>
      <c r="L27" s="648">
        <v>0</v>
      </c>
      <c r="M27" s="648">
        <v>4</v>
      </c>
      <c r="N27" s="648">
        <v>4</v>
      </c>
      <c r="O27" s="648">
        <v>2</v>
      </c>
      <c r="P27" s="648">
        <v>2</v>
      </c>
      <c r="Q27" s="648">
        <v>4</v>
      </c>
      <c r="R27" s="648">
        <v>4</v>
      </c>
      <c r="S27" s="648">
        <v>4</v>
      </c>
      <c r="T27" s="648">
        <v>4</v>
      </c>
      <c r="U27" s="648">
        <v>4</v>
      </c>
      <c r="V27" s="648">
        <v>4</v>
      </c>
      <c r="W27" s="648">
        <v>0</v>
      </c>
      <c r="X27" s="648">
        <v>4</v>
      </c>
      <c r="Y27" s="648">
        <v>4</v>
      </c>
      <c r="Z27" s="648">
        <v>4</v>
      </c>
      <c r="AA27" s="648">
        <v>4</v>
      </c>
      <c r="AB27" s="648">
        <v>4</v>
      </c>
      <c r="AC27" s="648">
        <v>4</v>
      </c>
      <c r="AD27" s="648">
        <v>4</v>
      </c>
      <c r="AE27" s="648">
        <v>4</v>
      </c>
      <c r="AF27" s="648">
        <v>4</v>
      </c>
      <c r="AG27" s="648">
        <v>2</v>
      </c>
      <c r="AH27" s="648">
        <v>2</v>
      </c>
      <c r="AI27" s="648">
        <v>2</v>
      </c>
      <c r="AJ27" s="648">
        <v>0</v>
      </c>
      <c r="AK27" s="625">
        <v>2</v>
      </c>
      <c r="AL27" s="412">
        <v>3.234</v>
      </c>
      <c r="AM27" s="673">
        <v>4</v>
      </c>
    </row>
    <row r="28" spans="2:39" x14ac:dyDescent="0.35">
      <c r="B28" s="220">
        <v>6</v>
      </c>
      <c r="C28" s="221" t="s">
        <v>20</v>
      </c>
      <c r="D28" s="651">
        <v>4</v>
      </c>
      <c r="E28" s="651">
        <v>4</v>
      </c>
      <c r="F28" s="651">
        <v>2</v>
      </c>
      <c r="G28" s="651">
        <v>2</v>
      </c>
      <c r="H28" s="651">
        <v>4</v>
      </c>
      <c r="I28" s="651">
        <v>4</v>
      </c>
      <c r="J28" s="651">
        <v>0</v>
      </c>
      <c r="K28" s="651">
        <v>2</v>
      </c>
      <c r="L28" s="651">
        <v>4</v>
      </c>
      <c r="M28" s="651">
        <v>4</v>
      </c>
      <c r="N28" s="651">
        <v>4</v>
      </c>
      <c r="O28" s="651">
        <v>4</v>
      </c>
      <c r="P28" s="651">
        <v>4</v>
      </c>
      <c r="Q28" s="651">
        <v>4</v>
      </c>
      <c r="R28" s="651">
        <v>4</v>
      </c>
      <c r="S28" s="651">
        <v>4</v>
      </c>
      <c r="T28" s="651">
        <v>4</v>
      </c>
      <c r="U28" s="651">
        <v>4</v>
      </c>
      <c r="V28" s="651">
        <v>4</v>
      </c>
      <c r="W28" s="651">
        <v>0</v>
      </c>
      <c r="X28" s="651">
        <v>4</v>
      </c>
      <c r="Y28" s="651">
        <v>4</v>
      </c>
      <c r="Z28" s="651">
        <v>4</v>
      </c>
      <c r="AA28" s="651">
        <v>4</v>
      </c>
      <c r="AB28" s="651">
        <v>4</v>
      </c>
      <c r="AC28" s="651">
        <v>4</v>
      </c>
      <c r="AD28" s="651">
        <v>4</v>
      </c>
      <c r="AE28" s="651">
        <v>4</v>
      </c>
      <c r="AF28" s="651">
        <v>4</v>
      </c>
      <c r="AG28" s="651">
        <v>2</v>
      </c>
      <c r="AH28" s="651">
        <v>2</v>
      </c>
      <c r="AI28" s="651">
        <v>2</v>
      </c>
      <c r="AJ28" s="651">
        <v>0</v>
      </c>
      <c r="AK28" s="626">
        <v>2</v>
      </c>
      <c r="AL28" s="415">
        <v>3.234</v>
      </c>
      <c r="AM28" s="673">
        <v>3</v>
      </c>
    </row>
    <row r="29" spans="2:39" x14ac:dyDescent="0.35">
      <c r="B29" s="217">
        <v>7</v>
      </c>
      <c r="C29" s="218" t="s">
        <v>22</v>
      </c>
      <c r="D29" s="648">
        <v>4</v>
      </c>
      <c r="E29" s="648">
        <v>4</v>
      </c>
      <c r="F29" s="648">
        <v>2</v>
      </c>
      <c r="G29" s="648">
        <v>4</v>
      </c>
      <c r="H29" s="648">
        <v>4</v>
      </c>
      <c r="I29" s="648">
        <v>4</v>
      </c>
      <c r="J29" s="648">
        <v>4</v>
      </c>
      <c r="K29" s="648">
        <v>0</v>
      </c>
      <c r="L29" s="648">
        <v>4</v>
      </c>
      <c r="M29" s="648">
        <v>4</v>
      </c>
      <c r="N29" s="648">
        <v>2</v>
      </c>
      <c r="O29" s="648">
        <v>4</v>
      </c>
      <c r="P29" s="648">
        <v>4</v>
      </c>
      <c r="Q29" s="648">
        <v>4</v>
      </c>
      <c r="R29" s="648">
        <v>4</v>
      </c>
      <c r="S29" s="648">
        <v>4</v>
      </c>
      <c r="T29" s="648">
        <v>4</v>
      </c>
      <c r="U29" s="648">
        <v>4</v>
      </c>
      <c r="V29" s="648">
        <v>4</v>
      </c>
      <c r="W29" s="648">
        <v>4</v>
      </c>
      <c r="X29" s="648">
        <v>4</v>
      </c>
      <c r="Y29" s="648">
        <v>0</v>
      </c>
      <c r="Z29" s="648">
        <v>0</v>
      </c>
      <c r="AA29" s="648">
        <v>4</v>
      </c>
      <c r="AB29" s="648">
        <v>2</v>
      </c>
      <c r="AC29" s="648">
        <v>4</v>
      </c>
      <c r="AD29" s="648">
        <v>4</v>
      </c>
      <c r="AE29" s="648">
        <v>4</v>
      </c>
      <c r="AF29" s="648">
        <v>0</v>
      </c>
      <c r="AG29" s="648">
        <v>2</v>
      </c>
      <c r="AH29" s="648">
        <v>2</v>
      </c>
      <c r="AI29" s="648">
        <v>4</v>
      </c>
      <c r="AJ29" s="648">
        <v>2</v>
      </c>
      <c r="AK29" s="625">
        <v>4</v>
      </c>
      <c r="AL29" s="412">
        <v>3.2160000000000002</v>
      </c>
      <c r="AM29" s="413">
        <v>5</v>
      </c>
    </row>
    <row r="30" spans="2:39" ht="27" x14ac:dyDescent="0.35">
      <c r="B30" s="220">
        <v>8</v>
      </c>
      <c r="C30" s="221" t="s">
        <v>1438</v>
      </c>
      <c r="D30" s="651">
        <v>4</v>
      </c>
      <c r="E30" s="651">
        <v>4</v>
      </c>
      <c r="F30" s="651">
        <v>2</v>
      </c>
      <c r="G30" s="651">
        <v>0</v>
      </c>
      <c r="H30" s="651">
        <v>4</v>
      </c>
      <c r="I30" s="651">
        <v>4</v>
      </c>
      <c r="J30" s="651">
        <v>0</v>
      </c>
      <c r="K30" s="651">
        <v>2</v>
      </c>
      <c r="L30" s="651">
        <v>4</v>
      </c>
      <c r="M30" s="651">
        <v>4</v>
      </c>
      <c r="N30" s="651">
        <v>4</v>
      </c>
      <c r="O30" s="651">
        <v>4</v>
      </c>
      <c r="P30" s="651">
        <v>2</v>
      </c>
      <c r="Q30" s="651">
        <v>2</v>
      </c>
      <c r="R30" s="651">
        <v>4</v>
      </c>
      <c r="S30" s="651">
        <v>4</v>
      </c>
      <c r="T30" s="651">
        <v>4</v>
      </c>
      <c r="U30" s="651">
        <v>4</v>
      </c>
      <c r="V30" s="651">
        <v>4</v>
      </c>
      <c r="W30" s="651">
        <v>0</v>
      </c>
      <c r="X30" s="651">
        <v>4</v>
      </c>
      <c r="Y30" s="651">
        <v>4</v>
      </c>
      <c r="Z30" s="651">
        <v>4</v>
      </c>
      <c r="AA30" s="651">
        <v>4</v>
      </c>
      <c r="AB30" s="651">
        <v>4</v>
      </c>
      <c r="AC30" s="651">
        <v>4</v>
      </c>
      <c r="AD30" s="651">
        <v>4</v>
      </c>
      <c r="AE30" s="651">
        <v>4</v>
      </c>
      <c r="AF30" s="651">
        <v>4</v>
      </c>
      <c r="AG30" s="651">
        <v>2</v>
      </c>
      <c r="AH30" s="651">
        <v>2</v>
      </c>
      <c r="AI30" s="651">
        <v>2</v>
      </c>
      <c r="AJ30" s="651">
        <v>0</v>
      </c>
      <c r="AK30" s="626">
        <v>2</v>
      </c>
      <c r="AL30" s="415">
        <v>3.1340000000000003</v>
      </c>
      <c r="AM30" s="416">
        <v>6</v>
      </c>
    </row>
    <row r="31" spans="2:39" x14ac:dyDescent="0.35">
      <c r="B31" s="217">
        <v>9</v>
      </c>
      <c r="C31" s="218" t="s">
        <v>25</v>
      </c>
      <c r="D31" s="648">
        <v>4</v>
      </c>
      <c r="E31" s="648">
        <v>2</v>
      </c>
      <c r="F31" s="648">
        <v>2</v>
      </c>
      <c r="G31" s="648">
        <v>4</v>
      </c>
      <c r="H31" s="648">
        <v>4</v>
      </c>
      <c r="I31" s="648">
        <v>4</v>
      </c>
      <c r="J31" s="648">
        <v>0</v>
      </c>
      <c r="K31" s="648">
        <v>0</v>
      </c>
      <c r="L31" s="648">
        <v>4</v>
      </c>
      <c r="M31" s="648">
        <v>4</v>
      </c>
      <c r="N31" s="648">
        <v>4</v>
      </c>
      <c r="O31" s="648">
        <v>2</v>
      </c>
      <c r="P31" s="648">
        <v>4</v>
      </c>
      <c r="Q31" s="648">
        <v>2</v>
      </c>
      <c r="R31" s="648">
        <v>4</v>
      </c>
      <c r="S31" s="648">
        <v>4</v>
      </c>
      <c r="T31" s="648">
        <v>4</v>
      </c>
      <c r="U31" s="648">
        <v>0</v>
      </c>
      <c r="V31" s="648">
        <v>4</v>
      </c>
      <c r="W31" s="648">
        <v>2</v>
      </c>
      <c r="X31" s="648">
        <v>4</v>
      </c>
      <c r="Y31" s="648">
        <v>4</v>
      </c>
      <c r="Z31" s="648">
        <v>4</v>
      </c>
      <c r="AA31" s="648">
        <v>4</v>
      </c>
      <c r="AB31" s="648">
        <v>4</v>
      </c>
      <c r="AC31" s="648">
        <v>2</v>
      </c>
      <c r="AD31" s="648">
        <v>4</v>
      </c>
      <c r="AE31" s="648">
        <v>4</v>
      </c>
      <c r="AF31" s="648">
        <v>0</v>
      </c>
      <c r="AG31" s="648">
        <v>4</v>
      </c>
      <c r="AH31" s="648">
        <v>2</v>
      </c>
      <c r="AI31" s="648">
        <v>4</v>
      </c>
      <c r="AJ31" s="648">
        <v>0</v>
      </c>
      <c r="AK31" s="625">
        <v>4</v>
      </c>
      <c r="AL31" s="412">
        <v>2.9359999999999999</v>
      </c>
      <c r="AM31" s="420">
        <v>7</v>
      </c>
    </row>
    <row r="32" spans="2:39" x14ac:dyDescent="0.35">
      <c r="B32" s="220">
        <v>10</v>
      </c>
      <c r="C32" s="221" t="s">
        <v>43</v>
      </c>
      <c r="D32" s="651">
        <v>4</v>
      </c>
      <c r="E32" s="651">
        <v>2</v>
      </c>
      <c r="F32" s="651">
        <v>4</v>
      </c>
      <c r="G32" s="651">
        <v>2</v>
      </c>
      <c r="H32" s="651">
        <v>4</v>
      </c>
      <c r="I32" s="651">
        <v>4</v>
      </c>
      <c r="J32" s="651">
        <v>0</v>
      </c>
      <c r="K32" s="651">
        <v>2</v>
      </c>
      <c r="L32" s="651">
        <v>4</v>
      </c>
      <c r="M32" s="651">
        <v>4</v>
      </c>
      <c r="N32" s="651">
        <v>2</v>
      </c>
      <c r="O32" s="651">
        <v>2</v>
      </c>
      <c r="P32" s="651">
        <v>4</v>
      </c>
      <c r="Q32" s="651">
        <v>0</v>
      </c>
      <c r="R32" s="651">
        <v>4</v>
      </c>
      <c r="S32" s="651">
        <v>0</v>
      </c>
      <c r="T32" s="651">
        <v>2</v>
      </c>
      <c r="U32" s="651">
        <v>0</v>
      </c>
      <c r="V32" s="651">
        <v>4</v>
      </c>
      <c r="W32" s="651">
        <v>2</v>
      </c>
      <c r="X32" s="651">
        <v>0</v>
      </c>
      <c r="Y32" s="651">
        <v>0</v>
      </c>
      <c r="Z32" s="651">
        <v>0</v>
      </c>
      <c r="AA32" s="651">
        <v>4</v>
      </c>
      <c r="AB32" s="651">
        <v>4</v>
      </c>
      <c r="AC32" s="651">
        <v>2</v>
      </c>
      <c r="AD32" s="651">
        <v>4</v>
      </c>
      <c r="AE32" s="651">
        <v>4</v>
      </c>
      <c r="AF32" s="651">
        <v>4</v>
      </c>
      <c r="AG32" s="651">
        <v>0</v>
      </c>
      <c r="AH32" s="651">
        <v>0</v>
      </c>
      <c r="AI32" s="651">
        <v>4</v>
      </c>
      <c r="AJ32" s="651">
        <v>2</v>
      </c>
      <c r="AK32" s="626">
        <v>4</v>
      </c>
      <c r="AL32" s="415">
        <v>2.5339999999999998</v>
      </c>
      <c r="AM32" s="420">
        <v>17</v>
      </c>
    </row>
    <row r="33" spans="2:48" x14ac:dyDescent="0.35">
      <c r="B33" s="217">
        <v>11</v>
      </c>
      <c r="C33" s="218" t="s">
        <v>36</v>
      </c>
      <c r="D33" s="648">
        <v>4</v>
      </c>
      <c r="E33" s="648">
        <v>2</v>
      </c>
      <c r="F33" s="648">
        <v>2</v>
      </c>
      <c r="G33" s="648">
        <v>4</v>
      </c>
      <c r="H33" s="648">
        <v>4</v>
      </c>
      <c r="I33" s="648">
        <v>4</v>
      </c>
      <c r="J33" s="648">
        <v>0</v>
      </c>
      <c r="K33" s="648">
        <v>0</v>
      </c>
      <c r="L33" s="648">
        <v>4</v>
      </c>
      <c r="M33" s="648">
        <v>4</v>
      </c>
      <c r="N33" s="648">
        <v>0</v>
      </c>
      <c r="O33" s="648">
        <v>4</v>
      </c>
      <c r="P33" s="648">
        <v>4</v>
      </c>
      <c r="Q33" s="648">
        <v>0</v>
      </c>
      <c r="R33" s="648">
        <v>0</v>
      </c>
      <c r="S33" s="648">
        <v>4</v>
      </c>
      <c r="T33" s="648">
        <v>4</v>
      </c>
      <c r="U33" s="648">
        <v>0</v>
      </c>
      <c r="V33" s="648">
        <v>4</v>
      </c>
      <c r="W33" s="648">
        <v>2</v>
      </c>
      <c r="X33" s="648">
        <v>0</v>
      </c>
      <c r="Y33" s="648">
        <v>4</v>
      </c>
      <c r="Z33" s="648">
        <v>4</v>
      </c>
      <c r="AA33" s="648">
        <v>4</v>
      </c>
      <c r="AB33" s="648">
        <v>4</v>
      </c>
      <c r="AC33" s="648">
        <v>4</v>
      </c>
      <c r="AD33" s="648">
        <v>4</v>
      </c>
      <c r="AE33" s="648">
        <v>4</v>
      </c>
      <c r="AF33" s="648">
        <v>4</v>
      </c>
      <c r="AG33" s="648">
        <v>2</v>
      </c>
      <c r="AH33" s="648">
        <v>2</v>
      </c>
      <c r="AI33" s="648">
        <v>4</v>
      </c>
      <c r="AJ33" s="648">
        <v>4</v>
      </c>
      <c r="AK33" s="625">
        <v>4</v>
      </c>
      <c r="AL33" s="412">
        <v>2.52</v>
      </c>
      <c r="AM33" s="419">
        <v>19</v>
      </c>
    </row>
    <row r="34" spans="2:48" x14ac:dyDescent="0.35">
      <c r="B34" s="220">
        <v>12</v>
      </c>
      <c r="C34" s="221" t="s">
        <v>49</v>
      </c>
      <c r="D34" s="651">
        <v>0</v>
      </c>
      <c r="E34" s="651">
        <v>2</v>
      </c>
      <c r="F34" s="651">
        <v>2</v>
      </c>
      <c r="G34" s="651">
        <v>4</v>
      </c>
      <c r="H34" s="651">
        <v>4</v>
      </c>
      <c r="I34" s="651">
        <v>4</v>
      </c>
      <c r="J34" s="651">
        <v>0</v>
      </c>
      <c r="K34" s="651">
        <v>2</v>
      </c>
      <c r="L34" s="651">
        <v>4</v>
      </c>
      <c r="M34" s="651">
        <v>4</v>
      </c>
      <c r="N34" s="651">
        <v>2</v>
      </c>
      <c r="O34" s="651">
        <v>2</v>
      </c>
      <c r="P34" s="651">
        <v>4</v>
      </c>
      <c r="Q34" s="651">
        <v>2</v>
      </c>
      <c r="R34" s="651">
        <v>4</v>
      </c>
      <c r="S34" s="651">
        <v>4</v>
      </c>
      <c r="T34" s="651">
        <v>4</v>
      </c>
      <c r="U34" s="651">
        <v>0</v>
      </c>
      <c r="V34" s="651">
        <v>4</v>
      </c>
      <c r="W34" s="651">
        <v>4</v>
      </c>
      <c r="X34" s="651">
        <v>4</v>
      </c>
      <c r="Y34" s="651">
        <v>0</v>
      </c>
      <c r="Z34" s="651">
        <v>0</v>
      </c>
      <c r="AA34" s="651">
        <v>4</v>
      </c>
      <c r="AB34" s="651">
        <v>4</v>
      </c>
      <c r="AC34" s="651">
        <v>4</v>
      </c>
      <c r="AD34" s="651">
        <v>4</v>
      </c>
      <c r="AE34" s="651">
        <v>4</v>
      </c>
      <c r="AF34" s="651">
        <v>0</v>
      </c>
      <c r="AG34" s="651">
        <v>0</v>
      </c>
      <c r="AH34" s="651">
        <v>0</v>
      </c>
      <c r="AI34" s="651">
        <v>4</v>
      </c>
      <c r="AJ34" s="651">
        <v>2</v>
      </c>
      <c r="AK34" s="626">
        <v>4</v>
      </c>
      <c r="AL34" s="415">
        <v>2.4500000000000002</v>
      </c>
      <c r="AM34" s="420">
        <v>25</v>
      </c>
    </row>
    <row r="35" spans="2:48" x14ac:dyDescent="0.35">
      <c r="B35" s="217">
        <v>13</v>
      </c>
      <c r="C35" s="218" t="s">
        <v>53</v>
      </c>
      <c r="D35" s="648">
        <v>0</v>
      </c>
      <c r="E35" s="648">
        <v>2</v>
      </c>
      <c r="F35" s="648">
        <v>0</v>
      </c>
      <c r="G35" s="648">
        <v>0</v>
      </c>
      <c r="H35" s="648">
        <v>0</v>
      </c>
      <c r="I35" s="648">
        <v>4</v>
      </c>
      <c r="J35" s="648">
        <v>0</v>
      </c>
      <c r="K35" s="648">
        <v>4</v>
      </c>
      <c r="L35" s="648">
        <v>4</v>
      </c>
      <c r="M35" s="648">
        <v>4</v>
      </c>
      <c r="N35" s="648">
        <v>4</v>
      </c>
      <c r="O35" s="648">
        <v>4</v>
      </c>
      <c r="P35" s="648">
        <v>2</v>
      </c>
      <c r="Q35" s="648">
        <v>4</v>
      </c>
      <c r="R35" s="648">
        <v>4</v>
      </c>
      <c r="S35" s="648">
        <v>2</v>
      </c>
      <c r="T35" s="648">
        <v>4</v>
      </c>
      <c r="U35" s="648">
        <v>4</v>
      </c>
      <c r="V35" s="648">
        <v>4</v>
      </c>
      <c r="W35" s="648">
        <v>4</v>
      </c>
      <c r="X35" s="648">
        <v>4</v>
      </c>
      <c r="Y35" s="648">
        <v>0</v>
      </c>
      <c r="Z35" s="648">
        <v>0</v>
      </c>
      <c r="AA35" s="648">
        <v>4</v>
      </c>
      <c r="AB35" s="648">
        <v>2</v>
      </c>
      <c r="AC35" s="648">
        <v>2</v>
      </c>
      <c r="AD35" s="648">
        <v>4</v>
      </c>
      <c r="AE35" s="648">
        <v>4</v>
      </c>
      <c r="AF35" s="648">
        <v>0</v>
      </c>
      <c r="AG35" s="648">
        <v>2</v>
      </c>
      <c r="AH35" s="648">
        <v>2</v>
      </c>
      <c r="AI35" s="648">
        <v>0</v>
      </c>
      <c r="AJ35" s="648">
        <v>0</v>
      </c>
      <c r="AK35" s="625">
        <v>2</v>
      </c>
      <c r="AL35" s="412">
        <v>2.2640000000000002</v>
      </c>
      <c r="AM35" s="420">
        <v>36</v>
      </c>
    </row>
    <row r="36" spans="2:48" x14ac:dyDescent="0.35">
      <c r="B36" s="220">
        <v>14</v>
      </c>
      <c r="C36" s="221" t="s">
        <v>55</v>
      </c>
      <c r="D36" s="651">
        <v>2</v>
      </c>
      <c r="E36" s="651">
        <v>4</v>
      </c>
      <c r="F36" s="651">
        <v>2</v>
      </c>
      <c r="G36" s="651">
        <v>4</v>
      </c>
      <c r="H36" s="651">
        <v>4</v>
      </c>
      <c r="I36" s="651">
        <v>4</v>
      </c>
      <c r="J36" s="651">
        <v>0</v>
      </c>
      <c r="K36" s="651">
        <v>0</v>
      </c>
      <c r="L36" s="651">
        <v>2</v>
      </c>
      <c r="M36" s="651">
        <v>0</v>
      </c>
      <c r="N36" s="651">
        <v>0</v>
      </c>
      <c r="O36" s="651">
        <v>4</v>
      </c>
      <c r="P36" s="651">
        <v>4</v>
      </c>
      <c r="Q36" s="651">
        <v>2</v>
      </c>
      <c r="R36" s="651">
        <v>4</v>
      </c>
      <c r="S36" s="651">
        <v>0</v>
      </c>
      <c r="T36" s="651">
        <v>4</v>
      </c>
      <c r="U36" s="651">
        <v>0</v>
      </c>
      <c r="V36" s="651">
        <v>4</v>
      </c>
      <c r="W36" s="651">
        <v>0</v>
      </c>
      <c r="X36" s="651">
        <v>4</v>
      </c>
      <c r="Y36" s="651">
        <v>0</v>
      </c>
      <c r="Z36" s="651">
        <v>0</v>
      </c>
      <c r="AA36" s="651">
        <v>2</v>
      </c>
      <c r="AB36" s="651">
        <v>2</v>
      </c>
      <c r="AC36" s="651">
        <v>2</v>
      </c>
      <c r="AD36" s="651">
        <v>4</v>
      </c>
      <c r="AE36" s="651">
        <v>2</v>
      </c>
      <c r="AF36" s="651">
        <v>0</v>
      </c>
      <c r="AG36" s="651">
        <v>2</v>
      </c>
      <c r="AH36" s="651">
        <v>2</v>
      </c>
      <c r="AI36" s="651">
        <v>4</v>
      </c>
      <c r="AJ36" s="651">
        <v>4</v>
      </c>
      <c r="AK36" s="626">
        <v>4</v>
      </c>
      <c r="AL36" s="415">
        <v>2.1779999999999999</v>
      </c>
      <c r="AM36" s="420">
        <v>38</v>
      </c>
    </row>
    <row r="39" spans="2:48" ht="67.5" x14ac:dyDescent="0.35">
      <c r="B39" s="783" t="s">
        <v>4</v>
      </c>
      <c r="C39" s="660" t="s">
        <v>5</v>
      </c>
      <c r="D39" s="667" t="s">
        <v>304</v>
      </c>
      <c r="E39" s="667" t="s">
        <v>307</v>
      </c>
      <c r="F39" s="667" t="s">
        <v>310</v>
      </c>
      <c r="G39" s="667" t="s">
        <v>313</v>
      </c>
      <c r="H39" s="660" t="s">
        <v>300</v>
      </c>
      <c r="I39" s="667" t="s">
        <v>316</v>
      </c>
      <c r="J39" s="667" t="s">
        <v>319</v>
      </c>
      <c r="K39" s="667" t="s">
        <v>1077</v>
      </c>
      <c r="L39" s="667" t="s">
        <v>322</v>
      </c>
      <c r="M39" s="667" t="s">
        <v>326</v>
      </c>
      <c r="N39" s="667" t="s">
        <v>1079</v>
      </c>
      <c r="O39" s="668" t="s">
        <v>329</v>
      </c>
      <c r="P39" s="668" t="s">
        <v>332</v>
      </c>
      <c r="Q39" s="668" t="s">
        <v>335</v>
      </c>
      <c r="R39" s="668" t="s">
        <v>338</v>
      </c>
      <c r="S39" s="668" t="s">
        <v>341</v>
      </c>
      <c r="T39" s="668" t="s">
        <v>344</v>
      </c>
      <c r="U39" s="668" t="s">
        <v>1428</v>
      </c>
      <c r="V39" s="668" t="s">
        <v>347</v>
      </c>
      <c r="W39" s="668" t="s">
        <v>350</v>
      </c>
      <c r="X39" s="668" t="s">
        <v>353</v>
      </c>
      <c r="Y39" s="668" t="s">
        <v>756</v>
      </c>
      <c r="Z39" s="668" t="s">
        <v>357</v>
      </c>
      <c r="AA39" s="668" t="s">
        <v>360</v>
      </c>
      <c r="AB39" s="668" t="s">
        <v>363</v>
      </c>
      <c r="AC39" s="668" t="s">
        <v>366</v>
      </c>
      <c r="AD39" s="668" t="s">
        <v>1084</v>
      </c>
      <c r="AE39" s="668" t="s">
        <v>369</v>
      </c>
      <c r="AF39" s="668" t="s">
        <v>372</v>
      </c>
      <c r="AG39" s="668" t="s">
        <v>1086</v>
      </c>
      <c r="AH39" s="668" t="s">
        <v>376</v>
      </c>
      <c r="AI39" s="668" t="s">
        <v>379</v>
      </c>
      <c r="AJ39" s="668" t="s">
        <v>382</v>
      </c>
      <c r="AK39" s="668" t="s">
        <v>385</v>
      </c>
      <c r="AL39" s="668" t="s">
        <v>388</v>
      </c>
      <c r="AM39" s="668" t="s">
        <v>1430</v>
      </c>
      <c r="AN39" s="668" t="s">
        <v>391</v>
      </c>
      <c r="AO39" s="668" t="s">
        <v>394</v>
      </c>
      <c r="AP39" s="668" t="s">
        <v>397</v>
      </c>
      <c r="AQ39" s="668" t="s">
        <v>400</v>
      </c>
      <c r="AR39" s="668" t="s">
        <v>403</v>
      </c>
      <c r="AS39" s="668" t="s">
        <v>406</v>
      </c>
      <c r="AT39" s="668" t="s">
        <v>1431</v>
      </c>
      <c r="AU39" s="668" t="s">
        <v>299</v>
      </c>
      <c r="AV39" s="781" t="s">
        <v>16</v>
      </c>
    </row>
    <row r="40" spans="2:48" x14ac:dyDescent="0.35">
      <c r="B40" s="784"/>
      <c r="C40" s="669" t="s">
        <v>1436</v>
      </c>
      <c r="D40" s="670">
        <v>4</v>
      </c>
      <c r="E40" s="670">
        <v>4</v>
      </c>
      <c r="F40" s="670">
        <v>4</v>
      </c>
      <c r="G40" s="670">
        <v>4</v>
      </c>
      <c r="H40" s="670">
        <v>0.8</v>
      </c>
      <c r="I40" s="670">
        <v>4</v>
      </c>
      <c r="J40" s="670">
        <v>4</v>
      </c>
      <c r="K40" s="670">
        <v>0.6</v>
      </c>
      <c r="L40" s="670">
        <v>4</v>
      </c>
      <c r="M40" s="670">
        <v>4</v>
      </c>
      <c r="N40" s="670">
        <v>0.6</v>
      </c>
      <c r="O40" s="671">
        <v>4</v>
      </c>
      <c r="P40" s="671">
        <v>4</v>
      </c>
      <c r="Q40" s="671">
        <v>4</v>
      </c>
      <c r="R40" s="671">
        <v>4</v>
      </c>
      <c r="S40" s="671">
        <v>4</v>
      </c>
      <c r="T40" s="671">
        <v>4</v>
      </c>
      <c r="U40" s="671">
        <v>0.4</v>
      </c>
      <c r="V40" s="671">
        <v>4</v>
      </c>
      <c r="W40" s="671">
        <v>4</v>
      </c>
      <c r="X40" s="671">
        <v>4</v>
      </c>
      <c r="Y40" s="671">
        <v>0.48</v>
      </c>
      <c r="Z40" s="671">
        <v>4</v>
      </c>
      <c r="AA40" s="671">
        <v>4</v>
      </c>
      <c r="AB40" s="671">
        <v>4</v>
      </c>
      <c r="AC40" s="671">
        <v>4</v>
      </c>
      <c r="AD40" s="671">
        <v>0.4</v>
      </c>
      <c r="AE40" s="671">
        <v>4</v>
      </c>
      <c r="AF40" s="671">
        <v>4</v>
      </c>
      <c r="AG40" s="671">
        <v>0.16</v>
      </c>
      <c r="AH40" s="671">
        <v>4</v>
      </c>
      <c r="AI40" s="671">
        <v>4</v>
      </c>
      <c r="AJ40" s="671">
        <v>4</v>
      </c>
      <c r="AK40" s="671">
        <v>4</v>
      </c>
      <c r="AL40" s="671">
        <v>4</v>
      </c>
      <c r="AM40" s="671">
        <v>0.32</v>
      </c>
      <c r="AN40" s="671">
        <v>4</v>
      </c>
      <c r="AO40" s="671">
        <v>4</v>
      </c>
      <c r="AP40" s="671">
        <v>4</v>
      </c>
      <c r="AQ40" s="671">
        <v>4</v>
      </c>
      <c r="AR40" s="671">
        <v>4</v>
      </c>
      <c r="AS40" s="671">
        <v>4</v>
      </c>
      <c r="AT40" s="671">
        <v>0.24</v>
      </c>
      <c r="AU40" s="671">
        <v>4</v>
      </c>
      <c r="AV40" s="782"/>
    </row>
    <row r="41" spans="2:48" x14ac:dyDescent="0.35">
      <c r="B41" s="660"/>
      <c r="C41" s="662" t="s">
        <v>1437</v>
      </c>
      <c r="D41" s="663">
        <v>2</v>
      </c>
      <c r="E41" s="663">
        <v>2</v>
      </c>
      <c r="F41" s="663">
        <v>2</v>
      </c>
      <c r="G41" s="663">
        <v>2</v>
      </c>
      <c r="H41" s="664">
        <v>0.4</v>
      </c>
      <c r="I41" s="663">
        <v>2</v>
      </c>
      <c r="J41" s="663">
        <v>2</v>
      </c>
      <c r="K41" s="664">
        <v>0.3</v>
      </c>
      <c r="L41" s="663">
        <v>2</v>
      </c>
      <c r="M41" s="663">
        <v>2</v>
      </c>
      <c r="N41" s="664">
        <v>0.3</v>
      </c>
      <c r="O41" s="665">
        <v>2</v>
      </c>
      <c r="P41" s="665">
        <v>2</v>
      </c>
      <c r="Q41" s="665">
        <v>2</v>
      </c>
      <c r="R41" s="665">
        <v>2</v>
      </c>
      <c r="S41" s="665">
        <v>2</v>
      </c>
      <c r="T41" s="665">
        <v>2</v>
      </c>
      <c r="U41" s="666">
        <v>0.2</v>
      </c>
      <c r="V41" s="665">
        <v>2</v>
      </c>
      <c r="W41" s="665">
        <v>2</v>
      </c>
      <c r="X41" s="665">
        <v>2</v>
      </c>
      <c r="Y41" s="666">
        <v>0.24</v>
      </c>
      <c r="Z41" s="665">
        <v>2</v>
      </c>
      <c r="AA41" s="665">
        <v>2</v>
      </c>
      <c r="AB41" s="665">
        <v>2</v>
      </c>
      <c r="AC41" s="665">
        <v>2</v>
      </c>
      <c r="AD41" s="666">
        <v>0.2</v>
      </c>
      <c r="AE41" s="665">
        <v>2</v>
      </c>
      <c r="AF41" s="665">
        <v>2</v>
      </c>
      <c r="AG41" s="666">
        <v>0.08</v>
      </c>
      <c r="AH41" s="665">
        <v>2</v>
      </c>
      <c r="AI41" s="665">
        <v>2</v>
      </c>
      <c r="AJ41" s="665">
        <v>2</v>
      </c>
      <c r="AK41" s="665">
        <v>2</v>
      </c>
      <c r="AL41" s="665">
        <v>2</v>
      </c>
      <c r="AM41" s="666">
        <v>0.16</v>
      </c>
      <c r="AN41" s="665">
        <v>2</v>
      </c>
      <c r="AO41" s="665">
        <v>2</v>
      </c>
      <c r="AP41" s="665">
        <v>2</v>
      </c>
      <c r="AQ41" s="665">
        <v>2</v>
      </c>
      <c r="AR41" s="665">
        <v>2</v>
      </c>
      <c r="AS41" s="665">
        <v>2</v>
      </c>
      <c r="AT41" s="666">
        <v>0.12</v>
      </c>
      <c r="AU41" s="666">
        <v>2</v>
      </c>
      <c r="AV41" s="661"/>
    </row>
    <row r="42" spans="2:48" x14ac:dyDescent="0.35">
      <c r="B42" s="217">
        <v>1</v>
      </c>
      <c r="C42" s="218" t="s">
        <v>18</v>
      </c>
      <c r="D42" s="648">
        <v>4</v>
      </c>
      <c r="E42" s="648">
        <v>4</v>
      </c>
      <c r="F42" s="648">
        <v>4</v>
      </c>
      <c r="G42" s="648">
        <v>2</v>
      </c>
      <c r="H42" s="649">
        <v>0.76000000000000012</v>
      </c>
      <c r="I42" s="648">
        <v>4</v>
      </c>
      <c r="J42" s="648">
        <v>4</v>
      </c>
      <c r="K42" s="649">
        <v>0.6</v>
      </c>
      <c r="L42" s="648">
        <v>4</v>
      </c>
      <c r="M42" s="648">
        <v>0</v>
      </c>
      <c r="N42" s="649">
        <v>0.3</v>
      </c>
      <c r="O42" s="648">
        <v>4</v>
      </c>
      <c r="P42" s="648">
        <v>4</v>
      </c>
      <c r="Q42" s="648">
        <v>4</v>
      </c>
      <c r="R42" s="648">
        <v>4</v>
      </c>
      <c r="S42" s="648">
        <v>4</v>
      </c>
      <c r="T42" s="648">
        <v>4</v>
      </c>
      <c r="U42" s="649">
        <v>0.4</v>
      </c>
      <c r="V42" s="648">
        <v>4</v>
      </c>
      <c r="W42" s="648">
        <v>4</v>
      </c>
      <c r="X42" s="648">
        <v>4</v>
      </c>
      <c r="Y42" s="649">
        <v>0.48</v>
      </c>
      <c r="Z42" s="648">
        <v>4</v>
      </c>
      <c r="AA42" s="648">
        <v>4</v>
      </c>
      <c r="AB42" s="648">
        <v>4</v>
      </c>
      <c r="AC42" s="648">
        <v>4</v>
      </c>
      <c r="AD42" s="649">
        <v>0.4</v>
      </c>
      <c r="AE42" s="648">
        <v>0</v>
      </c>
      <c r="AF42" s="648">
        <v>0</v>
      </c>
      <c r="AG42" s="649">
        <v>0</v>
      </c>
      <c r="AH42" s="648">
        <v>4</v>
      </c>
      <c r="AI42" s="648">
        <v>4</v>
      </c>
      <c r="AJ42" s="648">
        <v>4</v>
      </c>
      <c r="AK42" s="648">
        <v>4</v>
      </c>
      <c r="AL42" s="648">
        <v>4</v>
      </c>
      <c r="AM42" s="649">
        <v>0.32</v>
      </c>
      <c r="AN42" s="648">
        <v>4</v>
      </c>
      <c r="AO42" s="648">
        <v>2</v>
      </c>
      <c r="AP42" s="648">
        <v>2</v>
      </c>
      <c r="AQ42" s="648">
        <v>2</v>
      </c>
      <c r="AR42" s="648">
        <v>0</v>
      </c>
      <c r="AS42" s="625">
        <v>0</v>
      </c>
      <c r="AT42" s="649">
        <v>0.13199999999999998</v>
      </c>
      <c r="AU42" s="412">
        <v>3.3920000000000003</v>
      </c>
      <c r="AV42" s="776">
        <v>1</v>
      </c>
    </row>
    <row r="43" spans="2:48" x14ac:dyDescent="0.35">
      <c r="B43" s="220">
        <v>2</v>
      </c>
      <c r="C43" s="524" t="s">
        <v>17</v>
      </c>
      <c r="D43" s="651">
        <v>4</v>
      </c>
      <c r="E43" s="651">
        <v>4</v>
      </c>
      <c r="F43" s="651">
        <v>4</v>
      </c>
      <c r="G43" s="651">
        <v>2</v>
      </c>
      <c r="H43" s="627">
        <v>0.76000000000000012</v>
      </c>
      <c r="I43" s="651">
        <v>4</v>
      </c>
      <c r="J43" s="651">
        <v>4</v>
      </c>
      <c r="K43" s="627">
        <v>0.6</v>
      </c>
      <c r="L43" s="651">
        <v>4</v>
      </c>
      <c r="M43" s="651">
        <v>0</v>
      </c>
      <c r="N43" s="627">
        <v>0.3</v>
      </c>
      <c r="O43" s="651">
        <v>4</v>
      </c>
      <c r="P43" s="651">
        <v>4</v>
      </c>
      <c r="Q43" s="651">
        <v>4</v>
      </c>
      <c r="R43" s="651">
        <v>4</v>
      </c>
      <c r="S43" s="651">
        <v>4</v>
      </c>
      <c r="T43" s="651">
        <v>4</v>
      </c>
      <c r="U43" s="627">
        <v>0.4</v>
      </c>
      <c r="V43" s="651">
        <v>4</v>
      </c>
      <c r="W43" s="651">
        <v>4</v>
      </c>
      <c r="X43" s="651">
        <v>4</v>
      </c>
      <c r="Y43" s="627">
        <v>0.48</v>
      </c>
      <c r="Z43" s="651">
        <v>4</v>
      </c>
      <c r="AA43" s="651">
        <v>4</v>
      </c>
      <c r="AB43" s="651">
        <v>4</v>
      </c>
      <c r="AC43" s="651">
        <v>4</v>
      </c>
      <c r="AD43" s="627">
        <v>0.4</v>
      </c>
      <c r="AE43" s="651">
        <v>0</v>
      </c>
      <c r="AF43" s="651">
        <v>0</v>
      </c>
      <c r="AG43" s="627">
        <v>0</v>
      </c>
      <c r="AH43" s="651">
        <v>4</v>
      </c>
      <c r="AI43" s="651">
        <v>4</v>
      </c>
      <c r="AJ43" s="651">
        <v>4</v>
      </c>
      <c r="AK43" s="651">
        <v>4</v>
      </c>
      <c r="AL43" s="651">
        <v>4</v>
      </c>
      <c r="AM43" s="627">
        <v>0.32</v>
      </c>
      <c r="AN43" s="651">
        <v>4</v>
      </c>
      <c r="AO43" s="651">
        <v>2</v>
      </c>
      <c r="AP43" s="651">
        <v>2</v>
      </c>
      <c r="AQ43" s="651">
        <v>2</v>
      </c>
      <c r="AR43" s="651">
        <v>0</v>
      </c>
      <c r="AS43" s="626">
        <v>0</v>
      </c>
      <c r="AT43" s="627">
        <v>0.13199999999999998</v>
      </c>
      <c r="AU43" s="415">
        <v>3.3920000000000003</v>
      </c>
      <c r="AV43" s="777"/>
    </row>
    <row r="44" spans="2:48" x14ac:dyDescent="0.35">
      <c r="B44" s="217">
        <v>3</v>
      </c>
      <c r="C44" s="218" t="s">
        <v>19</v>
      </c>
      <c r="D44" s="648">
        <v>4</v>
      </c>
      <c r="E44" s="648">
        <v>4</v>
      </c>
      <c r="F44" s="648">
        <v>4</v>
      </c>
      <c r="G44" s="648">
        <v>2</v>
      </c>
      <c r="H44" s="649">
        <v>0.76000000000000012</v>
      </c>
      <c r="I44" s="648">
        <v>4</v>
      </c>
      <c r="J44" s="648">
        <v>4</v>
      </c>
      <c r="K44" s="649">
        <v>0.6</v>
      </c>
      <c r="L44" s="648">
        <v>4</v>
      </c>
      <c r="M44" s="648">
        <v>0</v>
      </c>
      <c r="N44" s="649">
        <v>0.3</v>
      </c>
      <c r="O44" s="648">
        <v>4</v>
      </c>
      <c r="P44" s="648">
        <v>4</v>
      </c>
      <c r="Q44" s="648">
        <v>4</v>
      </c>
      <c r="R44" s="648">
        <v>4</v>
      </c>
      <c r="S44" s="648">
        <v>4</v>
      </c>
      <c r="T44" s="648">
        <v>4</v>
      </c>
      <c r="U44" s="649">
        <v>0.4</v>
      </c>
      <c r="V44" s="648">
        <v>4</v>
      </c>
      <c r="W44" s="648">
        <v>4</v>
      </c>
      <c r="X44" s="648">
        <v>4</v>
      </c>
      <c r="Y44" s="649">
        <v>0.48</v>
      </c>
      <c r="Z44" s="648">
        <v>4</v>
      </c>
      <c r="AA44" s="648">
        <v>4</v>
      </c>
      <c r="AB44" s="648">
        <v>4</v>
      </c>
      <c r="AC44" s="648">
        <v>4</v>
      </c>
      <c r="AD44" s="649">
        <v>0.4</v>
      </c>
      <c r="AE44" s="648">
        <v>0</v>
      </c>
      <c r="AF44" s="648">
        <v>0</v>
      </c>
      <c r="AG44" s="649">
        <v>0</v>
      </c>
      <c r="AH44" s="648">
        <v>4</v>
      </c>
      <c r="AI44" s="648">
        <v>4</v>
      </c>
      <c r="AJ44" s="648">
        <v>4</v>
      </c>
      <c r="AK44" s="648">
        <v>4</v>
      </c>
      <c r="AL44" s="648">
        <v>4</v>
      </c>
      <c r="AM44" s="649">
        <v>0.32</v>
      </c>
      <c r="AN44" s="648">
        <v>4</v>
      </c>
      <c r="AO44" s="648">
        <v>2</v>
      </c>
      <c r="AP44" s="648">
        <v>2</v>
      </c>
      <c r="AQ44" s="648">
        <v>2</v>
      </c>
      <c r="AR44" s="648">
        <v>0</v>
      </c>
      <c r="AS44" s="625">
        <v>0</v>
      </c>
      <c r="AT44" s="649">
        <v>0.13199999999999998</v>
      </c>
      <c r="AU44" s="412">
        <v>3.3920000000000003</v>
      </c>
      <c r="AV44" s="778"/>
    </row>
    <row r="45" spans="2:48" x14ac:dyDescent="0.35">
      <c r="B45" s="220">
        <v>4</v>
      </c>
      <c r="C45" s="221" t="s">
        <v>21</v>
      </c>
      <c r="D45" s="651">
        <v>4</v>
      </c>
      <c r="E45" s="651">
        <v>4</v>
      </c>
      <c r="F45" s="651">
        <v>4</v>
      </c>
      <c r="G45" s="651">
        <v>4</v>
      </c>
      <c r="H45" s="627">
        <v>0.8</v>
      </c>
      <c r="I45" s="651">
        <v>4</v>
      </c>
      <c r="J45" s="651">
        <v>4</v>
      </c>
      <c r="K45" s="627">
        <v>0.6</v>
      </c>
      <c r="L45" s="651">
        <v>4</v>
      </c>
      <c r="M45" s="651">
        <v>0</v>
      </c>
      <c r="N45" s="627">
        <v>0.3</v>
      </c>
      <c r="O45" s="651">
        <v>2</v>
      </c>
      <c r="P45" s="651">
        <v>4</v>
      </c>
      <c r="Q45" s="651">
        <v>2</v>
      </c>
      <c r="R45" s="651">
        <v>4</v>
      </c>
      <c r="S45" s="651">
        <v>4</v>
      </c>
      <c r="T45" s="651">
        <v>2</v>
      </c>
      <c r="U45" s="627">
        <v>0.26999999999999996</v>
      </c>
      <c r="V45" s="651">
        <v>4</v>
      </c>
      <c r="W45" s="651">
        <v>4</v>
      </c>
      <c r="X45" s="651">
        <v>4</v>
      </c>
      <c r="Y45" s="627">
        <v>0.48</v>
      </c>
      <c r="Z45" s="651">
        <v>4</v>
      </c>
      <c r="AA45" s="651">
        <v>4</v>
      </c>
      <c r="AB45" s="651">
        <v>4</v>
      </c>
      <c r="AC45" s="651">
        <v>4</v>
      </c>
      <c r="AD45" s="627">
        <v>0.4</v>
      </c>
      <c r="AE45" s="651">
        <v>0</v>
      </c>
      <c r="AF45" s="651">
        <v>0</v>
      </c>
      <c r="AG45" s="627">
        <v>0</v>
      </c>
      <c r="AH45" s="651">
        <v>4</v>
      </c>
      <c r="AI45" s="651">
        <v>2</v>
      </c>
      <c r="AJ45" s="651">
        <v>4</v>
      </c>
      <c r="AK45" s="651">
        <v>4</v>
      </c>
      <c r="AL45" s="651">
        <v>4</v>
      </c>
      <c r="AM45" s="627">
        <v>0.28800000000000003</v>
      </c>
      <c r="AN45" s="651">
        <v>4</v>
      </c>
      <c r="AO45" s="651">
        <v>0</v>
      </c>
      <c r="AP45" s="651">
        <v>0</v>
      </c>
      <c r="AQ45" s="651">
        <v>4</v>
      </c>
      <c r="AR45" s="651">
        <v>0</v>
      </c>
      <c r="AS45" s="626">
        <v>4</v>
      </c>
      <c r="AT45" s="627">
        <v>0.12</v>
      </c>
      <c r="AU45" s="415">
        <v>3.258</v>
      </c>
      <c r="AV45" s="416">
        <v>2</v>
      </c>
    </row>
    <row r="46" spans="2:48" x14ac:dyDescent="0.35">
      <c r="B46" s="217">
        <v>5</v>
      </c>
      <c r="C46" s="218" t="s">
        <v>30</v>
      </c>
      <c r="D46" s="648">
        <v>4</v>
      </c>
      <c r="E46" s="648">
        <v>4</v>
      </c>
      <c r="F46" s="648">
        <v>4</v>
      </c>
      <c r="G46" s="648">
        <v>2</v>
      </c>
      <c r="H46" s="649">
        <v>0.76000000000000012</v>
      </c>
      <c r="I46" s="648">
        <v>4</v>
      </c>
      <c r="J46" s="648">
        <v>4</v>
      </c>
      <c r="K46" s="649">
        <v>0.6</v>
      </c>
      <c r="L46" s="648">
        <v>0</v>
      </c>
      <c r="M46" s="648">
        <v>2</v>
      </c>
      <c r="N46" s="649">
        <v>0.15</v>
      </c>
      <c r="O46" s="648">
        <v>0</v>
      </c>
      <c r="P46" s="648">
        <v>4</v>
      </c>
      <c r="Q46" s="648">
        <v>4</v>
      </c>
      <c r="R46" s="648">
        <v>2</v>
      </c>
      <c r="S46" s="648">
        <v>2</v>
      </c>
      <c r="T46" s="648">
        <v>4</v>
      </c>
      <c r="U46" s="649">
        <v>0.30000000000000004</v>
      </c>
      <c r="V46" s="648">
        <v>4</v>
      </c>
      <c r="W46" s="648">
        <v>4</v>
      </c>
      <c r="X46" s="648">
        <v>4</v>
      </c>
      <c r="Y46" s="649">
        <v>0.48</v>
      </c>
      <c r="Z46" s="648">
        <v>4</v>
      </c>
      <c r="AA46" s="648">
        <v>4</v>
      </c>
      <c r="AB46" s="648">
        <v>0</v>
      </c>
      <c r="AC46" s="648">
        <v>4</v>
      </c>
      <c r="AD46" s="649">
        <v>0.32000000000000006</v>
      </c>
      <c r="AE46" s="648">
        <v>4</v>
      </c>
      <c r="AF46" s="648">
        <v>4</v>
      </c>
      <c r="AG46" s="649">
        <v>0.16</v>
      </c>
      <c r="AH46" s="648">
        <v>4</v>
      </c>
      <c r="AI46" s="648">
        <v>4</v>
      </c>
      <c r="AJ46" s="648">
        <v>4</v>
      </c>
      <c r="AK46" s="648">
        <v>4</v>
      </c>
      <c r="AL46" s="648">
        <v>4</v>
      </c>
      <c r="AM46" s="649">
        <v>0.32</v>
      </c>
      <c r="AN46" s="648">
        <v>4</v>
      </c>
      <c r="AO46" s="648">
        <v>2</v>
      </c>
      <c r="AP46" s="648">
        <v>2</v>
      </c>
      <c r="AQ46" s="648">
        <v>2</v>
      </c>
      <c r="AR46" s="648">
        <v>0</v>
      </c>
      <c r="AS46" s="625">
        <v>2</v>
      </c>
      <c r="AT46" s="649">
        <v>0.14399999999999999</v>
      </c>
      <c r="AU46" s="412">
        <v>3.234</v>
      </c>
      <c r="AV46" s="673">
        <v>4</v>
      </c>
    </row>
    <row r="47" spans="2:48" x14ac:dyDescent="0.35">
      <c r="B47" s="220">
        <v>6</v>
      </c>
      <c r="C47" s="221" t="s">
        <v>20</v>
      </c>
      <c r="D47" s="651">
        <v>4</v>
      </c>
      <c r="E47" s="651">
        <v>4</v>
      </c>
      <c r="F47" s="651">
        <v>2</v>
      </c>
      <c r="G47" s="651">
        <v>2</v>
      </c>
      <c r="H47" s="627">
        <v>0.66000000000000014</v>
      </c>
      <c r="I47" s="651">
        <v>4</v>
      </c>
      <c r="J47" s="651">
        <v>4</v>
      </c>
      <c r="K47" s="627">
        <v>0.6</v>
      </c>
      <c r="L47" s="651">
        <v>0</v>
      </c>
      <c r="M47" s="651">
        <v>2</v>
      </c>
      <c r="N47" s="627">
        <v>0.15</v>
      </c>
      <c r="O47" s="651">
        <v>4</v>
      </c>
      <c r="P47" s="651">
        <v>4</v>
      </c>
      <c r="Q47" s="651">
        <v>4</v>
      </c>
      <c r="R47" s="651">
        <v>4</v>
      </c>
      <c r="S47" s="651">
        <v>4</v>
      </c>
      <c r="T47" s="651">
        <v>4</v>
      </c>
      <c r="U47" s="627">
        <v>0.4</v>
      </c>
      <c r="V47" s="651">
        <v>4</v>
      </c>
      <c r="W47" s="651">
        <v>4</v>
      </c>
      <c r="X47" s="651">
        <v>4</v>
      </c>
      <c r="Y47" s="627">
        <v>0.48</v>
      </c>
      <c r="Z47" s="651">
        <v>4</v>
      </c>
      <c r="AA47" s="651">
        <v>4</v>
      </c>
      <c r="AB47" s="651">
        <v>0</v>
      </c>
      <c r="AC47" s="651">
        <v>4</v>
      </c>
      <c r="AD47" s="627">
        <v>0.32000000000000006</v>
      </c>
      <c r="AE47" s="651">
        <v>4</v>
      </c>
      <c r="AF47" s="651">
        <v>4</v>
      </c>
      <c r="AG47" s="627">
        <v>0.16</v>
      </c>
      <c r="AH47" s="651">
        <v>4</v>
      </c>
      <c r="AI47" s="651">
        <v>4</v>
      </c>
      <c r="AJ47" s="651">
        <v>4</v>
      </c>
      <c r="AK47" s="651">
        <v>4</v>
      </c>
      <c r="AL47" s="651">
        <v>4</v>
      </c>
      <c r="AM47" s="627">
        <v>0.32</v>
      </c>
      <c r="AN47" s="651">
        <v>4</v>
      </c>
      <c r="AO47" s="651">
        <v>2</v>
      </c>
      <c r="AP47" s="651">
        <v>2</v>
      </c>
      <c r="AQ47" s="651">
        <v>2</v>
      </c>
      <c r="AR47" s="651">
        <v>0</v>
      </c>
      <c r="AS47" s="626">
        <v>2</v>
      </c>
      <c r="AT47" s="627">
        <v>0.14399999999999999</v>
      </c>
      <c r="AU47" s="415">
        <v>3.234</v>
      </c>
      <c r="AV47" s="673">
        <v>3</v>
      </c>
    </row>
    <row r="48" spans="2:48" x14ac:dyDescent="0.35">
      <c r="B48" s="217">
        <v>7</v>
      </c>
      <c r="C48" s="218" t="s">
        <v>22</v>
      </c>
      <c r="D48" s="648">
        <v>4</v>
      </c>
      <c r="E48" s="648">
        <v>4</v>
      </c>
      <c r="F48" s="648">
        <v>2</v>
      </c>
      <c r="G48" s="648">
        <v>4</v>
      </c>
      <c r="H48" s="649">
        <v>0.70000000000000007</v>
      </c>
      <c r="I48" s="648">
        <v>4</v>
      </c>
      <c r="J48" s="648">
        <v>4</v>
      </c>
      <c r="K48" s="649">
        <v>0.6</v>
      </c>
      <c r="L48" s="648">
        <v>4</v>
      </c>
      <c r="M48" s="648">
        <v>0</v>
      </c>
      <c r="N48" s="649">
        <v>0.3</v>
      </c>
      <c r="O48" s="648">
        <v>4</v>
      </c>
      <c r="P48" s="648">
        <v>4</v>
      </c>
      <c r="Q48" s="648">
        <v>2</v>
      </c>
      <c r="R48" s="648">
        <v>4</v>
      </c>
      <c r="S48" s="648">
        <v>4</v>
      </c>
      <c r="T48" s="648">
        <v>4</v>
      </c>
      <c r="U48" s="649">
        <v>0.33999999999999997</v>
      </c>
      <c r="V48" s="648">
        <v>4</v>
      </c>
      <c r="W48" s="648">
        <v>4</v>
      </c>
      <c r="X48" s="648">
        <v>4</v>
      </c>
      <c r="Y48" s="649">
        <v>0.48</v>
      </c>
      <c r="Z48" s="648">
        <v>4</v>
      </c>
      <c r="AA48" s="648">
        <v>4</v>
      </c>
      <c r="AB48" s="648">
        <v>4</v>
      </c>
      <c r="AC48" s="648">
        <v>4</v>
      </c>
      <c r="AD48" s="649">
        <v>0.4</v>
      </c>
      <c r="AE48" s="648">
        <v>0</v>
      </c>
      <c r="AF48" s="648">
        <v>0</v>
      </c>
      <c r="AG48" s="649">
        <v>0</v>
      </c>
      <c r="AH48" s="648">
        <v>4</v>
      </c>
      <c r="AI48" s="648">
        <v>2</v>
      </c>
      <c r="AJ48" s="648">
        <v>4</v>
      </c>
      <c r="AK48" s="648">
        <v>4</v>
      </c>
      <c r="AL48" s="648">
        <v>4</v>
      </c>
      <c r="AM48" s="649">
        <v>0.28800000000000003</v>
      </c>
      <c r="AN48" s="648">
        <v>0</v>
      </c>
      <c r="AO48" s="648">
        <v>2</v>
      </c>
      <c r="AP48" s="648">
        <v>2</v>
      </c>
      <c r="AQ48" s="648">
        <v>4</v>
      </c>
      <c r="AR48" s="648">
        <v>2</v>
      </c>
      <c r="AS48" s="625">
        <v>4</v>
      </c>
      <c r="AT48" s="649">
        <v>0.10800000000000001</v>
      </c>
      <c r="AU48" s="412">
        <v>3.2160000000000002</v>
      </c>
      <c r="AV48" s="413">
        <v>5</v>
      </c>
    </row>
    <row r="49" spans="2:48" ht="27" x14ac:dyDescent="0.35">
      <c r="B49" s="220">
        <v>8</v>
      </c>
      <c r="C49" s="221" t="s">
        <v>1438</v>
      </c>
      <c r="D49" s="651">
        <v>4</v>
      </c>
      <c r="E49" s="651">
        <v>4</v>
      </c>
      <c r="F49" s="651">
        <v>2</v>
      </c>
      <c r="G49" s="651">
        <v>0</v>
      </c>
      <c r="H49" s="627">
        <v>0.62000000000000011</v>
      </c>
      <c r="I49" s="651">
        <v>4</v>
      </c>
      <c r="J49" s="651">
        <v>4</v>
      </c>
      <c r="K49" s="627">
        <v>0.6</v>
      </c>
      <c r="L49" s="651">
        <v>0</v>
      </c>
      <c r="M49" s="651">
        <v>2</v>
      </c>
      <c r="N49" s="627">
        <v>0.15</v>
      </c>
      <c r="O49" s="651">
        <v>4</v>
      </c>
      <c r="P49" s="651">
        <v>4</v>
      </c>
      <c r="Q49" s="651">
        <v>4</v>
      </c>
      <c r="R49" s="651">
        <v>4</v>
      </c>
      <c r="S49" s="651">
        <v>2</v>
      </c>
      <c r="T49" s="651">
        <v>2</v>
      </c>
      <c r="U49" s="627">
        <v>0.34</v>
      </c>
      <c r="V49" s="651">
        <v>4</v>
      </c>
      <c r="W49" s="651">
        <v>4</v>
      </c>
      <c r="X49" s="651">
        <v>4</v>
      </c>
      <c r="Y49" s="627">
        <v>0.48</v>
      </c>
      <c r="Z49" s="651">
        <v>4</v>
      </c>
      <c r="AA49" s="651">
        <v>4</v>
      </c>
      <c r="AB49" s="651">
        <v>0</v>
      </c>
      <c r="AC49" s="651">
        <v>4</v>
      </c>
      <c r="AD49" s="627">
        <v>0.32000000000000006</v>
      </c>
      <c r="AE49" s="651">
        <v>4</v>
      </c>
      <c r="AF49" s="651">
        <v>4</v>
      </c>
      <c r="AG49" s="627">
        <v>0.16</v>
      </c>
      <c r="AH49" s="651">
        <v>4</v>
      </c>
      <c r="AI49" s="651">
        <v>4</v>
      </c>
      <c r="AJ49" s="651">
        <v>4</v>
      </c>
      <c r="AK49" s="651">
        <v>4</v>
      </c>
      <c r="AL49" s="651">
        <v>4</v>
      </c>
      <c r="AM49" s="627">
        <v>0.32</v>
      </c>
      <c r="AN49" s="651">
        <v>4</v>
      </c>
      <c r="AO49" s="651">
        <v>2</v>
      </c>
      <c r="AP49" s="651">
        <v>2</v>
      </c>
      <c r="AQ49" s="651">
        <v>2</v>
      </c>
      <c r="AR49" s="651">
        <v>0</v>
      </c>
      <c r="AS49" s="626">
        <v>2</v>
      </c>
      <c r="AT49" s="627">
        <v>0.14399999999999999</v>
      </c>
      <c r="AU49" s="415">
        <v>3.1340000000000003</v>
      </c>
      <c r="AV49" s="416">
        <v>6</v>
      </c>
    </row>
    <row r="50" spans="2:48" x14ac:dyDescent="0.35">
      <c r="B50" s="217">
        <v>9</v>
      </c>
      <c r="C50" s="218" t="s">
        <v>25</v>
      </c>
      <c r="D50" s="648">
        <v>4</v>
      </c>
      <c r="E50" s="648">
        <v>2</v>
      </c>
      <c r="F50" s="648">
        <v>2</v>
      </c>
      <c r="G50" s="648">
        <v>4</v>
      </c>
      <c r="H50" s="649">
        <v>0.64</v>
      </c>
      <c r="I50" s="648">
        <v>4</v>
      </c>
      <c r="J50" s="648">
        <v>4</v>
      </c>
      <c r="K50" s="649">
        <v>0.6</v>
      </c>
      <c r="L50" s="648">
        <v>0</v>
      </c>
      <c r="M50" s="648">
        <v>0</v>
      </c>
      <c r="N50" s="649">
        <v>0</v>
      </c>
      <c r="O50" s="648">
        <v>4</v>
      </c>
      <c r="P50" s="648">
        <v>4</v>
      </c>
      <c r="Q50" s="648">
        <v>4</v>
      </c>
      <c r="R50" s="648">
        <v>2</v>
      </c>
      <c r="S50" s="648">
        <v>4</v>
      </c>
      <c r="T50" s="648">
        <v>2</v>
      </c>
      <c r="U50" s="649">
        <v>0.34</v>
      </c>
      <c r="V50" s="648">
        <v>4</v>
      </c>
      <c r="W50" s="648">
        <v>4</v>
      </c>
      <c r="X50" s="648">
        <v>4</v>
      </c>
      <c r="Y50" s="649">
        <v>0.48</v>
      </c>
      <c r="Z50" s="648">
        <v>0</v>
      </c>
      <c r="AA50" s="648">
        <v>4</v>
      </c>
      <c r="AB50" s="648">
        <v>2</v>
      </c>
      <c r="AC50" s="648">
        <v>4</v>
      </c>
      <c r="AD50" s="649">
        <v>0.28000000000000003</v>
      </c>
      <c r="AE50" s="648">
        <v>4</v>
      </c>
      <c r="AF50" s="648">
        <v>4</v>
      </c>
      <c r="AG50" s="649">
        <v>0.16</v>
      </c>
      <c r="AH50" s="648">
        <v>4</v>
      </c>
      <c r="AI50" s="648">
        <v>4</v>
      </c>
      <c r="AJ50" s="648">
        <v>2</v>
      </c>
      <c r="AK50" s="648">
        <v>4</v>
      </c>
      <c r="AL50" s="648">
        <v>4</v>
      </c>
      <c r="AM50" s="649">
        <v>0.30400000000000005</v>
      </c>
      <c r="AN50" s="648">
        <v>0</v>
      </c>
      <c r="AO50" s="648">
        <v>4</v>
      </c>
      <c r="AP50" s="648">
        <v>2</v>
      </c>
      <c r="AQ50" s="648">
        <v>4</v>
      </c>
      <c r="AR50" s="648">
        <v>0</v>
      </c>
      <c r="AS50" s="625">
        <v>4</v>
      </c>
      <c r="AT50" s="649">
        <v>0.13199999999999998</v>
      </c>
      <c r="AU50" s="412">
        <v>2.9359999999999999</v>
      </c>
      <c r="AV50" s="420">
        <v>7</v>
      </c>
    </row>
    <row r="51" spans="2:48" x14ac:dyDescent="0.35">
      <c r="B51" s="220">
        <v>10</v>
      </c>
      <c r="C51" s="221" t="s">
        <v>43</v>
      </c>
      <c r="D51" s="651">
        <v>4</v>
      </c>
      <c r="E51" s="651">
        <v>2</v>
      </c>
      <c r="F51" s="651">
        <v>4</v>
      </c>
      <c r="G51" s="651">
        <v>2</v>
      </c>
      <c r="H51" s="627">
        <v>0.70000000000000007</v>
      </c>
      <c r="I51" s="651">
        <v>4</v>
      </c>
      <c r="J51" s="651">
        <v>4</v>
      </c>
      <c r="K51" s="627">
        <v>0.6</v>
      </c>
      <c r="L51" s="651">
        <v>0</v>
      </c>
      <c r="M51" s="651">
        <v>2</v>
      </c>
      <c r="N51" s="627">
        <v>0.15</v>
      </c>
      <c r="O51" s="651">
        <v>4</v>
      </c>
      <c r="P51" s="651">
        <v>4</v>
      </c>
      <c r="Q51" s="651">
        <v>2</v>
      </c>
      <c r="R51" s="651">
        <v>2</v>
      </c>
      <c r="S51" s="651">
        <v>4</v>
      </c>
      <c r="T51" s="651">
        <v>0</v>
      </c>
      <c r="U51" s="627">
        <v>0.24</v>
      </c>
      <c r="V51" s="651">
        <v>4</v>
      </c>
      <c r="W51" s="651">
        <v>0</v>
      </c>
      <c r="X51" s="651">
        <v>2</v>
      </c>
      <c r="Y51" s="627">
        <v>0.28800000000000003</v>
      </c>
      <c r="Z51" s="651">
        <v>0</v>
      </c>
      <c r="AA51" s="651">
        <v>4</v>
      </c>
      <c r="AB51" s="651">
        <v>2</v>
      </c>
      <c r="AC51" s="651">
        <v>0</v>
      </c>
      <c r="AD51" s="627">
        <v>0.12000000000000002</v>
      </c>
      <c r="AE51" s="651">
        <v>0</v>
      </c>
      <c r="AF51" s="651">
        <v>0</v>
      </c>
      <c r="AG51" s="627">
        <v>0</v>
      </c>
      <c r="AH51" s="651">
        <v>4</v>
      </c>
      <c r="AI51" s="651">
        <v>4</v>
      </c>
      <c r="AJ51" s="651">
        <v>2</v>
      </c>
      <c r="AK51" s="651">
        <v>4</v>
      </c>
      <c r="AL51" s="651">
        <v>4</v>
      </c>
      <c r="AM51" s="627">
        <v>0.30400000000000005</v>
      </c>
      <c r="AN51" s="651">
        <v>4</v>
      </c>
      <c r="AO51" s="651">
        <v>0</v>
      </c>
      <c r="AP51" s="651">
        <v>0</v>
      </c>
      <c r="AQ51" s="651">
        <v>4</v>
      </c>
      <c r="AR51" s="651">
        <v>2</v>
      </c>
      <c r="AS51" s="626">
        <v>4</v>
      </c>
      <c r="AT51" s="627">
        <v>0.13200000000000001</v>
      </c>
      <c r="AU51" s="415">
        <v>2.5339999999999998</v>
      </c>
      <c r="AV51" s="420">
        <v>17</v>
      </c>
    </row>
    <row r="52" spans="2:48" x14ac:dyDescent="0.35">
      <c r="B52" s="217">
        <v>11</v>
      </c>
      <c r="C52" s="218" t="s">
        <v>36</v>
      </c>
      <c r="D52" s="648">
        <v>4</v>
      </c>
      <c r="E52" s="648">
        <v>2</v>
      </c>
      <c r="F52" s="648">
        <v>2</v>
      </c>
      <c r="G52" s="648">
        <v>4</v>
      </c>
      <c r="H52" s="649">
        <v>0.64</v>
      </c>
      <c r="I52" s="648">
        <v>4</v>
      </c>
      <c r="J52" s="648">
        <v>4</v>
      </c>
      <c r="K52" s="649">
        <v>0.6</v>
      </c>
      <c r="L52" s="648">
        <v>0</v>
      </c>
      <c r="M52" s="648">
        <v>0</v>
      </c>
      <c r="N52" s="649">
        <v>0</v>
      </c>
      <c r="O52" s="648">
        <v>4</v>
      </c>
      <c r="P52" s="648">
        <v>4</v>
      </c>
      <c r="Q52" s="648">
        <v>0</v>
      </c>
      <c r="R52" s="648">
        <v>4</v>
      </c>
      <c r="S52" s="648">
        <v>4</v>
      </c>
      <c r="T52" s="648">
        <v>0</v>
      </c>
      <c r="U52" s="649">
        <v>0.2</v>
      </c>
      <c r="V52" s="648">
        <v>0</v>
      </c>
      <c r="W52" s="648">
        <v>4</v>
      </c>
      <c r="X52" s="648">
        <v>4</v>
      </c>
      <c r="Y52" s="649">
        <v>0.28800000000000003</v>
      </c>
      <c r="Z52" s="648">
        <v>0</v>
      </c>
      <c r="AA52" s="648">
        <v>4</v>
      </c>
      <c r="AB52" s="648">
        <v>2</v>
      </c>
      <c r="AC52" s="648">
        <v>0</v>
      </c>
      <c r="AD52" s="649">
        <v>0.12000000000000002</v>
      </c>
      <c r="AE52" s="648">
        <v>4</v>
      </c>
      <c r="AF52" s="648">
        <v>4</v>
      </c>
      <c r="AG52" s="649">
        <v>0.16</v>
      </c>
      <c r="AH52" s="648">
        <v>4</v>
      </c>
      <c r="AI52" s="648">
        <v>4</v>
      </c>
      <c r="AJ52" s="648">
        <v>4</v>
      </c>
      <c r="AK52" s="648">
        <v>4</v>
      </c>
      <c r="AL52" s="648">
        <v>4</v>
      </c>
      <c r="AM52" s="649">
        <v>0.32</v>
      </c>
      <c r="AN52" s="648">
        <v>4</v>
      </c>
      <c r="AO52" s="648">
        <v>2</v>
      </c>
      <c r="AP52" s="648">
        <v>2</v>
      </c>
      <c r="AQ52" s="648">
        <v>4</v>
      </c>
      <c r="AR52" s="648">
        <v>4</v>
      </c>
      <c r="AS52" s="625">
        <v>4</v>
      </c>
      <c r="AT52" s="649">
        <v>0.19199999999999998</v>
      </c>
      <c r="AU52" s="412">
        <v>2.52</v>
      </c>
      <c r="AV52" s="419">
        <v>19</v>
      </c>
    </row>
    <row r="53" spans="2:48" x14ac:dyDescent="0.35">
      <c r="B53" s="220">
        <v>12</v>
      </c>
      <c r="C53" s="221" t="s">
        <v>49</v>
      </c>
      <c r="D53" s="651">
        <v>0</v>
      </c>
      <c r="E53" s="651">
        <v>2</v>
      </c>
      <c r="F53" s="651">
        <v>2</v>
      </c>
      <c r="G53" s="651">
        <v>4</v>
      </c>
      <c r="H53" s="627">
        <v>0.24000000000000005</v>
      </c>
      <c r="I53" s="651">
        <v>4</v>
      </c>
      <c r="J53" s="651">
        <v>4</v>
      </c>
      <c r="K53" s="627">
        <v>0.6</v>
      </c>
      <c r="L53" s="651">
        <v>0</v>
      </c>
      <c r="M53" s="651">
        <v>2</v>
      </c>
      <c r="N53" s="627">
        <v>0.15</v>
      </c>
      <c r="O53" s="651">
        <v>4</v>
      </c>
      <c r="P53" s="651">
        <v>4</v>
      </c>
      <c r="Q53" s="651">
        <v>2</v>
      </c>
      <c r="R53" s="651">
        <v>2</v>
      </c>
      <c r="S53" s="651">
        <v>4</v>
      </c>
      <c r="T53" s="651">
        <v>2</v>
      </c>
      <c r="U53" s="627">
        <v>0.27999999999999997</v>
      </c>
      <c r="V53" s="651">
        <v>4</v>
      </c>
      <c r="W53" s="651">
        <v>4</v>
      </c>
      <c r="X53" s="651">
        <v>4</v>
      </c>
      <c r="Y53" s="627">
        <v>0.48</v>
      </c>
      <c r="Z53" s="651">
        <v>0</v>
      </c>
      <c r="AA53" s="651">
        <v>4</v>
      </c>
      <c r="AB53" s="651">
        <v>4</v>
      </c>
      <c r="AC53" s="651">
        <v>4</v>
      </c>
      <c r="AD53" s="627">
        <v>0.32000000000000006</v>
      </c>
      <c r="AE53" s="651">
        <v>0</v>
      </c>
      <c r="AF53" s="651">
        <v>0</v>
      </c>
      <c r="AG53" s="627">
        <v>0</v>
      </c>
      <c r="AH53" s="651">
        <v>4</v>
      </c>
      <c r="AI53" s="651">
        <v>4</v>
      </c>
      <c r="AJ53" s="651">
        <v>4</v>
      </c>
      <c r="AK53" s="651">
        <v>4</v>
      </c>
      <c r="AL53" s="651">
        <v>4</v>
      </c>
      <c r="AM53" s="627">
        <v>0.32</v>
      </c>
      <c r="AN53" s="651">
        <v>0</v>
      </c>
      <c r="AO53" s="651">
        <v>0</v>
      </c>
      <c r="AP53" s="651">
        <v>0</v>
      </c>
      <c r="AQ53" s="651">
        <v>4</v>
      </c>
      <c r="AR53" s="651">
        <v>2</v>
      </c>
      <c r="AS53" s="626">
        <v>4</v>
      </c>
      <c r="AT53" s="627">
        <v>0.06</v>
      </c>
      <c r="AU53" s="415">
        <v>2.4500000000000002</v>
      </c>
      <c r="AV53" s="420">
        <v>25</v>
      </c>
    </row>
    <row r="54" spans="2:48" x14ac:dyDescent="0.35">
      <c r="B54" s="217">
        <v>13</v>
      </c>
      <c r="C54" s="218" t="s">
        <v>53</v>
      </c>
      <c r="D54" s="648">
        <v>0</v>
      </c>
      <c r="E54" s="648">
        <v>2</v>
      </c>
      <c r="F54" s="648">
        <v>0</v>
      </c>
      <c r="G54" s="648">
        <v>0</v>
      </c>
      <c r="H54" s="649">
        <v>0.06</v>
      </c>
      <c r="I54" s="648">
        <v>0</v>
      </c>
      <c r="J54" s="648">
        <v>4</v>
      </c>
      <c r="K54" s="649">
        <v>0.36</v>
      </c>
      <c r="L54" s="648">
        <v>0</v>
      </c>
      <c r="M54" s="648">
        <v>4</v>
      </c>
      <c r="N54" s="649">
        <v>0.3</v>
      </c>
      <c r="O54" s="648">
        <v>4</v>
      </c>
      <c r="P54" s="648">
        <v>4</v>
      </c>
      <c r="Q54" s="648">
        <v>4</v>
      </c>
      <c r="R54" s="648">
        <v>4</v>
      </c>
      <c r="S54" s="648">
        <v>2</v>
      </c>
      <c r="T54" s="648">
        <v>4</v>
      </c>
      <c r="U54" s="649">
        <v>0.38</v>
      </c>
      <c r="V54" s="648">
        <v>4</v>
      </c>
      <c r="W54" s="648">
        <v>2</v>
      </c>
      <c r="X54" s="648">
        <v>4</v>
      </c>
      <c r="Y54" s="649">
        <v>0.432</v>
      </c>
      <c r="Z54" s="648">
        <v>4</v>
      </c>
      <c r="AA54" s="648">
        <v>4</v>
      </c>
      <c r="AB54" s="648">
        <v>4</v>
      </c>
      <c r="AC54" s="648">
        <v>4</v>
      </c>
      <c r="AD54" s="649">
        <v>0.4</v>
      </c>
      <c r="AE54" s="648">
        <v>0</v>
      </c>
      <c r="AF54" s="648">
        <v>0</v>
      </c>
      <c r="AG54" s="649">
        <v>0</v>
      </c>
      <c r="AH54" s="648">
        <v>4</v>
      </c>
      <c r="AI54" s="648">
        <v>2</v>
      </c>
      <c r="AJ54" s="648">
        <v>2</v>
      </c>
      <c r="AK54" s="648">
        <v>4</v>
      </c>
      <c r="AL54" s="648">
        <v>4</v>
      </c>
      <c r="AM54" s="649">
        <v>0.27200000000000002</v>
      </c>
      <c r="AN54" s="648">
        <v>0</v>
      </c>
      <c r="AO54" s="648">
        <v>2</v>
      </c>
      <c r="AP54" s="648">
        <v>2</v>
      </c>
      <c r="AQ54" s="648">
        <v>0</v>
      </c>
      <c r="AR54" s="648">
        <v>0</v>
      </c>
      <c r="AS54" s="625">
        <v>2</v>
      </c>
      <c r="AT54" s="649">
        <v>0.06</v>
      </c>
      <c r="AU54" s="412">
        <v>2.2640000000000002</v>
      </c>
      <c r="AV54" s="420">
        <v>36</v>
      </c>
    </row>
    <row r="55" spans="2:48" x14ac:dyDescent="0.35">
      <c r="B55" s="220">
        <v>14</v>
      </c>
      <c r="C55" s="221" t="s">
        <v>55</v>
      </c>
      <c r="D55" s="651">
        <v>2</v>
      </c>
      <c r="E55" s="651">
        <v>4</v>
      </c>
      <c r="F55" s="651">
        <v>2</v>
      </c>
      <c r="G55" s="651">
        <v>4</v>
      </c>
      <c r="H55" s="627">
        <v>0.5</v>
      </c>
      <c r="I55" s="651">
        <v>4</v>
      </c>
      <c r="J55" s="651">
        <v>4</v>
      </c>
      <c r="K55" s="627">
        <v>0.6</v>
      </c>
      <c r="L55" s="651">
        <v>0</v>
      </c>
      <c r="M55" s="651">
        <v>0</v>
      </c>
      <c r="N55" s="627">
        <v>0</v>
      </c>
      <c r="O55" s="651">
        <v>2</v>
      </c>
      <c r="P55" s="651">
        <v>0</v>
      </c>
      <c r="Q55" s="651">
        <v>0</v>
      </c>
      <c r="R55" s="651">
        <v>4</v>
      </c>
      <c r="S55" s="651">
        <v>4</v>
      </c>
      <c r="T55" s="651">
        <v>2</v>
      </c>
      <c r="U55" s="627">
        <v>0.15000000000000002</v>
      </c>
      <c r="V55" s="651">
        <v>4</v>
      </c>
      <c r="W55" s="651">
        <v>0</v>
      </c>
      <c r="X55" s="651">
        <v>4</v>
      </c>
      <c r="Y55" s="627">
        <v>0.38400000000000001</v>
      </c>
      <c r="Z55" s="651">
        <v>0</v>
      </c>
      <c r="AA55" s="651">
        <v>4</v>
      </c>
      <c r="AB55" s="651">
        <v>0</v>
      </c>
      <c r="AC55" s="651">
        <v>4</v>
      </c>
      <c r="AD55" s="627">
        <v>0.24000000000000005</v>
      </c>
      <c r="AE55" s="651">
        <v>0</v>
      </c>
      <c r="AF55" s="651">
        <v>0</v>
      </c>
      <c r="AG55" s="627">
        <v>0</v>
      </c>
      <c r="AH55" s="651">
        <v>2</v>
      </c>
      <c r="AI55" s="651">
        <v>2</v>
      </c>
      <c r="AJ55" s="651">
        <v>2</v>
      </c>
      <c r="AK55" s="651">
        <v>4</v>
      </c>
      <c r="AL55" s="651">
        <v>2</v>
      </c>
      <c r="AM55" s="627">
        <v>0.184</v>
      </c>
      <c r="AN55" s="651">
        <v>0</v>
      </c>
      <c r="AO55" s="651">
        <v>2</v>
      </c>
      <c r="AP55" s="651">
        <v>2</v>
      </c>
      <c r="AQ55" s="651">
        <v>4</v>
      </c>
      <c r="AR55" s="651">
        <v>4</v>
      </c>
      <c r="AS55" s="626">
        <v>4</v>
      </c>
      <c r="AT55" s="627">
        <v>0.12</v>
      </c>
      <c r="AU55" s="415">
        <v>2.1779999999999999</v>
      </c>
      <c r="AV55" s="420">
        <v>38</v>
      </c>
    </row>
  </sheetData>
  <mergeCells count="20">
    <mergeCell ref="B39:B40"/>
    <mergeCell ref="B2:B3"/>
    <mergeCell ref="N5:N7"/>
    <mergeCell ref="N2:N3"/>
    <mergeCell ref="AM21:AM22"/>
    <mergeCell ref="C21:C22"/>
    <mergeCell ref="B21:B22"/>
    <mergeCell ref="AL21:AL22"/>
    <mergeCell ref="D21:G21"/>
    <mergeCell ref="AV42:AV44"/>
    <mergeCell ref="H21:I21"/>
    <mergeCell ref="J21:K21"/>
    <mergeCell ref="L21:Q21"/>
    <mergeCell ref="R21:T21"/>
    <mergeCell ref="U21:X21"/>
    <mergeCell ref="Y21:Z21"/>
    <mergeCell ref="AA21:AE21"/>
    <mergeCell ref="AF21:AK21"/>
    <mergeCell ref="AM23:AM25"/>
    <mergeCell ref="AV39:AV40"/>
  </mergeCells>
  <conditionalFormatting sqref="N5 N8:N18">
    <cfRule type="cellIs" dxfId="2788" priority="120" operator="lessThan">
      <formula>10</formula>
    </cfRule>
  </conditionalFormatting>
  <conditionalFormatting sqref="D5:D20">
    <cfRule type="colorScale" priority="85">
      <colorScale>
        <cfvo type="num" val="0"/>
        <cfvo type="num" val="0.4"/>
        <cfvo type="num" val="0.8"/>
        <color theme="0"/>
        <color rgb="FFFFEB84"/>
        <color rgb="FF66FFCC"/>
      </colorScale>
    </cfRule>
  </conditionalFormatting>
  <conditionalFormatting sqref="E5:E20">
    <cfRule type="colorScale" priority="84">
      <colorScale>
        <cfvo type="num" val="0"/>
        <cfvo type="num" val="0.3"/>
        <cfvo type="num" val="0.6"/>
        <color theme="0"/>
        <color rgb="FFFFEB84"/>
        <color rgb="FF66FFCC"/>
      </colorScale>
    </cfRule>
  </conditionalFormatting>
  <conditionalFormatting sqref="F5:F20">
    <cfRule type="colorScale" priority="83">
      <colorScale>
        <cfvo type="num" val="0"/>
        <cfvo type="num" val="0.3"/>
        <cfvo type="num" val="0.6"/>
        <color theme="0"/>
        <color rgb="FFFFEB84"/>
        <color rgb="FF66FFCC"/>
      </colorScale>
    </cfRule>
  </conditionalFormatting>
  <conditionalFormatting sqref="G5:G20">
    <cfRule type="colorScale" priority="82">
      <colorScale>
        <cfvo type="num" val="0"/>
        <cfvo type="num" val="0.2"/>
        <cfvo type="num" val="0.4"/>
        <color theme="0"/>
        <color rgb="FFFFEB84"/>
        <color rgb="FF66FFCC"/>
      </colorScale>
    </cfRule>
  </conditionalFormatting>
  <conditionalFormatting sqref="H5:H20">
    <cfRule type="colorScale" priority="81">
      <colorScale>
        <cfvo type="num" val="0"/>
        <cfvo type="num" val="0.24"/>
        <cfvo type="num" val="0.48"/>
        <color theme="0"/>
        <color rgb="FFFFEB84"/>
        <color rgb="FF66FFCC"/>
      </colorScale>
    </cfRule>
  </conditionalFormatting>
  <conditionalFormatting sqref="I5:I20">
    <cfRule type="colorScale" priority="80">
      <colorScale>
        <cfvo type="num" val="0"/>
        <cfvo type="num" val="0.2"/>
        <cfvo type="num" val="0.4"/>
        <color theme="0"/>
        <color rgb="FFFFEB84"/>
        <color rgb="FF66FFCC"/>
      </colorScale>
    </cfRule>
  </conditionalFormatting>
  <conditionalFormatting sqref="J5:J20">
    <cfRule type="colorScale" priority="79">
      <colorScale>
        <cfvo type="num" val="0"/>
        <cfvo type="num" val="0.08"/>
        <cfvo type="num" val="0.16"/>
        <color theme="0"/>
        <color rgb="FFFFEB84"/>
        <color rgb="FF66FFCC"/>
      </colorScale>
    </cfRule>
  </conditionalFormatting>
  <conditionalFormatting sqref="K5:K20">
    <cfRule type="colorScale" priority="78">
      <colorScale>
        <cfvo type="num" val="0"/>
        <cfvo type="num" val="0.16"/>
        <cfvo type="num" val="0.32"/>
        <color theme="0"/>
        <color rgb="FFFFEB84"/>
        <color rgb="FF66FFCC"/>
      </colorScale>
    </cfRule>
  </conditionalFormatting>
  <conditionalFormatting sqref="L5:L20">
    <cfRule type="colorScale" priority="77">
      <colorScale>
        <cfvo type="num" val="0"/>
        <cfvo type="num" val="0.12"/>
        <cfvo type="num" val="0.24"/>
        <color theme="0"/>
        <color rgb="FFFFEB84"/>
        <color rgb="FF66FFCC"/>
      </colorScale>
    </cfRule>
  </conditionalFormatting>
  <conditionalFormatting sqref="D23:D36">
    <cfRule type="colorScale" priority="75">
      <colorScale>
        <cfvo type="num" val="0"/>
        <cfvo type="num" val="2"/>
        <cfvo type="num" val="4"/>
        <color theme="0"/>
        <color rgb="FFFFEB9C"/>
        <color rgb="FF66FFCC"/>
      </colorScale>
    </cfRule>
  </conditionalFormatting>
  <conditionalFormatting sqref="E23:E36">
    <cfRule type="colorScale" priority="74">
      <colorScale>
        <cfvo type="num" val="0"/>
        <cfvo type="num" val="2"/>
        <cfvo type="num" val="4"/>
        <color theme="0"/>
        <color rgb="FFFFEB9C"/>
        <color rgb="FF66FFCC"/>
      </colorScale>
    </cfRule>
  </conditionalFormatting>
  <conditionalFormatting sqref="F23:F36">
    <cfRule type="colorScale" priority="73">
      <colorScale>
        <cfvo type="num" val="0"/>
        <cfvo type="num" val="2"/>
        <cfvo type="num" val="4"/>
        <color theme="0"/>
        <color rgb="FFFFEB9C"/>
        <color rgb="FF66FFCC"/>
      </colorScale>
    </cfRule>
  </conditionalFormatting>
  <conditionalFormatting sqref="G23:G36">
    <cfRule type="colorScale" priority="72">
      <colorScale>
        <cfvo type="num" val="0"/>
        <cfvo type="num" val="2"/>
        <cfvo type="num" val="4"/>
        <color theme="0"/>
        <color rgb="FFFFEB9C"/>
        <color rgb="FF66FFCC"/>
      </colorScale>
    </cfRule>
  </conditionalFormatting>
  <conditionalFormatting sqref="H23:H36">
    <cfRule type="colorScale" priority="71">
      <colorScale>
        <cfvo type="num" val="0"/>
        <cfvo type="num" val="2"/>
        <cfvo type="num" val="4"/>
        <color theme="0"/>
        <color rgb="FFFFEB9C"/>
        <color rgb="FF66FFCC"/>
      </colorScale>
    </cfRule>
  </conditionalFormatting>
  <conditionalFormatting sqref="I23:I36">
    <cfRule type="colorScale" priority="70">
      <colorScale>
        <cfvo type="num" val="0"/>
        <cfvo type="num" val="2"/>
        <cfvo type="num" val="4"/>
        <color theme="0"/>
        <color rgb="FFFFEB9C"/>
        <color rgb="FF66FFCC"/>
      </colorScale>
    </cfRule>
  </conditionalFormatting>
  <conditionalFormatting sqref="J23:J36">
    <cfRule type="colorScale" priority="69">
      <colorScale>
        <cfvo type="num" val="0"/>
        <cfvo type="num" val="2"/>
        <cfvo type="num" val="4"/>
        <color theme="0"/>
        <color rgb="FFFFEB9C"/>
        <color rgb="FF66FFCC"/>
      </colorScale>
    </cfRule>
  </conditionalFormatting>
  <conditionalFormatting sqref="K23:K36">
    <cfRule type="colorScale" priority="68">
      <colorScale>
        <cfvo type="num" val="0"/>
        <cfvo type="num" val="2"/>
        <cfvo type="num" val="4"/>
        <color theme="0"/>
        <color rgb="FFFFEB9C"/>
        <color rgb="FF66FFCC"/>
      </colorScale>
    </cfRule>
  </conditionalFormatting>
  <conditionalFormatting sqref="L23:L36">
    <cfRule type="colorScale" priority="67">
      <colorScale>
        <cfvo type="num" val="0"/>
        <cfvo type="num" val="2"/>
        <cfvo type="num" val="4"/>
        <color theme="0"/>
        <color rgb="FFFFEB9C"/>
        <color rgb="FF66FFCC"/>
      </colorScale>
    </cfRule>
  </conditionalFormatting>
  <conditionalFormatting sqref="M23:M36">
    <cfRule type="colorScale" priority="66">
      <colorScale>
        <cfvo type="num" val="0"/>
        <cfvo type="num" val="2"/>
        <cfvo type="num" val="4"/>
        <color theme="0"/>
        <color rgb="FFFFEB9C"/>
        <color rgb="FF66FFCC"/>
      </colorScale>
    </cfRule>
  </conditionalFormatting>
  <conditionalFormatting sqref="N23:N36">
    <cfRule type="colorScale" priority="65">
      <colorScale>
        <cfvo type="num" val="0"/>
        <cfvo type="num" val="2"/>
        <cfvo type="num" val="4"/>
        <color theme="0"/>
        <color rgb="FFFFEB9C"/>
        <color rgb="FF66FFCC"/>
      </colorScale>
    </cfRule>
  </conditionalFormatting>
  <conditionalFormatting sqref="O23:O36">
    <cfRule type="colorScale" priority="64">
      <colorScale>
        <cfvo type="num" val="0"/>
        <cfvo type="num" val="2"/>
        <cfvo type="num" val="4"/>
        <color theme="0"/>
        <color rgb="FFFFEB9C"/>
        <color rgb="FF66FFCC"/>
      </colorScale>
    </cfRule>
  </conditionalFormatting>
  <conditionalFormatting sqref="P23:P36">
    <cfRule type="colorScale" priority="63">
      <colorScale>
        <cfvo type="num" val="0"/>
        <cfvo type="num" val="2"/>
        <cfvo type="num" val="4"/>
        <color theme="0"/>
        <color rgb="FFFFEB9C"/>
        <color rgb="FF66FFCC"/>
      </colorScale>
    </cfRule>
  </conditionalFormatting>
  <conditionalFormatting sqref="Q23:Q36">
    <cfRule type="colorScale" priority="62">
      <colorScale>
        <cfvo type="num" val="0"/>
        <cfvo type="num" val="2"/>
        <cfvo type="num" val="4"/>
        <color theme="0"/>
        <color rgb="FFFFEB9C"/>
        <color rgb="FF66FFCC"/>
      </colorScale>
    </cfRule>
  </conditionalFormatting>
  <conditionalFormatting sqref="R23:R36">
    <cfRule type="colorScale" priority="61">
      <colorScale>
        <cfvo type="num" val="0"/>
        <cfvo type="num" val="2"/>
        <cfvo type="num" val="4"/>
        <color theme="0"/>
        <color rgb="FFFFEB9C"/>
        <color rgb="FF66FFCC"/>
      </colorScale>
    </cfRule>
  </conditionalFormatting>
  <conditionalFormatting sqref="S23:S36">
    <cfRule type="colorScale" priority="60">
      <colorScale>
        <cfvo type="num" val="0"/>
        <cfvo type="num" val="2"/>
        <cfvo type="num" val="4"/>
        <color theme="0"/>
        <color rgb="FFFFEB9C"/>
        <color rgb="FF66FFCC"/>
      </colorScale>
    </cfRule>
  </conditionalFormatting>
  <conditionalFormatting sqref="T23:T36">
    <cfRule type="colorScale" priority="59">
      <colorScale>
        <cfvo type="num" val="0"/>
        <cfvo type="num" val="2"/>
        <cfvo type="num" val="4"/>
        <color theme="0"/>
        <color rgb="FFFFEB9C"/>
        <color rgb="FF66FFCC"/>
      </colorScale>
    </cfRule>
  </conditionalFormatting>
  <conditionalFormatting sqref="U23:U36">
    <cfRule type="colorScale" priority="58">
      <colorScale>
        <cfvo type="num" val="0"/>
        <cfvo type="num" val="2"/>
        <cfvo type="num" val="4"/>
        <color theme="0"/>
        <color rgb="FFFFEB9C"/>
        <color rgb="FF66FFCC"/>
      </colorScale>
    </cfRule>
  </conditionalFormatting>
  <conditionalFormatting sqref="V23:V36">
    <cfRule type="colorScale" priority="57">
      <colorScale>
        <cfvo type="num" val="0"/>
        <cfvo type="num" val="2"/>
        <cfvo type="num" val="4"/>
        <color theme="0"/>
        <color rgb="FFFFEB9C"/>
        <color rgb="FF66FFCC"/>
      </colorScale>
    </cfRule>
  </conditionalFormatting>
  <conditionalFormatting sqref="W23:W36">
    <cfRule type="colorScale" priority="56">
      <colorScale>
        <cfvo type="num" val="0"/>
        <cfvo type="num" val="2"/>
        <cfvo type="num" val="4"/>
        <color theme="0"/>
        <color rgb="FFFFEB9C"/>
        <color rgb="FF66FFCC"/>
      </colorScale>
    </cfRule>
  </conditionalFormatting>
  <conditionalFormatting sqref="X23:X36">
    <cfRule type="colorScale" priority="55">
      <colorScale>
        <cfvo type="num" val="0"/>
        <cfvo type="num" val="2"/>
        <cfvo type="num" val="4"/>
        <color theme="0"/>
        <color rgb="FFFFEB9C"/>
        <color rgb="FF66FFCC"/>
      </colorScale>
    </cfRule>
  </conditionalFormatting>
  <conditionalFormatting sqref="Y23:Y36">
    <cfRule type="colorScale" priority="54">
      <colorScale>
        <cfvo type="num" val="0"/>
        <cfvo type="num" val="2"/>
        <cfvo type="num" val="4"/>
        <color theme="0"/>
        <color rgb="FFFFEB9C"/>
        <color rgb="FF66FFCC"/>
      </colorScale>
    </cfRule>
  </conditionalFormatting>
  <conditionalFormatting sqref="Z23:Z36">
    <cfRule type="colorScale" priority="53">
      <colorScale>
        <cfvo type="num" val="0"/>
        <cfvo type="num" val="2"/>
        <cfvo type="num" val="4"/>
        <color theme="0"/>
        <color rgb="FFFFEB9C"/>
        <color rgb="FF66FFCC"/>
      </colorScale>
    </cfRule>
  </conditionalFormatting>
  <conditionalFormatting sqref="AA23:AA36">
    <cfRule type="colorScale" priority="52">
      <colorScale>
        <cfvo type="num" val="0"/>
        <cfvo type="num" val="2"/>
        <cfvo type="num" val="4"/>
        <color theme="0"/>
        <color rgb="FFFFEB9C"/>
        <color rgb="FF66FFCC"/>
      </colorScale>
    </cfRule>
  </conditionalFormatting>
  <conditionalFormatting sqref="AB23:AB36">
    <cfRule type="colorScale" priority="51">
      <colorScale>
        <cfvo type="num" val="0"/>
        <cfvo type="num" val="2"/>
        <cfvo type="num" val="4"/>
        <color theme="0"/>
        <color rgb="FFFFEB9C"/>
        <color rgb="FF66FFCC"/>
      </colorScale>
    </cfRule>
  </conditionalFormatting>
  <conditionalFormatting sqref="AC23:AC36">
    <cfRule type="colorScale" priority="50">
      <colorScale>
        <cfvo type="num" val="0"/>
        <cfvo type="num" val="2"/>
        <cfvo type="num" val="4"/>
        <color theme="0"/>
        <color rgb="FFFFEB9C"/>
        <color rgb="FF66FFCC"/>
      </colorScale>
    </cfRule>
  </conditionalFormatting>
  <conditionalFormatting sqref="AD23:AK36">
    <cfRule type="colorScale" priority="49">
      <colorScale>
        <cfvo type="num" val="0"/>
        <cfvo type="percent" val="50"/>
        <cfvo type="num" val="0.8"/>
        <color theme="0"/>
        <color rgb="FFFFEB9C"/>
        <color rgb="FF66FFCC"/>
      </colorScale>
    </cfRule>
  </conditionalFormatting>
  <conditionalFormatting sqref="AM23 AM26:AM36">
    <cfRule type="cellIs" dxfId="2787" priority="38" operator="lessThan">
      <formula>10</formula>
    </cfRule>
  </conditionalFormatting>
  <conditionalFormatting sqref="D42:D55">
    <cfRule type="colorScale" priority="37">
      <colorScale>
        <cfvo type="num" val="0"/>
        <cfvo type="num" val="2"/>
        <cfvo type="num" val="4"/>
        <color theme="0"/>
        <color rgb="FFFFEB9C"/>
        <color rgb="FF66FFCC"/>
      </colorScale>
    </cfRule>
  </conditionalFormatting>
  <conditionalFormatting sqref="E42:E55">
    <cfRule type="colorScale" priority="36">
      <colorScale>
        <cfvo type="num" val="0"/>
        <cfvo type="num" val="2"/>
        <cfvo type="num" val="4"/>
        <color theme="0"/>
        <color rgb="FFFFEB9C"/>
        <color rgb="FF66FFCC"/>
      </colorScale>
    </cfRule>
  </conditionalFormatting>
  <conditionalFormatting sqref="F42:F55">
    <cfRule type="colorScale" priority="35">
      <colorScale>
        <cfvo type="num" val="0"/>
        <cfvo type="num" val="2"/>
        <cfvo type="num" val="4"/>
        <color theme="0"/>
        <color rgb="FFFFEB9C"/>
        <color rgb="FF66FFCC"/>
      </colorScale>
    </cfRule>
  </conditionalFormatting>
  <conditionalFormatting sqref="G42:G55">
    <cfRule type="colorScale" priority="34">
      <colorScale>
        <cfvo type="num" val="0"/>
        <cfvo type="num" val="2"/>
        <cfvo type="num" val="4"/>
        <color theme="0"/>
        <color rgb="FFFFEB9C"/>
        <color rgb="FF66FFCC"/>
      </colorScale>
    </cfRule>
  </conditionalFormatting>
  <conditionalFormatting sqref="I42:I55">
    <cfRule type="colorScale" priority="33">
      <colorScale>
        <cfvo type="num" val="0"/>
        <cfvo type="num" val="2"/>
        <cfvo type="num" val="4"/>
        <color theme="0"/>
        <color rgb="FFFFEB9C"/>
        <color rgb="FF66FFCC"/>
      </colorScale>
    </cfRule>
  </conditionalFormatting>
  <conditionalFormatting sqref="J42:J55">
    <cfRule type="colorScale" priority="32">
      <colorScale>
        <cfvo type="num" val="0"/>
        <cfvo type="num" val="2"/>
        <cfvo type="num" val="4"/>
        <color theme="0"/>
        <color rgb="FFFFEB9C"/>
        <color rgb="FF66FFCC"/>
      </colorScale>
    </cfRule>
  </conditionalFormatting>
  <conditionalFormatting sqref="L42:L55">
    <cfRule type="colorScale" priority="31">
      <colorScale>
        <cfvo type="num" val="0"/>
        <cfvo type="num" val="2"/>
        <cfvo type="num" val="4"/>
        <color theme="0"/>
        <color rgb="FFFFEB9C"/>
        <color rgb="FF66FFCC"/>
      </colorScale>
    </cfRule>
  </conditionalFormatting>
  <conditionalFormatting sqref="M42:M55">
    <cfRule type="colorScale" priority="30">
      <colorScale>
        <cfvo type="num" val="0"/>
        <cfvo type="num" val="2"/>
        <cfvo type="num" val="4"/>
        <color theme="0"/>
        <color rgb="FFFFEB9C"/>
        <color rgb="FF66FFCC"/>
      </colorScale>
    </cfRule>
  </conditionalFormatting>
  <conditionalFormatting sqref="O42:O55">
    <cfRule type="colorScale" priority="29">
      <colorScale>
        <cfvo type="num" val="0"/>
        <cfvo type="num" val="2"/>
        <cfvo type="num" val="4"/>
        <color theme="0"/>
        <color rgb="FFFFEB9C"/>
        <color rgb="FF66FFCC"/>
      </colorScale>
    </cfRule>
  </conditionalFormatting>
  <conditionalFormatting sqref="P42:P55">
    <cfRule type="colorScale" priority="28">
      <colorScale>
        <cfvo type="num" val="0"/>
        <cfvo type="num" val="2"/>
        <cfvo type="num" val="4"/>
        <color theme="0"/>
        <color rgb="FFFFEB9C"/>
        <color rgb="FF66FFCC"/>
      </colorScale>
    </cfRule>
  </conditionalFormatting>
  <conditionalFormatting sqref="Q42:Q55">
    <cfRule type="colorScale" priority="27">
      <colorScale>
        <cfvo type="num" val="0"/>
        <cfvo type="num" val="2"/>
        <cfvo type="num" val="4"/>
        <color theme="0"/>
        <color rgb="FFFFEB9C"/>
        <color rgb="FF66FFCC"/>
      </colorScale>
    </cfRule>
  </conditionalFormatting>
  <conditionalFormatting sqref="R42:R55">
    <cfRule type="colorScale" priority="26">
      <colorScale>
        <cfvo type="num" val="0"/>
        <cfvo type="num" val="2"/>
        <cfvo type="num" val="4"/>
        <color theme="0"/>
        <color rgb="FFFFEB9C"/>
        <color rgb="FF66FFCC"/>
      </colorScale>
    </cfRule>
  </conditionalFormatting>
  <conditionalFormatting sqref="S42:S55">
    <cfRule type="colorScale" priority="25">
      <colorScale>
        <cfvo type="num" val="0"/>
        <cfvo type="num" val="2"/>
        <cfvo type="num" val="4"/>
        <color theme="0"/>
        <color rgb="FFFFEB9C"/>
        <color rgb="FF66FFCC"/>
      </colorScale>
    </cfRule>
  </conditionalFormatting>
  <conditionalFormatting sqref="T42:T55">
    <cfRule type="colorScale" priority="24">
      <colorScale>
        <cfvo type="num" val="0"/>
        <cfvo type="num" val="2"/>
        <cfvo type="num" val="4"/>
        <color theme="0"/>
        <color rgb="FFFFEB9C"/>
        <color rgb="FF66FFCC"/>
      </colorScale>
    </cfRule>
  </conditionalFormatting>
  <conditionalFormatting sqref="V42:V55">
    <cfRule type="colorScale" priority="23">
      <colorScale>
        <cfvo type="num" val="0"/>
        <cfvo type="num" val="2"/>
        <cfvo type="num" val="4"/>
        <color theme="0"/>
        <color rgb="FFFFEB9C"/>
        <color rgb="FF66FFCC"/>
      </colorScale>
    </cfRule>
  </conditionalFormatting>
  <conditionalFormatting sqref="W42:W55">
    <cfRule type="colorScale" priority="22">
      <colorScale>
        <cfvo type="num" val="0"/>
        <cfvo type="num" val="2"/>
        <cfvo type="num" val="4"/>
        <color theme="0"/>
        <color rgb="FFFFEB9C"/>
        <color rgb="FF66FFCC"/>
      </colorScale>
    </cfRule>
  </conditionalFormatting>
  <conditionalFormatting sqref="X42:X55">
    <cfRule type="colorScale" priority="21">
      <colorScale>
        <cfvo type="num" val="0"/>
        <cfvo type="num" val="2"/>
        <cfvo type="num" val="4"/>
        <color theme="0"/>
        <color rgb="FFFFEB9C"/>
        <color rgb="FF66FFCC"/>
      </colorScale>
    </cfRule>
  </conditionalFormatting>
  <conditionalFormatting sqref="Z42:Z55">
    <cfRule type="colorScale" priority="20">
      <colorScale>
        <cfvo type="num" val="0"/>
        <cfvo type="num" val="2"/>
        <cfvo type="num" val="4"/>
        <color theme="0"/>
        <color rgb="FFFFEB9C"/>
        <color rgb="FF66FFCC"/>
      </colorScale>
    </cfRule>
  </conditionalFormatting>
  <conditionalFormatting sqref="AA42:AA55">
    <cfRule type="colorScale" priority="19">
      <colorScale>
        <cfvo type="num" val="0"/>
        <cfvo type="num" val="2"/>
        <cfvo type="num" val="4"/>
        <color theme="0"/>
        <color rgb="FFFFEB9C"/>
        <color rgb="FF66FFCC"/>
      </colorScale>
    </cfRule>
  </conditionalFormatting>
  <conditionalFormatting sqref="AB42:AB55">
    <cfRule type="colorScale" priority="18">
      <colorScale>
        <cfvo type="num" val="0"/>
        <cfvo type="num" val="2"/>
        <cfvo type="num" val="4"/>
        <color theme="0"/>
        <color rgb="FFFFEB9C"/>
        <color rgb="FF66FFCC"/>
      </colorScale>
    </cfRule>
  </conditionalFormatting>
  <conditionalFormatting sqref="AC42:AC55">
    <cfRule type="colorScale" priority="17">
      <colorScale>
        <cfvo type="num" val="0"/>
        <cfvo type="num" val="2"/>
        <cfvo type="num" val="4"/>
        <color theme="0"/>
        <color rgb="FFFFEB9C"/>
        <color rgb="FF66FFCC"/>
      </colorScale>
    </cfRule>
  </conditionalFormatting>
  <conditionalFormatting sqref="AE42:AE55">
    <cfRule type="colorScale" priority="16">
      <colorScale>
        <cfvo type="num" val="0"/>
        <cfvo type="num" val="2"/>
        <cfvo type="num" val="4"/>
        <color theme="0"/>
        <color rgb="FFFFEB9C"/>
        <color rgb="FF66FFCC"/>
      </colorScale>
    </cfRule>
  </conditionalFormatting>
  <conditionalFormatting sqref="AF42:AF55">
    <cfRule type="colorScale" priority="15">
      <colorScale>
        <cfvo type="num" val="0"/>
        <cfvo type="num" val="2"/>
        <cfvo type="num" val="4"/>
        <color theme="0"/>
        <color rgb="FFFFEB9C"/>
        <color rgb="FF66FFCC"/>
      </colorScale>
    </cfRule>
  </conditionalFormatting>
  <conditionalFormatting sqref="AH42:AH55">
    <cfRule type="colorScale" priority="14">
      <colorScale>
        <cfvo type="num" val="0"/>
        <cfvo type="num" val="2"/>
        <cfvo type="num" val="4"/>
        <color theme="0"/>
        <color rgb="FFFFEB9C"/>
        <color rgb="FF66FFCC"/>
      </colorScale>
    </cfRule>
  </conditionalFormatting>
  <conditionalFormatting sqref="AI42:AI55">
    <cfRule type="colorScale" priority="13">
      <colorScale>
        <cfvo type="num" val="0"/>
        <cfvo type="num" val="2"/>
        <cfvo type="num" val="4"/>
        <color theme="0"/>
        <color rgb="FFFFEB9C"/>
        <color rgb="FF66FFCC"/>
      </colorScale>
    </cfRule>
  </conditionalFormatting>
  <conditionalFormatting sqref="AJ42:AJ55">
    <cfRule type="colorScale" priority="12">
      <colorScale>
        <cfvo type="num" val="0"/>
        <cfvo type="num" val="2"/>
        <cfvo type="num" val="4"/>
        <color theme="0"/>
        <color rgb="FFFFEB9C"/>
        <color rgb="FF66FFCC"/>
      </colorScale>
    </cfRule>
  </conditionalFormatting>
  <conditionalFormatting sqref="AK42:AL55 AN42:AS55">
    <cfRule type="colorScale" priority="11">
      <colorScale>
        <cfvo type="num" val="0"/>
        <cfvo type="percent" val="50"/>
        <cfvo type="num" val="0.8"/>
        <color theme="0"/>
        <color rgb="FFFFEB9C"/>
        <color rgb="FF66FFCC"/>
      </colorScale>
    </cfRule>
  </conditionalFormatting>
  <conditionalFormatting sqref="H42:H55">
    <cfRule type="colorScale" priority="10">
      <colorScale>
        <cfvo type="num" val="0"/>
        <cfvo type="num" val="0.4"/>
        <cfvo type="num" val="0.8"/>
        <color theme="0"/>
        <color rgb="FFFFEB84"/>
        <color rgb="FF66FFCC"/>
      </colorScale>
    </cfRule>
  </conditionalFormatting>
  <conditionalFormatting sqref="K42:K55">
    <cfRule type="colorScale" priority="9">
      <colorScale>
        <cfvo type="num" val="0"/>
        <cfvo type="num" val="0.3"/>
        <cfvo type="num" val="0.6"/>
        <color theme="0"/>
        <color rgb="FFFFEB84"/>
        <color rgb="FF66FFCC"/>
      </colorScale>
    </cfRule>
  </conditionalFormatting>
  <conditionalFormatting sqref="N42:N55">
    <cfRule type="colorScale" priority="8">
      <colorScale>
        <cfvo type="num" val="0"/>
        <cfvo type="num" val="0.3"/>
        <cfvo type="num" val="0.6"/>
        <color theme="0"/>
        <color rgb="FFFFEB84"/>
        <color rgb="FF66FFCC"/>
      </colorScale>
    </cfRule>
  </conditionalFormatting>
  <conditionalFormatting sqref="U42:U55">
    <cfRule type="colorScale" priority="7">
      <colorScale>
        <cfvo type="num" val="0"/>
        <cfvo type="num" val="0.2"/>
        <cfvo type="num" val="0.4"/>
        <color theme="0"/>
        <color rgb="FFFFEB84"/>
        <color rgb="FF66FFCC"/>
      </colorScale>
    </cfRule>
  </conditionalFormatting>
  <conditionalFormatting sqref="Y42:Y55">
    <cfRule type="colorScale" priority="6">
      <colorScale>
        <cfvo type="num" val="0"/>
        <cfvo type="num" val="0.24"/>
        <cfvo type="num" val="0.48"/>
        <color theme="0"/>
        <color rgb="FFFFEB84"/>
        <color rgb="FF66FFCC"/>
      </colorScale>
    </cfRule>
  </conditionalFormatting>
  <conditionalFormatting sqref="AD42:AD55">
    <cfRule type="colorScale" priority="5">
      <colorScale>
        <cfvo type="num" val="0"/>
        <cfvo type="num" val="0.2"/>
        <cfvo type="num" val="0.4"/>
        <color theme="0"/>
        <color rgb="FFFFEB84"/>
        <color rgb="FF66FFCC"/>
      </colorScale>
    </cfRule>
  </conditionalFormatting>
  <conditionalFormatting sqref="AG42:AG55">
    <cfRule type="colorScale" priority="4">
      <colorScale>
        <cfvo type="num" val="0"/>
        <cfvo type="num" val="0.08"/>
        <cfvo type="num" val="0.16"/>
        <color theme="0"/>
        <color rgb="FFFFEB84"/>
        <color rgb="FF66FFCC"/>
      </colorScale>
    </cfRule>
  </conditionalFormatting>
  <conditionalFormatting sqref="AM42:AM55">
    <cfRule type="colorScale" priority="3">
      <colorScale>
        <cfvo type="num" val="0"/>
        <cfvo type="num" val="0.16"/>
        <cfvo type="num" val="0.32"/>
        <color theme="0"/>
        <color rgb="FFFFEB84"/>
        <color rgb="FF66FFCC"/>
      </colorScale>
    </cfRule>
  </conditionalFormatting>
  <conditionalFormatting sqref="AT42:AT55">
    <cfRule type="colorScale" priority="2">
      <colorScale>
        <cfvo type="num" val="0"/>
        <cfvo type="num" val="0.12"/>
        <cfvo type="num" val="0.24"/>
        <color theme="0"/>
        <color rgb="FFFFEB84"/>
        <color rgb="FF66FFCC"/>
      </colorScale>
    </cfRule>
  </conditionalFormatting>
  <conditionalFormatting sqref="AV42 AV45:AV55">
    <cfRule type="cellIs" dxfId="2786" priority="1" operator="lessThan">
      <formula>10</formula>
    </cfRule>
  </conditionalFormatting>
  <dataValidations disablePrompts="1" count="1">
    <dataValidation allowBlank="1" showInputMessage="1" showErrorMessage="1" sqref="H23:H36 I42:I55" xr:uid="{E31C5EBF-4D78-4A2C-A709-2C870132B25B}"/>
  </dataValidation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5C2FD-B601-4E89-9193-46341201F3B6}">
  <sheetPr>
    <tabColor rgb="FF92D050"/>
  </sheetPr>
  <dimension ref="B2:L508"/>
  <sheetViews>
    <sheetView workbookViewId="0"/>
  </sheetViews>
  <sheetFormatPr defaultColWidth="62.81640625" defaultRowHeight="14.5" x14ac:dyDescent="0.35"/>
  <cols>
    <col min="1" max="1" width="2.81640625" customWidth="1"/>
    <col min="2" max="2" width="10" style="63" customWidth="1"/>
    <col min="3" max="3" width="42.81640625" customWidth="1"/>
    <col min="4" max="5" width="22" style="63" customWidth="1"/>
    <col min="6" max="6" width="26.81640625" style="63" customWidth="1"/>
    <col min="7" max="7" width="21.453125" style="63" customWidth="1"/>
    <col min="8" max="8" width="17.54296875" style="63" bestFit="1" customWidth="1"/>
    <col min="9" max="9" width="13.453125" style="63" customWidth="1"/>
    <col min="10" max="10" width="14.1796875" style="63" customWidth="1"/>
    <col min="11" max="11" width="9.81640625" style="63" bestFit="1" customWidth="1"/>
    <col min="12" max="12" width="7.453125" style="63" bestFit="1" customWidth="1"/>
    <col min="13" max="13" width="7.81640625" bestFit="1" customWidth="1"/>
    <col min="14" max="14" width="11.81640625" bestFit="1" customWidth="1"/>
    <col min="15" max="15" width="6.81640625" bestFit="1" customWidth="1"/>
    <col min="16" max="16" width="7.1796875" bestFit="1" customWidth="1"/>
    <col min="17" max="17" width="12.81640625" bestFit="1" customWidth="1"/>
    <col min="18" max="18" width="8.81640625" bestFit="1" customWidth="1"/>
    <col min="19" max="19" width="8.54296875" bestFit="1" customWidth="1"/>
    <col min="20" max="20" width="6.81640625" bestFit="1" customWidth="1"/>
    <col min="21" max="21" width="24.81640625" bestFit="1" customWidth="1"/>
    <col min="22" max="22" width="30.1796875" bestFit="1" customWidth="1"/>
  </cols>
  <sheetData>
    <row r="2" spans="2:12" ht="27" x14ac:dyDescent="0.35">
      <c r="B2" s="444" t="s">
        <v>4</v>
      </c>
      <c r="C2" s="445" t="s">
        <v>5</v>
      </c>
      <c r="D2" s="444" t="s">
        <v>6</v>
      </c>
      <c r="E2" s="444" t="s">
        <v>7</v>
      </c>
      <c r="F2" s="444" t="s">
        <v>8</v>
      </c>
      <c r="G2" s="444" t="s">
        <v>9</v>
      </c>
      <c r="H2" s="448" t="s">
        <v>65</v>
      </c>
      <c r="I2" s="449" t="s">
        <v>66</v>
      </c>
      <c r="J2" s="444" t="s">
        <v>67</v>
      </c>
      <c r="K2"/>
      <c r="L2"/>
    </row>
    <row r="3" spans="2:12" x14ac:dyDescent="0.35">
      <c r="B3" s="443">
        <v>60</v>
      </c>
      <c r="C3" s="442" t="s">
        <v>19</v>
      </c>
      <c r="D3" s="443" t="s">
        <v>68</v>
      </c>
      <c r="E3" s="443" t="s">
        <v>68</v>
      </c>
      <c r="F3" s="443" t="s">
        <v>69</v>
      </c>
      <c r="G3" s="442" t="s">
        <v>70</v>
      </c>
      <c r="H3" s="446">
        <v>1.7</v>
      </c>
      <c r="I3" s="447">
        <v>3.4319999999999999</v>
      </c>
      <c r="J3" s="523">
        <v>1</v>
      </c>
      <c r="K3"/>
      <c r="L3"/>
    </row>
    <row r="4" spans="2:12" x14ac:dyDescent="0.35">
      <c r="B4" s="443">
        <v>27</v>
      </c>
      <c r="C4" s="442" t="s">
        <v>17</v>
      </c>
      <c r="D4" s="442" t="s">
        <v>68</v>
      </c>
      <c r="E4" s="443" t="s">
        <v>68</v>
      </c>
      <c r="F4" s="443" t="s">
        <v>71</v>
      </c>
      <c r="G4" s="443" t="s">
        <v>70</v>
      </c>
      <c r="H4" s="446">
        <v>1.7</v>
      </c>
      <c r="I4" s="447">
        <v>3.4319999999999999</v>
      </c>
      <c r="J4" s="523">
        <v>1</v>
      </c>
      <c r="K4"/>
      <c r="L4"/>
    </row>
    <row r="5" spans="2:12" x14ac:dyDescent="0.35">
      <c r="B5" s="443">
        <v>16</v>
      </c>
      <c r="C5" s="442" t="s">
        <v>18</v>
      </c>
      <c r="D5" s="443" t="s">
        <v>68</v>
      </c>
      <c r="E5" s="443" t="s">
        <v>72</v>
      </c>
      <c r="F5" s="443" t="s">
        <v>73</v>
      </c>
      <c r="G5" s="442" t="s">
        <v>70</v>
      </c>
      <c r="H5" s="446">
        <v>1.7</v>
      </c>
      <c r="I5" s="447">
        <v>3.4319999999999999</v>
      </c>
      <c r="J5" s="523">
        <v>1</v>
      </c>
      <c r="K5"/>
      <c r="L5"/>
    </row>
    <row r="6" spans="2:12" x14ac:dyDescent="0.35">
      <c r="B6" s="443">
        <v>52</v>
      </c>
      <c r="C6" s="442" t="s">
        <v>20</v>
      </c>
      <c r="D6" s="443" t="s">
        <v>68</v>
      </c>
      <c r="E6" s="443" t="s">
        <v>74</v>
      </c>
      <c r="F6" s="443" t="s">
        <v>75</v>
      </c>
      <c r="G6" s="443" t="s">
        <v>70</v>
      </c>
      <c r="H6" s="446">
        <v>1.45</v>
      </c>
      <c r="I6" s="447">
        <v>3.274</v>
      </c>
      <c r="J6" s="523">
        <v>4</v>
      </c>
      <c r="K6"/>
      <c r="L6"/>
    </row>
    <row r="7" spans="2:12" x14ac:dyDescent="0.35">
      <c r="B7" s="443">
        <v>66</v>
      </c>
      <c r="C7" s="442" t="s">
        <v>21</v>
      </c>
      <c r="D7" s="443" t="s">
        <v>76</v>
      </c>
      <c r="E7" s="443" t="s">
        <v>77</v>
      </c>
      <c r="F7" s="443" t="s">
        <v>78</v>
      </c>
      <c r="G7" s="443" t="s">
        <v>79</v>
      </c>
      <c r="H7" s="446">
        <v>1.7</v>
      </c>
      <c r="I7" s="447">
        <v>3.258</v>
      </c>
      <c r="J7" s="523">
        <v>5</v>
      </c>
      <c r="K7"/>
      <c r="L7"/>
    </row>
    <row r="8" spans="2:12" x14ac:dyDescent="0.35">
      <c r="B8" s="443">
        <v>42</v>
      </c>
      <c r="C8" s="442" t="s">
        <v>22</v>
      </c>
      <c r="D8" s="443" t="s">
        <v>76</v>
      </c>
      <c r="E8" s="443" t="s">
        <v>76</v>
      </c>
      <c r="F8" s="443" t="s">
        <v>80</v>
      </c>
      <c r="G8" s="443" t="s">
        <v>70</v>
      </c>
      <c r="H8" s="446">
        <v>1.6</v>
      </c>
      <c r="I8" s="447">
        <v>3.2160000000000002</v>
      </c>
      <c r="J8" s="523">
        <v>6</v>
      </c>
      <c r="K8"/>
      <c r="L8"/>
    </row>
    <row r="9" spans="2:12" x14ac:dyDescent="0.35">
      <c r="B9" s="443">
        <v>65</v>
      </c>
      <c r="C9" s="442" t="s">
        <v>23</v>
      </c>
      <c r="D9" s="443" t="s">
        <v>68</v>
      </c>
      <c r="E9" s="443" t="s">
        <v>68</v>
      </c>
      <c r="F9" s="443" t="s">
        <v>81</v>
      </c>
      <c r="G9" s="443" t="s">
        <v>79</v>
      </c>
      <c r="H9" s="446">
        <v>1.5200000000000002</v>
      </c>
      <c r="I9" s="447">
        <v>2.9280000000000004</v>
      </c>
      <c r="J9" s="523">
        <v>7</v>
      </c>
      <c r="K9"/>
      <c r="L9"/>
    </row>
    <row r="10" spans="2:12" x14ac:dyDescent="0.35">
      <c r="B10" s="443">
        <v>18</v>
      </c>
      <c r="C10" s="442" t="s">
        <v>24</v>
      </c>
      <c r="D10" s="443" t="s">
        <v>76</v>
      </c>
      <c r="E10" s="443" t="s">
        <v>82</v>
      </c>
      <c r="F10" s="443" t="s">
        <v>83</v>
      </c>
      <c r="G10" s="442" t="s">
        <v>70</v>
      </c>
      <c r="H10" s="446">
        <v>1.35</v>
      </c>
      <c r="I10" s="447">
        <v>2.87</v>
      </c>
      <c r="J10" s="523">
        <v>8</v>
      </c>
      <c r="K10"/>
      <c r="L10"/>
    </row>
    <row r="11" spans="2:12" x14ac:dyDescent="0.35">
      <c r="B11" s="443">
        <v>67</v>
      </c>
      <c r="C11" s="442" t="s">
        <v>25</v>
      </c>
      <c r="D11" s="443" t="s">
        <v>84</v>
      </c>
      <c r="E11" s="443" t="s">
        <v>85</v>
      </c>
      <c r="F11" s="443" t="s">
        <v>86</v>
      </c>
      <c r="G11" s="443" t="s">
        <v>79</v>
      </c>
      <c r="H11" s="446">
        <v>1.24</v>
      </c>
      <c r="I11" s="447">
        <v>2.84</v>
      </c>
      <c r="J11" s="523">
        <v>9</v>
      </c>
      <c r="K11"/>
      <c r="L11"/>
    </row>
    <row r="12" spans="2:12" x14ac:dyDescent="0.35">
      <c r="B12" s="443">
        <v>13</v>
      </c>
      <c r="C12" s="442" t="s">
        <v>26</v>
      </c>
      <c r="D12" s="443" t="s">
        <v>76</v>
      </c>
      <c r="E12" s="443" t="s">
        <v>76</v>
      </c>
      <c r="F12" s="443" t="s">
        <v>87</v>
      </c>
      <c r="G12" s="442" t="s">
        <v>70</v>
      </c>
      <c r="H12" s="446">
        <v>1.1000000000000001</v>
      </c>
      <c r="I12" s="447">
        <v>2.7880000000000003</v>
      </c>
      <c r="J12" s="523">
        <v>10</v>
      </c>
      <c r="K12"/>
      <c r="L12"/>
    </row>
    <row r="13" spans="2:12" ht="27" x14ac:dyDescent="0.35">
      <c r="B13" s="443">
        <v>30</v>
      </c>
      <c r="C13" s="442" t="s">
        <v>27</v>
      </c>
      <c r="D13" s="443" t="s">
        <v>68</v>
      </c>
      <c r="E13" s="443" t="s">
        <v>74</v>
      </c>
      <c r="F13" s="443" t="s">
        <v>88</v>
      </c>
      <c r="G13" s="442" t="s">
        <v>70</v>
      </c>
      <c r="H13" s="446">
        <v>1.27</v>
      </c>
      <c r="I13" s="447">
        <v>2.746</v>
      </c>
      <c r="J13" s="523">
        <v>11</v>
      </c>
      <c r="K13"/>
      <c r="L13"/>
    </row>
    <row r="14" spans="2:12" x14ac:dyDescent="0.35">
      <c r="B14" s="443">
        <v>37</v>
      </c>
      <c r="C14" s="442" t="s">
        <v>28</v>
      </c>
      <c r="D14" s="442" t="s">
        <v>68</v>
      </c>
      <c r="E14" s="443" t="s">
        <v>74</v>
      </c>
      <c r="F14" s="443" t="s">
        <v>75</v>
      </c>
      <c r="G14" s="442" t="s">
        <v>70</v>
      </c>
      <c r="H14" s="446">
        <v>1.39</v>
      </c>
      <c r="I14" s="447">
        <v>2.738</v>
      </c>
      <c r="J14" s="523">
        <v>12</v>
      </c>
      <c r="K14"/>
      <c r="L14"/>
    </row>
    <row r="15" spans="2:12" x14ac:dyDescent="0.35">
      <c r="B15" s="443">
        <v>38</v>
      </c>
      <c r="C15" s="442" t="s">
        <v>29</v>
      </c>
      <c r="D15" s="443" t="s">
        <v>76</v>
      </c>
      <c r="E15" s="443" t="s">
        <v>77</v>
      </c>
      <c r="F15" s="443" t="s">
        <v>89</v>
      </c>
      <c r="G15" s="442" t="s">
        <v>70</v>
      </c>
      <c r="H15" s="446">
        <v>1.1000000000000001</v>
      </c>
      <c r="I15" s="447">
        <v>2.7280000000000002</v>
      </c>
      <c r="J15" s="523">
        <v>13</v>
      </c>
      <c r="K15"/>
      <c r="L15"/>
    </row>
    <row r="16" spans="2:12" x14ac:dyDescent="0.35">
      <c r="B16" s="443">
        <v>33</v>
      </c>
      <c r="C16" s="442" t="s">
        <v>30</v>
      </c>
      <c r="D16" s="443" t="s">
        <v>68</v>
      </c>
      <c r="E16" s="443" t="s">
        <v>74</v>
      </c>
      <c r="F16" s="443" t="s">
        <v>88</v>
      </c>
      <c r="G16" s="442" t="s">
        <v>70</v>
      </c>
      <c r="H16" s="446">
        <v>1.27</v>
      </c>
      <c r="I16" s="447">
        <v>2.706</v>
      </c>
      <c r="J16" s="523">
        <v>14</v>
      </c>
      <c r="K16"/>
      <c r="L16"/>
    </row>
    <row r="17" spans="2:12" x14ac:dyDescent="0.35">
      <c r="B17" s="443">
        <v>8</v>
      </c>
      <c r="C17" s="442" t="s">
        <v>31</v>
      </c>
      <c r="D17" s="443" t="s">
        <v>68</v>
      </c>
      <c r="E17" s="443" t="s">
        <v>90</v>
      </c>
      <c r="F17" s="443" t="s">
        <v>91</v>
      </c>
      <c r="G17" s="443" t="s">
        <v>70</v>
      </c>
      <c r="H17" s="446">
        <v>1.2000000000000002</v>
      </c>
      <c r="I17" s="447">
        <v>2.5920000000000001</v>
      </c>
      <c r="J17" s="523">
        <v>15</v>
      </c>
      <c r="K17"/>
      <c r="L17"/>
    </row>
    <row r="18" spans="2:12" ht="27" x14ac:dyDescent="0.35">
      <c r="B18" s="443">
        <v>89</v>
      </c>
      <c r="C18" s="442" t="s">
        <v>32</v>
      </c>
      <c r="D18" s="443" t="s">
        <v>68</v>
      </c>
      <c r="E18" s="443" t="s">
        <v>68</v>
      </c>
      <c r="F18" s="443" t="s">
        <v>81</v>
      </c>
      <c r="G18" s="443" t="s">
        <v>92</v>
      </c>
      <c r="H18" s="446">
        <v>0.94</v>
      </c>
      <c r="I18" s="447">
        <v>2.56</v>
      </c>
      <c r="J18" s="523">
        <v>16</v>
      </c>
      <c r="K18"/>
      <c r="L18"/>
    </row>
    <row r="19" spans="2:12" x14ac:dyDescent="0.35">
      <c r="B19" s="443">
        <v>75</v>
      </c>
      <c r="C19" s="442" t="s">
        <v>33</v>
      </c>
      <c r="D19" s="443" t="s">
        <v>76</v>
      </c>
      <c r="E19" s="443" t="s">
        <v>77</v>
      </c>
      <c r="F19" s="443" t="s">
        <v>93</v>
      </c>
      <c r="G19" s="443" t="s">
        <v>92</v>
      </c>
      <c r="H19" s="446">
        <v>1</v>
      </c>
      <c r="I19" s="447">
        <v>2.556</v>
      </c>
      <c r="J19" s="523">
        <v>17</v>
      </c>
      <c r="K19"/>
      <c r="L19"/>
    </row>
    <row r="20" spans="2:12" x14ac:dyDescent="0.35">
      <c r="B20" s="443">
        <v>85</v>
      </c>
      <c r="C20" s="442" t="s">
        <v>34</v>
      </c>
      <c r="D20" s="443" t="s">
        <v>76</v>
      </c>
      <c r="E20" s="443" t="s">
        <v>76</v>
      </c>
      <c r="F20" s="443" t="s">
        <v>87</v>
      </c>
      <c r="G20" s="443" t="s">
        <v>92</v>
      </c>
      <c r="H20" s="446">
        <v>0.94</v>
      </c>
      <c r="I20" s="447">
        <v>2.556</v>
      </c>
      <c r="J20" s="523">
        <v>17</v>
      </c>
      <c r="K20"/>
      <c r="L20"/>
    </row>
    <row r="21" spans="2:12" x14ac:dyDescent="0.35">
      <c r="B21" s="443">
        <v>93</v>
      </c>
      <c r="C21" s="442" t="s">
        <v>35</v>
      </c>
      <c r="D21" s="443" t="s">
        <v>76</v>
      </c>
      <c r="E21" s="443" t="s">
        <v>77</v>
      </c>
      <c r="F21" s="443" t="s">
        <v>93</v>
      </c>
      <c r="G21" s="443" t="s">
        <v>92</v>
      </c>
      <c r="H21" s="446">
        <v>0.94</v>
      </c>
      <c r="I21" s="447">
        <v>2.528</v>
      </c>
      <c r="J21" s="523">
        <v>19</v>
      </c>
      <c r="K21"/>
      <c r="L21"/>
    </row>
    <row r="22" spans="2:12" x14ac:dyDescent="0.35">
      <c r="B22" s="443">
        <v>58</v>
      </c>
      <c r="C22" s="442" t="s">
        <v>36</v>
      </c>
      <c r="D22" s="443" t="s">
        <v>94</v>
      </c>
      <c r="E22" s="443" t="s">
        <v>95</v>
      </c>
      <c r="F22" s="443" t="s">
        <v>96</v>
      </c>
      <c r="G22" s="443" t="s">
        <v>70</v>
      </c>
      <c r="H22" s="446">
        <v>1.24</v>
      </c>
      <c r="I22" s="447">
        <v>2.52</v>
      </c>
      <c r="J22" s="523">
        <v>20</v>
      </c>
      <c r="K22"/>
      <c r="L22"/>
    </row>
    <row r="23" spans="2:12" x14ac:dyDescent="0.35">
      <c r="B23" s="443">
        <v>34</v>
      </c>
      <c r="C23" s="442" t="s">
        <v>37</v>
      </c>
      <c r="D23" s="443" t="s">
        <v>84</v>
      </c>
      <c r="E23" s="443" t="s">
        <v>97</v>
      </c>
      <c r="F23" s="443" t="s">
        <v>98</v>
      </c>
      <c r="G23" s="442" t="s">
        <v>70</v>
      </c>
      <c r="H23" s="446">
        <v>1.06</v>
      </c>
      <c r="I23" s="447">
        <v>2.5040000000000004</v>
      </c>
      <c r="J23" s="523">
        <v>21</v>
      </c>
      <c r="K23"/>
      <c r="L23"/>
    </row>
    <row r="24" spans="2:12" x14ac:dyDescent="0.35">
      <c r="B24" s="443">
        <v>81</v>
      </c>
      <c r="C24" s="442" t="s">
        <v>38</v>
      </c>
      <c r="D24" s="442" t="s">
        <v>76</v>
      </c>
      <c r="E24" s="442" t="s">
        <v>77</v>
      </c>
      <c r="F24" s="443" t="s">
        <v>99</v>
      </c>
      <c r="G24" s="442" t="s">
        <v>92</v>
      </c>
      <c r="H24" s="446">
        <v>0.94</v>
      </c>
      <c r="I24" s="447">
        <v>2.496</v>
      </c>
      <c r="J24" s="523">
        <v>22</v>
      </c>
      <c r="K24"/>
      <c r="L24"/>
    </row>
    <row r="25" spans="2:12" x14ac:dyDescent="0.35">
      <c r="B25" s="443">
        <v>92</v>
      </c>
      <c r="C25" s="442" t="s">
        <v>39</v>
      </c>
      <c r="D25" s="442" t="s">
        <v>76</v>
      </c>
      <c r="E25" s="442" t="s">
        <v>77</v>
      </c>
      <c r="F25" s="443" t="s">
        <v>93</v>
      </c>
      <c r="G25" s="442" t="s">
        <v>92</v>
      </c>
      <c r="H25" s="446">
        <v>0.94</v>
      </c>
      <c r="I25" s="447">
        <v>2.496</v>
      </c>
      <c r="J25" s="523">
        <v>22</v>
      </c>
      <c r="K25"/>
      <c r="L25"/>
    </row>
    <row r="26" spans="2:12" x14ac:dyDescent="0.35">
      <c r="B26" s="443">
        <v>83</v>
      </c>
      <c r="C26" s="442" t="s">
        <v>40</v>
      </c>
      <c r="D26" s="443" t="s">
        <v>68</v>
      </c>
      <c r="E26" s="443" t="s">
        <v>100</v>
      </c>
      <c r="F26" s="443" t="s">
        <v>101</v>
      </c>
      <c r="G26" s="443" t="s">
        <v>92</v>
      </c>
      <c r="H26" s="446">
        <v>0.85</v>
      </c>
      <c r="I26" s="447">
        <v>2.4940000000000002</v>
      </c>
      <c r="J26" s="523">
        <v>24</v>
      </c>
      <c r="K26"/>
      <c r="L26"/>
    </row>
    <row r="27" spans="2:12" x14ac:dyDescent="0.35">
      <c r="B27" s="443">
        <v>64</v>
      </c>
      <c r="C27" s="442" t="s">
        <v>41</v>
      </c>
      <c r="D27" s="443" t="s">
        <v>76</v>
      </c>
      <c r="E27" s="443" t="s">
        <v>102</v>
      </c>
      <c r="F27" s="443" t="s">
        <v>103</v>
      </c>
      <c r="G27" s="442" t="s">
        <v>70</v>
      </c>
      <c r="H27" s="446">
        <v>0.88</v>
      </c>
      <c r="I27" s="447">
        <v>2.476</v>
      </c>
      <c r="J27" s="523">
        <v>25</v>
      </c>
      <c r="K27"/>
      <c r="L27"/>
    </row>
    <row r="28" spans="2:12" x14ac:dyDescent="0.35">
      <c r="B28" s="443">
        <v>3</v>
      </c>
      <c r="C28" s="442" t="s">
        <v>42</v>
      </c>
      <c r="D28" s="443" t="s">
        <v>68</v>
      </c>
      <c r="E28" s="443" t="s">
        <v>68</v>
      </c>
      <c r="F28" s="443" t="s">
        <v>81</v>
      </c>
      <c r="G28" s="442" t="s">
        <v>70</v>
      </c>
      <c r="H28" s="446">
        <v>0.78</v>
      </c>
      <c r="I28" s="447">
        <v>2.4400000000000004</v>
      </c>
      <c r="J28" s="523">
        <v>26</v>
      </c>
      <c r="K28"/>
      <c r="L28"/>
    </row>
    <row r="29" spans="2:12" x14ac:dyDescent="0.35">
      <c r="B29" s="443">
        <v>21</v>
      </c>
      <c r="C29" s="442" t="s">
        <v>43</v>
      </c>
      <c r="D29" s="443" t="s">
        <v>104</v>
      </c>
      <c r="E29" s="443" t="s">
        <v>105</v>
      </c>
      <c r="F29" s="443" t="s">
        <v>106</v>
      </c>
      <c r="G29" s="443" t="s">
        <v>70</v>
      </c>
      <c r="H29" s="446">
        <v>1.35</v>
      </c>
      <c r="I29" s="447">
        <v>2.4340000000000002</v>
      </c>
      <c r="J29" s="523">
        <v>27</v>
      </c>
      <c r="K29"/>
      <c r="L29"/>
    </row>
    <row r="30" spans="2:12" x14ac:dyDescent="0.35">
      <c r="B30" s="443">
        <v>79</v>
      </c>
      <c r="C30" s="442" t="s">
        <v>44</v>
      </c>
      <c r="D30" s="442" t="s">
        <v>76</v>
      </c>
      <c r="E30" s="443" t="s">
        <v>107</v>
      </c>
      <c r="F30" s="443" t="s">
        <v>108</v>
      </c>
      <c r="G30" s="443" t="s">
        <v>92</v>
      </c>
      <c r="H30" s="446">
        <v>0.94</v>
      </c>
      <c r="I30" s="447">
        <v>2.4319999999999999</v>
      </c>
      <c r="J30" s="523">
        <v>28</v>
      </c>
      <c r="K30"/>
      <c r="L30"/>
    </row>
    <row r="31" spans="2:12" x14ac:dyDescent="0.35">
      <c r="B31" s="443">
        <v>12</v>
      </c>
      <c r="C31" s="442" t="s">
        <v>45</v>
      </c>
      <c r="D31" s="442" t="s">
        <v>76</v>
      </c>
      <c r="E31" s="443" t="s">
        <v>76</v>
      </c>
      <c r="F31" s="443" t="s">
        <v>109</v>
      </c>
      <c r="G31" s="443" t="s">
        <v>70</v>
      </c>
      <c r="H31" s="446">
        <v>0.82000000000000006</v>
      </c>
      <c r="I31" s="447">
        <v>2.4260000000000002</v>
      </c>
      <c r="J31" s="523">
        <v>29</v>
      </c>
      <c r="K31"/>
      <c r="L31"/>
    </row>
    <row r="32" spans="2:12" x14ac:dyDescent="0.35">
      <c r="B32" s="443">
        <v>87</v>
      </c>
      <c r="C32" s="442" t="s">
        <v>46</v>
      </c>
      <c r="D32" s="443" t="s">
        <v>104</v>
      </c>
      <c r="E32" s="443" t="s">
        <v>104</v>
      </c>
      <c r="F32" s="443" t="s">
        <v>110</v>
      </c>
      <c r="G32" s="443" t="s">
        <v>92</v>
      </c>
      <c r="H32" s="446">
        <v>0.8</v>
      </c>
      <c r="I32" s="447">
        <v>2.3800000000000003</v>
      </c>
      <c r="J32" s="523">
        <v>30</v>
      </c>
      <c r="K32"/>
      <c r="L32"/>
    </row>
    <row r="33" spans="2:12" x14ac:dyDescent="0.35">
      <c r="B33" s="443">
        <v>90</v>
      </c>
      <c r="C33" s="442" t="s">
        <v>47</v>
      </c>
      <c r="D33" s="443" t="s">
        <v>68</v>
      </c>
      <c r="E33" s="443" t="s">
        <v>68</v>
      </c>
      <c r="F33" s="443" t="s">
        <v>111</v>
      </c>
      <c r="G33" s="443" t="s">
        <v>92</v>
      </c>
      <c r="H33" s="446">
        <v>0.8</v>
      </c>
      <c r="I33" s="447">
        <v>2.3800000000000003</v>
      </c>
      <c r="J33" s="523">
        <v>30</v>
      </c>
      <c r="K33"/>
      <c r="L33"/>
    </row>
    <row r="34" spans="2:12" x14ac:dyDescent="0.35">
      <c r="B34" s="443">
        <v>82</v>
      </c>
      <c r="C34" s="442" t="s">
        <v>48</v>
      </c>
      <c r="D34" s="443" t="s">
        <v>76</v>
      </c>
      <c r="E34" s="443" t="s">
        <v>76</v>
      </c>
      <c r="F34" s="443" t="s">
        <v>112</v>
      </c>
      <c r="G34" s="443" t="s">
        <v>92</v>
      </c>
      <c r="H34" s="446">
        <v>0.8</v>
      </c>
      <c r="I34" s="447">
        <v>2.3760000000000003</v>
      </c>
      <c r="J34" s="523">
        <v>32</v>
      </c>
      <c r="K34"/>
      <c r="L34"/>
    </row>
    <row r="35" spans="2:12" x14ac:dyDescent="0.35">
      <c r="B35" s="443">
        <v>7</v>
      </c>
      <c r="C35" s="442" t="s">
        <v>49</v>
      </c>
      <c r="D35" s="443" t="s">
        <v>113</v>
      </c>
      <c r="E35" s="443" t="s">
        <v>114</v>
      </c>
      <c r="F35" s="443" t="s">
        <v>115</v>
      </c>
      <c r="G35" s="443" t="s">
        <v>70</v>
      </c>
      <c r="H35" s="446">
        <v>0.91</v>
      </c>
      <c r="I35" s="447">
        <v>2.37</v>
      </c>
      <c r="J35" s="523">
        <v>33</v>
      </c>
      <c r="K35"/>
      <c r="L35"/>
    </row>
    <row r="36" spans="2:12" x14ac:dyDescent="0.35">
      <c r="B36" s="443">
        <v>63</v>
      </c>
      <c r="C36" s="442" t="s">
        <v>50</v>
      </c>
      <c r="D36" s="443" t="s">
        <v>94</v>
      </c>
      <c r="E36" s="443" t="s">
        <v>94</v>
      </c>
      <c r="F36" s="443" t="s">
        <v>116</v>
      </c>
      <c r="G36" s="443" t="s">
        <v>70</v>
      </c>
      <c r="H36" s="446">
        <v>1.03</v>
      </c>
      <c r="I36" s="447">
        <v>2.3540000000000001</v>
      </c>
      <c r="J36" s="523">
        <v>34</v>
      </c>
      <c r="K36"/>
      <c r="L36"/>
    </row>
    <row r="37" spans="2:12" x14ac:dyDescent="0.35">
      <c r="B37" s="443">
        <v>95</v>
      </c>
      <c r="C37" s="442" t="s">
        <v>51</v>
      </c>
      <c r="D37" s="443" t="s">
        <v>76</v>
      </c>
      <c r="E37" s="443" t="s">
        <v>77</v>
      </c>
      <c r="F37" s="443" t="s">
        <v>93</v>
      </c>
      <c r="G37" s="443" t="s">
        <v>92</v>
      </c>
      <c r="H37" s="446">
        <v>0.8</v>
      </c>
      <c r="I37" s="447">
        <v>2.3480000000000003</v>
      </c>
      <c r="J37" s="523">
        <v>35</v>
      </c>
      <c r="K37"/>
      <c r="L37"/>
    </row>
    <row r="38" spans="2:12" x14ac:dyDescent="0.35">
      <c r="B38" s="443">
        <v>71</v>
      </c>
      <c r="C38" s="442" t="s">
        <v>52</v>
      </c>
      <c r="D38" s="442" t="s">
        <v>76</v>
      </c>
      <c r="E38" s="443" t="s">
        <v>117</v>
      </c>
      <c r="F38" s="443" t="s">
        <v>118</v>
      </c>
      <c r="G38" s="442" t="s">
        <v>92</v>
      </c>
      <c r="H38" s="446">
        <v>0.85</v>
      </c>
      <c r="I38" s="447">
        <v>2.306</v>
      </c>
      <c r="J38" s="523">
        <v>36</v>
      </c>
      <c r="K38"/>
      <c r="L38"/>
    </row>
    <row r="39" spans="2:12" x14ac:dyDescent="0.35">
      <c r="B39" s="443">
        <v>1</v>
      </c>
      <c r="C39" s="442" t="s">
        <v>53</v>
      </c>
      <c r="D39" s="443" t="s">
        <v>119</v>
      </c>
      <c r="E39" s="443" t="s">
        <v>119</v>
      </c>
      <c r="F39" s="443" t="s">
        <v>120</v>
      </c>
      <c r="G39" s="443" t="s">
        <v>70</v>
      </c>
      <c r="H39" s="446">
        <v>0.72</v>
      </c>
      <c r="I39" s="447">
        <v>2.2640000000000002</v>
      </c>
      <c r="J39" s="523">
        <v>37</v>
      </c>
      <c r="K39"/>
      <c r="L39"/>
    </row>
    <row r="40" spans="2:12" x14ac:dyDescent="0.35">
      <c r="B40" s="443">
        <v>88</v>
      </c>
      <c r="C40" s="442" t="s">
        <v>54</v>
      </c>
      <c r="D40" s="443" t="s">
        <v>76</v>
      </c>
      <c r="E40" s="443" t="s">
        <v>117</v>
      </c>
      <c r="F40" s="443" t="s">
        <v>118</v>
      </c>
      <c r="G40" s="443" t="s">
        <v>92</v>
      </c>
      <c r="H40" s="446">
        <v>0.79</v>
      </c>
      <c r="I40" s="447">
        <v>2.246</v>
      </c>
      <c r="J40" s="523">
        <v>38</v>
      </c>
      <c r="K40"/>
      <c r="L40"/>
    </row>
    <row r="41" spans="2:12" x14ac:dyDescent="0.35">
      <c r="B41" s="443">
        <v>48</v>
      </c>
      <c r="C41" s="442" t="s">
        <v>55</v>
      </c>
      <c r="D41" s="442" t="s">
        <v>121</v>
      </c>
      <c r="E41" s="443" t="s">
        <v>122</v>
      </c>
      <c r="F41" s="443" t="s">
        <v>123</v>
      </c>
      <c r="G41" s="442" t="s">
        <v>70</v>
      </c>
      <c r="H41" s="446">
        <v>1.1000000000000001</v>
      </c>
      <c r="I41" s="447">
        <v>2.1779999999999999</v>
      </c>
      <c r="J41" s="523">
        <v>39</v>
      </c>
      <c r="K41"/>
      <c r="L41"/>
    </row>
    <row r="42" spans="2:12" ht="27" x14ac:dyDescent="0.35">
      <c r="B42" s="443">
        <v>28</v>
      </c>
      <c r="C42" s="442" t="s">
        <v>56</v>
      </c>
      <c r="D42" s="443" t="s">
        <v>68</v>
      </c>
      <c r="E42" s="443" t="s">
        <v>74</v>
      </c>
      <c r="F42" s="443" t="s">
        <v>88</v>
      </c>
      <c r="G42" s="443" t="s">
        <v>70</v>
      </c>
      <c r="H42" s="446">
        <v>0.73000000000000009</v>
      </c>
      <c r="I42" s="447">
        <v>2.1459999999999999</v>
      </c>
      <c r="J42" s="523">
        <v>40</v>
      </c>
      <c r="K42"/>
      <c r="L42"/>
    </row>
    <row r="43" spans="2:12" x14ac:dyDescent="0.35">
      <c r="B43" s="443">
        <v>26</v>
      </c>
      <c r="C43" s="442" t="s">
        <v>57</v>
      </c>
      <c r="D43" s="442" t="s">
        <v>76</v>
      </c>
      <c r="E43" s="443" t="s">
        <v>124</v>
      </c>
      <c r="F43" s="443" t="s">
        <v>125</v>
      </c>
      <c r="G43" s="443" t="s">
        <v>70</v>
      </c>
      <c r="H43" s="446">
        <v>0.56000000000000005</v>
      </c>
      <c r="I43" s="447">
        <v>2.08</v>
      </c>
      <c r="J43" s="523">
        <v>41</v>
      </c>
      <c r="K43"/>
      <c r="L43"/>
    </row>
    <row r="44" spans="2:12" x14ac:dyDescent="0.35">
      <c r="B44" s="443">
        <v>43</v>
      </c>
      <c r="C44" s="442" t="s">
        <v>58</v>
      </c>
      <c r="D44" s="443" t="s">
        <v>104</v>
      </c>
      <c r="E44" s="443" t="s">
        <v>126</v>
      </c>
      <c r="F44" s="443" t="s">
        <v>127</v>
      </c>
      <c r="G44" s="442" t="s">
        <v>70</v>
      </c>
      <c r="H44" s="446">
        <v>0.62</v>
      </c>
      <c r="I44" s="447">
        <v>2.0760000000000001</v>
      </c>
      <c r="J44" s="523">
        <v>42</v>
      </c>
      <c r="K44"/>
      <c r="L44"/>
    </row>
    <row r="45" spans="2:12" x14ac:dyDescent="0.35">
      <c r="B45" s="443">
        <v>44</v>
      </c>
      <c r="C45" s="442" t="s">
        <v>59</v>
      </c>
      <c r="D45" s="443" t="s">
        <v>121</v>
      </c>
      <c r="E45" s="443" t="s">
        <v>128</v>
      </c>
      <c r="F45" s="443" t="s">
        <v>129</v>
      </c>
      <c r="G45" s="442" t="s">
        <v>70</v>
      </c>
      <c r="H45" s="446">
        <v>0.74</v>
      </c>
      <c r="I45" s="447">
        <v>1.9720000000000002</v>
      </c>
      <c r="J45" s="523">
        <v>43</v>
      </c>
      <c r="K45"/>
      <c r="L45"/>
    </row>
    <row r="46" spans="2:12" x14ac:dyDescent="0.35">
      <c r="B46" s="443">
        <v>40</v>
      </c>
      <c r="C46" s="442" t="s">
        <v>60</v>
      </c>
      <c r="D46" s="443" t="s">
        <v>113</v>
      </c>
      <c r="E46" s="443" t="s">
        <v>130</v>
      </c>
      <c r="F46" s="443" t="s">
        <v>131</v>
      </c>
      <c r="G46" s="442" t="s">
        <v>70</v>
      </c>
      <c r="H46" s="446">
        <v>0.65</v>
      </c>
      <c r="I46" s="447">
        <v>1.9140000000000001</v>
      </c>
      <c r="J46" s="523">
        <v>44</v>
      </c>
      <c r="K46"/>
      <c r="L46"/>
    </row>
    <row r="47" spans="2:12" x14ac:dyDescent="0.35">
      <c r="B47" s="443">
        <v>56</v>
      </c>
      <c r="C47" s="442" t="s">
        <v>61</v>
      </c>
      <c r="D47" s="442" t="s">
        <v>76</v>
      </c>
      <c r="E47" s="443" t="s">
        <v>132</v>
      </c>
      <c r="F47" s="443" t="s">
        <v>133</v>
      </c>
      <c r="G47" s="443" t="s">
        <v>70</v>
      </c>
      <c r="H47" s="446">
        <v>0.66</v>
      </c>
      <c r="I47" s="447">
        <v>1.8640000000000003</v>
      </c>
      <c r="J47" s="523">
        <v>45</v>
      </c>
      <c r="K47"/>
      <c r="L47"/>
    </row>
    <row r="48" spans="2:12" x14ac:dyDescent="0.35">
      <c r="B48" s="443">
        <v>6</v>
      </c>
      <c r="C48" s="442" t="s">
        <v>62</v>
      </c>
      <c r="D48" s="443" t="s">
        <v>119</v>
      </c>
      <c r="E48" s="443" t="s">
        <v>134</v>
      </c>
      <c r="F48" s="443" t="s">
        <v>135</v>
      </c>
      <c r="G48" s="442" t="s">
        <v>70</v>
      </c>
      <c r="H48" s="446">
        <v>0.56000000000000005</v>
      </c>
      <c r="I48" s="447">
        <v>1.778</v>
      </c>
      <c r="J48" s="523">
        <v>46</v>
      </c>
      <c r="K48"/>
      <c r="L48"/>
    </row>
    <row r="49" spans="2:12" x14ac:dyDescent="0.35">
      <c r="B49" s="443">
        <v>57</v>
      </c>
      <c r="C49" s="442" t="s">
        <v>63</v>
      </c>
      <c r="D49" s="442" t="s">
        <v>104</v>
      </c>
      <c r="E49" s="442" t="s">
        <v>136</v>
      </c>
      <c r="F49" s="442" t="s">
        <v>137</v>
      </c>
      <c r="G49" s="442" t="s">
        <v>70</v>
      </c>
      <c r="H49" s="446">
        <v>0.26</v>
      </c>
      <c r="I49" s="447">
        <v>1.5880000000000001</v>
      </c>
      <c r="J49" s="523">
        <v>47</v>
      </c>
      <c r="K49"/>
      <c r="L49"/>
    </row>
    <row r="50" spans="2:12" ht="27" x14ac:dyDescent="0.35">
      <c r="B50" s="443">
        <v>68</v>
      </c>
      <c r="C50" s="442" t="s">
        <v>64</v>
      </c>
      <c r="D50" s="443" t="s">
        <v>84</v>
      </c>
      <c r="E50" s="443" t="s">
        <v>97</v>
      </c>
      <c r="F50" s="443" t="s">
        <v>98</v>
      </c>
      <c r="G50" s="443" t="s">
        <v>79</v>
      </c>
      <c r="H50" s="446">
        <v>1.06</v>
      </c>
      <c r="I50" s="447">
        <v>1.1920000000000002</v>
      </c>
      <c r="J50" s="523">
        <v>48</v>
      </c>
      <c r="K50"/>
      <c r="L50"/>
    </row>
    <row r="51" spans="2:12" x14ac:dyDescent="0.35">
      <c r="B51" s="443">
        <v>55</v>
      </c>
      <c r="C51" s="442" t="s">
        <v>138</v>
      </c>
      <c r="D51" s="443" t="s">
        <v>76</v>
      </c>
      <c r="E51" s="443" t="s">
        <v>132</v>
      </c>
      <c r="F51" s="443" t="s">
        <v>139</v>
      </c>
      <c r="G51" s="443" t="s">
        <v>70</v>
      </c>
      <c r="H51" s="446">
        <v>0.94</v>
      </c>
      <c r="I51" s="447">
        <v>1.036</v>
      </c>
      <c r="J51" s="523">
        <v>49</v>
      </c>
      <c r="K51"/>
      <c r="L51"/>
    </row>
    <row r="52" spans="2:12" x14ac:dyDescent="0.35">
      <c r="B52" s="443">
        <v>9</v>
      </c>
      <c r="C52" s="442" t="s">
        <v>140</v>
      </c>
      <c r="D52" s="443" t="s">
        <v>68</v>
      </c>
      <c r="E52" s="443" t="s">
        <v>90</v>
      </c>
      <c r="F52" s="443" t="s">
        <v>141</v>
      </c>
      <c r="G52" s="443" t="s">
        <v>70</v>
      </c>
      <c r="H52" s="446">
        <v>0.94</v>
      </c>
      <c r="I52" s="447">
        <v>0.96399999999999997</v>
      </c>
      <c r="J52" s="523">
        <v>50</v>
      </c>
      <c r="K52"/>
      <c r="L52"/>
    </row>
    <row r="53" spans="2:12" x14ac:dyDescent="0.35">
      <c r="B53" s="443">
        <v>78</v>
      </c>
      <c r="C53" s="442" t="s">
        <v>142</v>
      </c>
      <c r="D53" s="442" t="s">
        <v>76</v>
      </c>
      <c r="E53" s="442" t="s">
        <v>76</v>
      </c>
      <c r="F53" s="443" t="s">
        <v>87</v>
      </c>
      <c r="G53" s="442" t="s">
        <v>92</v>
      </c>
      <c r="H53" s="446">
        <v>0.74</v>
      </c>
      <c r="I53" s="447">
        <v>0.84799999999999998</v>
      </c>
      <c r="J53" s="523">
        <v>51</v>
      </c>
      <c r="K53"/>
      <c r="L53"/>
    </row>
    <row r="54" spans="2:12" x14ac:dyDescent="0.35">
      <c r="B54" s="443">
        <v>77</v>
      </c>
      <c r="C54" s="442" t="s">
        <v>143</v>
      </c>
      <c r="D54" s="443" t="s">
        <v>76</v>
      </c>
      <c r="E54" s="443" t="s">
        <v>76</v>
      </c>
      <c r="F54" s="443" t="s">
        <v>144</v>
      </c>
      <c r="G54" s="443" t="s">
        <v>92</v>
      </c>
      <c r="H54" s="446">
        <v>0.74</v>
      </c>
      <c r="I54" s="447">
        <v>0.84799999999999998</v>
      </c>
      <c r="J54" s="523">
        <v>51</v>
      </c>
      <c r="K54"/>
      <c r="L54"/>
    </row>
    <row r="55" spans="2:12" ht="27" x14ac:dyDescent="0.35">
      <c r="B55" s="443">
        <v>94</v>
      </c>
      <c r="C55" s="442" t="s">
        <v>145</v>
      </c>
      <c r="D55" s="443" t="s">
        <v>113</v>
      </c>
      <c r="E55" s="443" t="s">
        <v>146</v>
      </c>
      <c r="F55" s="443" t="s">
        <v>147</v>
      </c>
      <c r="G55" s="442" t="s">
        <v>92</v>
      </c>
      <c r="H55" s="446">
        <v>0.76</v>
      </c>
      <c r="I55" s="447">
        <v>0.82000000000000006</v>
      </c>
      <c r="J55" s="523">
        <v>53</v>
      </c>
      <c r="K55"/>
      <c r="L55"/>
    </row>
    <row r="56" spans="2:12" x14ac:dyDescent="0.35">
      <c r="B56" s="443">
        <v>4</v>
      </c>
      <c r="C56" s="442" t="s">
        <v>148</v>
      </c>
      <c r="D56" s="443" t="s">
        <v>76</v>
      </c>
      <c r="E56" s="443" t="s">
        <v>77</v>
      </c>
      <c r="F56" s="443" t="s">
        <v>78</v>
      </c>
      <c r="G56" s="443" t="s">
        <v>70</v>
      </c>
      <c r="H56" s="446">
        <v>0.76</v>
      </c>
      <c r="I56" s="447">
        <v>0.80800000000000005</v>
      </c>
      <c r="J56" s="523">
        <v>54</v>
      </c>
      <c r="K56"/>
      <c r="L56"/>
    </row>
    <row r="57" spans="2:12" x14ac:dyDescent="0.35">
      <c r="B57" s="443">
        <v>22</v>
      </c>
      <c r="C57" s="442" t="s">
        <v>149</v>
      </c>
      <c r="D57" s="443" t="s">
        <v>84</v>
      </c>
      <c r="E57" s="443" t="s">
        <v>84</v>
      </c>
      <c r="F57" s="443" t="s">
        <v>150</v>
      </c>
      <c r="G57" s="442" t="s">
        <v>70</v>
      </c>
      <c r="H57" s="446">
        <v>0.65999999999999992</v>
      </c>
      <c r="I57" s="447">
        <v>0.79199999999999993</v>
      </c>
      <c r="J57" s="523">
        <v>55</v>
      </c>
      <c r="K57"/>
      <c r="L57"/>
    </row>
    <row r="58" spans="2:12" x14ac:dyDescent="0.35">
      <c r="B58" s="443">
        <v>20</v>
      </c>
      <c r="C58" s="442" t="s">
        <v>151</v>
      </c>
      <c r="D58" s="443" t="s">
        <v>94</v>
      </c>
      <c r="E58" s="443" t="s">
        <v>152</v>
      </c>
      <c r="F58" s="443" t="s">
        <v>153</v>
      </c>
      <c r="G58" s="443" t="s">
        <v>70</v>
      </c>
      <c r="H58" s="446">
        <v>0.67</v>
      </c>
      <c r="I58" s="447">
        <v>0.77800000000000002</v>
      </c>
      <c r="J58" s="523">
        <v>56</v>
      </c>
      <c r="K58"/>
      <c r="L58"/>
    </row>
    <row r="59" spans="2:12" x14ac:dyDescent="0.35">
      <c r="B59" s="443">
        <v>45</v>
      </c>
      <c r="C59" s="442" t="s">
        <v>154</v>
      </c>
      <c r="D59" s="443" t="s">
        <v>68</v>
      </c>
      <c r="E59" s="443" t="s">
        <v>155</v>
      </c>
      <c r="F59" s="443" t="s">
        <v>156</v>
      </c>
      <c r="G59" s="442" t="s">
        <v>70</v>
      </c>
      <c r="H59" s="446">
        <v>0.7</v>
      </c>
      <c r="I59" s="447">
        <v>0.748</v>
      </c>
      <c r="J59" s="523">
        <v>57</v>
      </c>
      <c r="K59"/>
      <c r="L59"/>
    </row>
    <row r="60" spans="2:12" ht="27" x14ac:dyDescent="0.35">
      <c r="B60" s="443">
        <v>11</v>
      </c>
      <c r="C60" s="442" t="s">
        <v>157</v>
      </c>
      <c r="D60" s="442" t="s">
        <v>68</v>
      </c>
      <c r="E60" s="442" t="s">
        <v>74</v>
      </c>
      <c r="F60" s="443" t="s">
        <v>88</v>
      </c>
      <c r="G60" s="442" t="s">
        <v>70</v>
      </c>
      <c r="H60" s="446">
        <v>0.67</v>
      </c>
      <c r="I60" s="447">
        <v>0.74199999999999999</v>
      </c>
      <c r="J60" s="523">
        <v>58</v>
      </c>
      <c r="K60"/>
      <c r="L60"/>
    </row>
    <row r="61" spans="2:12" ht="27" x14ac:dyDescent="0.35">
      <c r="B61" s="443">
        <v>32</v>
      </c>
      <c r="C61" s="442" t="s">
        <v>158</v>
      </c>
      <c r="D61" s="442" t="s">
        <v>68</v>
      </c>
      <c r="E61" s="442" t="s">
        <v>74</v>
      </c>
      <c r="F61" s="443" t="s">
        <v>88</v>
      </c>
      <c r="G61" s="442" t="s">
        <v>70</v>
      </c>
      <c r="H61" s="446">
        <v>0.67</v>
      </c>
      <c r="I61" s="447">
        <v>0.74199999999999999</v>
      </c>
      <c r="J61" s="523">
        <v>58</v>
      </c>
      <c r="K61"/>
      <c r="L61"/>
    </row>
    <row r="62" spans="2:12" x14ac:dyDescent="0.35">
      <c r="B62" s="443">
        <v>76</v>
      </c>
      <c r="C62" s="442" t="s">
        <v>159</v>
      </c>
      <c r="D62" s="442" t="s">
        <v>76</v>
      </c>
      <c r="E62" s="442" t="s">
        <v>117</v>
      </c>
      <c r="F62" s="442" t="s">
        <v>118</v>
      </c>
      <c r="G62" s="442" t="s">
        <v>92</v>
      </c>
      <c r="H62" s="446">
        <v>0.65</v>
      </c>
      <c r="I62" s="447">
        <v>0.71</v>
      </c>
      <c r="J62" s="523">
        <v>60</v>
      </c>
      <c r="K62"/>
      <c r="L62"/>
    </row>
    <row r="63" spans="2:12" x14ac:dyDescent="0.35">
      <c r="B63" s="443">
        <v>96</v>
      </c>
      <c r="C63" s="442" t="s">
        <v>160</v>
      </c>
      <c r="D63" s="443" t="s">
        <v>76</v>
      </c>
      <c r="E63" s="443" t="s">
        <v>117</v>
      </c>
      <c r="F63" s="443" t="s">
        <v>118</v>
      </c>
      <c r="G63" s="443" t="s">
        <v>92</v>
      </c>
      <c r="H63" s="446">
        <v>0.65</v>
      </c>
      <c r="I63" s="447">
        <v>0.71</v>
      </c>
      <c r="J63" s="523">
        <v>60</v>
      </c>
      <c r="K63"/>
      <c r="L63"/>
    </row>
    <row r="64" spans="2:12" x14ac:dyDescent="0.35">
      <c r="B64" s="443">
        <v>73</v>
      </c>
      <c r="C64" s="442" t="s">
        <v>161</v>
      </c>
      <c r="D64" s="443" t="s">
        <v>104</v>
      </c>
      <c r="E64" s="443" t="s">
        <v>104</v>
      </c>
      <c r="F64" s="443" t="s">
        <v>110</v>
      </c>
      <c r="G64" s="443" t="s">
        <v>92</v>
      </c>
      <c r="H64" s="446">
        <v>0.6</v>
      </c>
      <c r="I64" s="447">
        <v>0.67199999999999993</v>
      </c>
      <c r="J64" s="523">
        <v>62</v>
      </c>
      <c r="K64"/>
      <c r="L64"/>
    </row>
    <row r="65" spans="2:12" x14ac:dyDescent="0.35">
      <c r="B65" s="443">
        <v>10</v>
      </c>
      <c r="C65" s="442" t="s">
        <v>162</v>
      </c>
      <c r="D65" s="443" t="s">
        <v>119</v>
      </c>
      <c r="E65" s="443" t="s">
        <v>119</v>
      </c>
      <c r="F65" s="443" t="s">
        <v>163</v>
      </c>
      <c r="G65" s="443" t="s">
        <v>70</v>
      </c>
      <c r="H65" s="446">
        <v>0.6</v>
      </c>
      <c r="I65" s="447">
        <v>0.65999999999999992</v>
      </c>
      <c r="J65" s="523">
        <v>63</v>
      </c>
      <c r="K65"/>
      <c r="L65"/>
    </row>
    <row r="66" spans="2:12" ht="27" x14ac:dyDescent="0.35">
      <c r="B66" s="443">
        <v>39</v>
      </c>
      <c r="C66" s="442" t="s">
        <v>164</v>
      </c>
      <c r="D66" s="443" t="s">
        <v>76</v>
      </c>
      <c r="E66" s="443" t="s">
        <v>77</v>
      </c>
      <c r="F66" s="443" t="s">
        <v>93</v>
      </c>
      <c r="G66" s="443" t="s">
        <v>70</v>
      </c>
      <c r="H66" s="446">
        <v>0.6</v>
      </c>
      <c r="I66" s="447">
        <v>0.64800000000000002</v>
      </c>
      <c r="J66" s="523">
        <v>64</v>
      </c>
      <c r="K66"/>
      <c r="L66"/>
    </row>
    <row r="67" spans="2:12" x14ac:dyDescent="0.35">
      <c r="B67" s="443">
        <v>97</v>
      </c>
      <c r="C67" s="442" t="s">
        <v>165</v>
      </c>
      <c r="D67" s="443" t="s">
        <v>76</v>
      </c>
      <c r="E67" s="443" t="s">
        <v>76</v>
      </c>
      <c r="F67" s="443" t="s">
        <v>166</v>
      </c>
      <c r="G67" s="443" t="s">
        <v>92</v>
      </c>
      <c r="H67" s="446">
        <v>0.54</v>
      </c>
      <c r="I67" s="447">
        <v>0.64800000000000002</v>
      </c>
      <c r="J67" s="523">
        <v>64</v>
      </c>
      <c r="K67"/>
      <c r="L67"/>
    </row>
    <row r="68" spans="2:12" x14ac:dyDescent="0.35">
      <c r="B68" s="443">
        <v>35</v>
      </c>
      <c r="C68" s="442" t="s">
        <v>167</v>
      </c>
      <c r="D68" s="443" t="s">
        <v>104</v>
      </c>
      <c r="E68" s="443" t="s">
        <v>104</v>
      </c>
      <c r="F68" s="443" t="s">
        <v>168</v>
      </c>
      <c r="G68" s="443" t="s">
        <v>70</v>
      </c>
      <c r="H68" s="446">
        <v>0.54</v>
      </c>
      <c r="I68" s="447">
        <v>0.6120000000000001</v>
      </c>
      <c r="J68" s="523">
        <v>66</v>
      </c>
      <c r="K68"/>
      <c r="L68"/>
    </row>
    <row r="69" spans="2:12" ht="27" x14ac:dyDescent="0.35">
      <c r="B69" s="443">
        <v>70</v>
      </c>
      <c r="C69" s="442" t="s">
        <v>169</v>
      </c>
      <c r="D69" s="443" t="s">
        <v>76</v>
      </c>
      <c r="E69" s="443" t="s">
        <v>170</v>
      </c>
      <c r="F69" s="443" t="s">
        <v>171</v>
      </c>
      <c r="G69" s="443" t="s">
        <v>92</v>
      </c>
      <c r="H69" s="446">
        <v>0.5</v>
      </c>
      <c r="I69" s="447">
        <v>0.59599999999999997</v>
      </c>
      <c r="J69" s="523">
        <v>67</v>
      </c>
      <c r="K69"/>
      <c r="L69"/>
    </row>
    <row r="70" spans="2:12" x14ac:dyDescent="0.35">
      <c r="B70" s="443">
        <v>24</v>
      </c>
      <c r="C70" s="442" t="s">
        <v>172</v>
      </c>
      <c r="D70" s="443" t="s">
        <v>121</v>
      </c>
      <c r="E70" s="443" t="s">
        <v>173</v>
      </c>
      <c r="F70" s="443" t="s">
        <v>174</v>
      </c>
      <c r="G70" s="442" t="s">
        <v>70</v>
      </c>
      <c r="H70" s="446">
        <v>0.5</v>
      </c>
      <c r="I70" s="447">
        <v>0.57200000000000006</v>
      </c>
      <c r="J70" s="523">
        <v>68</v>
      </c>
      <c r="K70"/>
      <c r="L70"/>
    </row>
    <row r="71" spans="2:12" x14ac:dyDescent="0.35">
      <c r="B71" s="443">
        <v>59</v>
      </c>
      <c r="C71" s="442" t="s">
        <v>175</v>
      </c>
      <c r="D71" s="443" t="s">
        <v>76</v>
      </c>
      <c r="E71" s="443" t="s">
        <v>107</v>
      </c>
      <c r="F71" s="443" t="s">
        <v>176</v>
      </c>
      <c r="G71" s="442" t="s">
        <v>70</v>
      </c>
      <c r="H71" s="446">
        <v>0.42</v>
      </c>
      <c r="I71" s="447">
        <v>0.56399999999999995</v>
      </c>
      <c r="J71" s="523">
        <v>69</v>
      </c>
      <c r="K71"/>
      <c r="L71"/>
    </row>
    <row r="72" spans="2:12" x14ac:dyDescent="0.35">
      <c r="B72" s="443" t="s">
        <v>177</v>
      </c>
      <c r="C72" s="442" t="s">
        <v>178</v>
      </c>
      <c r="D72" s="442" t="s">
        <v>84</v>
      </c>
      <c r="E72" s="443" t="s">
        <v>179</v>
      </c>
      <c r="F72" s="443" t="s">
        <v>180</v>
      </c>
      <c r="G72" s="443" t="s">
        <v>181</v>
      </c>
      <c r="H72" s="446">
        <v>0.44</v>
      </c>
      <c r="I72" s="447">
        <v>0.56000000000000005</v>
      </c>
      <c r="J72" s="523">
        <v>70</v>
      </c>
      <c r="K72"/>
      <c r="L72"/>
    </row>
    <row r="73" spans="2:12" x14ac:dyDescent="0.35">
      <c r="B73" s="443">
        <v>41</v>
      </c>
      <c r="C73" s="442" t="s">
        <v>182</v>
      </c>
      <c r="D73" s="443" t="s">
        <v>113</v>
      </c>
      <c r="E73" s="443" t="s">
        <v>130</v>
      </c>
      <c r="F73" s="443" t="s">
        <v>183</v>
      </c>
      <c r="G73" s="442" t="s">
        <v>70</v>
      </c>
      <c r="H73" s="446">
        <v>0.44999999999999996</v>
      </c>
      <c r="I73" s="447">
        <v>0.55799999999999994</v>
      </c>
      <c r="J73" s="523">
        <v>71</v>
      </c>
      <c r="K73"/>
      <c r="L73"/>
    </row>
    <row r="74" spans="2:12" x14ac:dyDescent="0.35">
      <c r="B74" s="443">
        <v>84</v>
      </c>
      <c r="C74" s="442" t="s">
        <v>184</v>
      </c>
      <c r="D74" s="443" t="s">
        <v>94</v>
      </c>
      <c r="E74" s="443" t="s">
        <v>152</v>
      </c>
      <c r="F74" s="443" t="s">
        <v>185</v>
      </c>
      <c r="G74" s="443" t="s">
        <v>92</v>
      </c>
      <c r="H74" s="446">
        <v>0.44999999999999996</v>
      </c>
      <c r="I74" s="447">
        <v>0.55799999999999994</v>
      </c>
      <c r="J74" s="523">
        <v>71</v>
      </c>
      <c r="K74"/>
      <c r="L74"/>
    </row>
    <row r="75" spans="2:12" x14ac:dyDescent="0.35">
      <c r="B75" s="443">
        <v>23</v>
      </c>
      <c r="C75" s="442" t="s">
        <v>186</v>
      </c>
      <c r="D75" s="443" t="s">
        <v>84</v>
      </c>
      <c r="E75" s="443" t="s">
        <v>84</v>
      </c>
      <c r="F75" s="443" t="s">
        <v>187</v>
      </c>
      <c r="G75" s="442" t="s">
        <v>70</v>
      </c>
      <c r="H75" s="446">
        <v>0.42</v>
      </c>
      <c r="I75" s="447">
        <v>0.55200000000000005</v>
      </c>
      <c r="J75" s="523">
        <v>73</v>
      </c>
      <c r="K75"/>
      <c r="L75"/>
    </row>
    <row r="76" spans="2:12" ht="27" x14ac:dyDescent="0.35">
      <c r="B76" s="443">
        <v>91</v>
      </c>
      <c r="C76" s="442" t="s">
        <v>188</v>
      </c>
      <c r="D76" s="443" t="s">
        <v>76</v>
      </c>
      <c r="E76" s="443" t="s">
        <v>189</v>
      </c>
      <c r="F76" s="443" t="s">
        <v>190</v>
      </c>
      <c r="G76" s="443" t="s">
        <v>92</v>
      </c>
      <c r="H76" s="446">
        <v>0.44</v>
      </c>
      <c r="I76" s="447">
        <v>0.53600000000000003</v>
      </c>
      <c r="J76" s="523">
        <v>74</v>
      </c>
      <c r="K76"/>
      <c r="L76"/>
    </row>
    <row r="77" spans="2:12" ht="27" x14ac:dyDescent="0.35">
      <c r="B77" s="443">
        <v>69</v>
      </c>
      <c r="C77" s="442" t="s">
        <v>191</v>
      </c>
      <c r="D77" s="443" t="s">
        <v>76</v>
      </c>
      <c r="E77" s="443" t="s">
        <v>117</v>
      </c>
      <c r="F77" s="443" t="s">
        <v>118</v>
      </c>
      <c r="G77" s="443" t="s">
        <v>92</v>
      </c>
      <c r="H77" s="446">
        <v>0.44999999999999996</v>
      </c>
      <c r="I77" s="447">
        <v>0.51</v>
      </c>
      <c r="J77" s="523">
        <v>75</v>
      </c>
      <c r="K77"/>
      <c r="L77"/>
    </row>
    <row r="78" spans="2:12" x14ac:dyDescent="0.35">
      <c r="B78" s="443">
        <v>72</v>
      </c>
      <c r="C78" s="442" t="s">
        <v>192</v>
      </c>
      <c r="D78" s="442" t="s">
        <v>76</v>
      </c>
      <c r="E78" s="442" t="s">
        <v>117</v>
      </c>
      <c r="F78" s="443" t="s">
        <v>118</v>
      </c>
      <c r="G78" s="442" t="s">
        <v>92</v>
      </c>
      <c r="H78" s="446">
        <v>0.44999999999999996</v>
      </c>
      <c r="I78" s="447">
        <v>0.51</v>
      </c>
      <c r="J78" s="523">
        <v>75</v>
      </c>
      <c r="K78"/>
      <c r="L78"/>
    </row>
    <row r="79" spans="2:12" x14ac:dyDescent="0.35">
      <c r="B79" s="443">
        <v>74</v>
      </c>
      <c r="C79" s="442" t="s">
        <v>193</v>
      </c>
      <c r="D79" s="443" t="s">
        <v>68</v>
      </c>
      <c r="E79" s="443" t="s">
        <v>100</v>
      </c>
      <c r="F79" s="443" t="s">
        <v>194</v>
      </c>
      <c r="G79" s="443" t="s">
        <v>92</v>
      </c>
      <c r="H79" s="446">
        <v>0.44999999999999996</v>
      </c>
      <c r="I79" s="447">
        <v>0.49799999999999994</v>
      </c>
      <c r="J79" s="523">
        <v>77</v>
      </c>
      <c r="K79"/>
      <c r="L79"/>
    </row>
    <row r="80" spans="2:12" ht="27" x14ac:dyDescent="0.35">
      <c r="B80" s="443">
        <v>36</v>
      </c>
      <c r="C80" s="442" t="s">
        <v>195</v>
      </c>
      <c r="D80" s="443" t="s">
        <v>104</v>
      </c>
      <c r="E80" s="443" t="s">
        <v>104</v>
      </c>
      <c r="F80" s="443" t="s">
        <v>196</v>
      </c>
      <c r="G80" s="443" t="s">
        <v>70</v>
      </c>
      <c r="H80" s="446">
        <v>0.42</v>
      </c>
      <c r="I80" s="447">
        <v>0.49199999999999999</v>
      </c>
      <c r="J80" s="523">
        <v>78</v>
      </c>
      <c r="K80"/>
      <c r="L80"/>
    </row>
    <row r="81" spans="2:12" x14ac:dyDescent="0.35">
      <c r="B81" s="443">
        <v>53</v>
      </c>
      <c r="C81" s="442" t="s">
        <v>197</v>
      </c>
      <c r="D81" s="443" t="s">
        <v>68</v>
      </c>
      <c r="E81" s="443" t="s">
        <v>68</v>
      </c>
      <c r="F81" s="443" t="s">
        <v>198</v>
      </c>
      <c r="G81" s="443" t="s">
        <v>70</v>
      </c>
      <c r="H81" s="446">
        <v>0.42</v>
      </c>
      <c r="I81" s="447">
        <v>0.48</v>
      </c>
      <c r="J81" s="523">
        <v>79</v>
      </c>
      <c r="K81"/>
      <c r="L81"/>
    </row>
    <row r="82" spans="2:12" x14ac:dyDescent="0.35">
      <c r="B82" s="443">
        <v>49</v>
      </c>
      <c r="C82" s="442" t="s">
        <v>199</v>
      </c>
      <c r="D82" s="443" t="s">
        <v>68</v>
      </c>
      <c r="E82" s="443" t="s">
        <v>68</v>
      </c>
      <c r="F82" s="443" t="s">
        <v>200</v>
      </c>
      <c r="G82" s="443" t="s">
        <v>70</v>
      </c>
      <c r="H82" s="446">
        <v>0.42</v>
      </c>
      <c r="I82" s="447">
        <v>0.48</v>
      </c>
      <c r="J82" s="523">
        <v>79</v>
      </c>
      <c r="K82"/>
      <c r="L82"/>
    </row>
    <row r="83" spans="2:12" x14ac:dyDescent="0.35">
      <c r="B83" s="443">
        <v>80</v>
      </c>
      <c r="C83" s="442" t="s">
        <v>201</v>
      </c>
      <c r="D83" s="443" t="s">
        <v>94</v>
      </c>
      <c r="E83" s="443" t="s">
        <v>202</v>
      </c>
      <c r="F83" s="443" t="s">
        <v>203</v>
      </c>
      <c r="G83" s="443" t="s">
        <v>92</v>
      </c>
      <c r="H83" s="446">
        <v>0.3</v>
      </c>
      <c r="I83" s="447">
        <v>0.45599999999999996</v>
      </c>
      <c r="J83" s="523">
        <v>81</v>
      </c>
      <c r="K83"/>
      <c r="L83"/>
    </row>
    <row r="84" spans="2:12" x14ac:dyDescent="0.35">
      <c r="B84" s="443">
        <v>25</v>
      </c>
      <c r="C84" s="442" t="s">
        <v>204</v>
      </c>
      <c r="D84" s="442" t="s">
        <v>76</v>
      </c>
      <c r="E84" s="443" t="s">
        <v>205</v>
      </c>
      <c r="F84" s="443" t="s">
        <v>206</v>
      </c>
      <c r="G84" s="443" t="s">
        <v>70</v>
      </c>
      <c r="H84" s="446">
        <v>0.3</v>
      </c>
      <c r="I84" s="447">
        <v>0.38400000000000001</v>
      </c>
      <c r="J84" s="523">
        <v>82</v>
      </c>
      <c r="K84"/>
      <c r="L84"/>
    </row>
    <row r="85" spans="2:12" x14ac:dyDescent="0.35">
      <c r="B85" s="443">
        <v>14</v>
      </c>
      <c r="C85" s="442" t="s">
        <v>207</v>
      </c>
      <c r="D85" s="443" t="s">
        <v>121</v>
      </c>
      <c r="E85" s="443" t="s">
        <v>208</v>
      </c>
      <c r="F85" s="443" t="s">
        <v>209</v>
      </c>
      <c r="G85" s="443" t="s">
        <v>70</v>
      </c>
      <c r="H85" s="446">
        <v>0.26</v>
      </c>
      <c r="I85" s="447">
        <v>0.38</v>
      </c>
      <c r="J85" s="523">
        <v>83</v>
      </c>
      <c r="K85"/>
      <c r="L85"/>
    </row>
    <row r="86" spans="2:12" x14ac:dyDescent="0.35">
      <c r="B86" s="443">
        <v>15</v>
      </c>
      <c r="C86" s="442" t="s">
        <v>210</v>
      </c>
      <c r="D86" s="442" t="s">
        <v>76</v>
      </c>
      <c r="E86" s="443" t="s">
        <v>211</v>
      </c>
      <c r="F86" s="443" t="s">
        <v>212</v>
      </c>
      <c r="G86" s="443" t="s">
        <v>70</v>
      </c>
      <c r="H86" s="446">
        <v>0.27</v>
      </c>
      <c r="I86" s="447">
        <v>0.378</v>
      </c>
      <c r="J86" s="523">
        <v>84</v>
      </c>
      <c r="K86"/>
      <c r="L86"/>
    </row>
    <row r="87" spans="2:12" x14ac:dyDescent="0.35">
      <c r="B87" s="443">
        <v>86</v>
      </c>
      <c r="C87" s="442" t="s">
        <v>213</v>
      </c>
      <c r="D87" s="443" t="s">
        <v>84</v>
      </c>
      <c r="E87" s="443" t="s">
        <v>97</v>
      </c>
      <c r="F87" s="443" t="s">
        <v>214</v>
      </c>
      <c r="G87" s="443" t="s">
        <v>92</v>
      </c>
      <c r="H87" s="446">
        <v>0.24</v>
      </c>
      <c r="I87" s="447">
        <v>0.372</v>
      </c>
      <c r="J87" s="523">
        <v>85</v>
      </c>
      <c r="K87"/>
      <c r="L87"/>
    </row>
    <row r="88" spans="2:12" ht="27" x14ac:dyDescent="0.35">
      <c r="B88" s="443">
        <v>29</v>
      </c>
      <c r="C88" s="442" t="s">
        <v>215</v>
      </c>
      <c r="D88" s="442" t="s">
        <v>68</v>
      </c>
      <c r="E88" s="442" t="s">
        <v>74</v>
      </c>
      <c r="F88" s="443" t="s">
        <v>88</v>
      </c>
      <c r="G88" s="442" t="s">
        <v>70</v>
      </c>
      <c r="H88" s="446">
        <v>0.27</v>
      </c>
      <c r="I88" s="447">
        <v>0.34200000000000003</v>
      </c>
      <c r="J88" s="523">
        <v>86</v>
      </c>
      <c r="K88"/>
      <c r="L88"/>
    </row>
    <row r="89" spans="2:12" ht="27" x14ac:dyDescent="0.35">
      <c r="B89" s="443">
        <v>31</v>
      </c>
      <c r="C89" s="442" t="s">
        <v>216</v>
      </c>
      <c r="D89" s="442" t="s">
        <v>68</v>
      </c>
      <c r="E89" s="443" t="s">
        <v>74</v>
      </c>
      <c r="F89" s="443" t="s">
        <v>217</v>
      </c>
      <c r="G89" s="443" t="s">
        <v>70</v>
      </c>
      <c r="H89" s="446">
        <v>0.27</v>
      </c>
      <c r="I89" s="447">
        <v>0.34200000000000003</v>
      </c>
      <c r="J89" s="523">
        <v>86</v>
      </c>
      <c r="K89"/>
      <c r="L89"/>
    </row>
    <row r="90" spans="2:12" x14ac:dyDescent="0.35">
      <c r="B90" s="443">
        <v>19</v>
      </c>
      <c r="C90" s="442" t="s">
        <v>218</v>
      </c>
      <c r="D90" s="443" t="s">
        <v>76</v>
      </c>
      <c r="E90" s="443" t="s">
        <v>82</v>
      </c>
      <c r="F90" s="443" t="s">
        <v>219</v>
      </c>
      <c r="G90" s="443" t="s">
        <v>70</v>
      </c>
      <c r="H90" s="446">
        <v>0.21</v>
      </c>
      <c r="I90" s="447">
        <v>0.28199999999999997</v>
      </c>
      <c r="J90" s="523">
        <v>88</v>
      </c>
      <c r="K90"/>
      <c r="L90"/>
    </row>
    <row r="91" spans="2:12" ht="27" x14ac:dyDescent="0.35">
      <c r="B91" s="443">
        <v>2</v>
      </c>
      <c r="C91" s="442" t="s">
        <v>220</v>
      </c>
      <c r="D91" s="443" t="s">
        <v>68</v>
      </c>
      <c r="E91" s="443" t="s">
        <v>221</v>
      </c>
      <c r="F91" s="443" t="s">
        <v>222</v>
      </c>
      <c r="G91" s="442" t="s">
        <v>70</v>
      </c>
      <c r="H91" s="446">
        <v>0.12</v>
      </c>
      <c r="I91" s="447">
        <v>0.27600000000000002</v>
      </c>
      <c r="J91" s="523">
        <v>89</v>
      </c>
      <c r="K91"/>
      <c r="L91"/>
    </row>
    <row r="92" spans="2:12" x14ac:dyDescent="0.35">
      <c r="B92" s="443">
        <v>61</v>
      </c>
      <c r="C92" s="442" t="s">
        <v>223</v>
      </c>
      <c r="D92" s="443" t="s">
        <v>94</v>
      </c>
      <c r="E92" s="443" t="s">
        <v>202</v>
      </c>
      <c r="F92" s="443" t="s">
        <v>224</v>
      </c>
      <c r="G92" s="442" t="s">
        <v>70</v>
      </c>
      <c r="H92" s="446">
        <v>0.12</v>
      </c>
      <c r="I92" s="447">
        <v>0.27599999999999997</v>
      </c>
      <c r="J92" s="523">
        <v>90</v>
      </c>
      <c r="K92"/>
      <c r="L92"/>
    </row>
    <row r="93" spans="2:12" ht="27" x14ac:dyDescent="0.35">
      <c r="B93" s="443" t="s">
        <v>225</v>
      </c>
      <c r="C93" s="442" t="s">
        <v>226</v>
      </c>
      <c r="D93" s="443" t="s">
        <v>180</v>
      </c>
      <c r="E93" s="443" t="s">
        <v>180</v>
      </c>
      <c r="F93" s="443" t="s">
        <v>180</v>
      </c>
      <c r="G93" s="443" t="s">
        <v>181</v>
      </c>
      <c r="H93" s="446">
        <v>0.27</v>
      </c>
      <c r="I93" s="447">
        <v>0.27</v>
      </c>
      <c r="J93" s="523">
        <v>91</v>
      </c>
      <c r="K93"/>
      <c r="L93"/>
    </row>
    <row r="94" spans="2:12" x14ac:dyDescent="0.35">
      <c r="B94" s="443">
        <v>62</v>
      </c>
      <c r="C94" s="442" t="s">
        <v>227</v>
      </c>
      <c r="D94" s="443" t="s">
        <v>84</v>
      </c>
      <c r="E94" s="443" t="s">
        <v>97</v>
      </c>
      <c r="F94" s="443" t="s">
        <v>228</v>
      </c>
      <c r="G94" s="442" t="s">
        <v>70</v>
      </c>
      <c r="H94" s="446">
        <v>0.12</v>
      </c>
      <c r="I94" s="447">
        <v>0.252</v>
      </c>
      <c r="J94" s="523">
        <v>92</v>
      </c>
      <c r="K94"/>
      <c r="L94"/>
    </row>
    <row r="95" spans="2:12" x14ac:dyDescent="0.35">
      <c r="B95" s="443" t="s">
        <v>229</v>
      </c>
      <c r="C95" s="442" t="s">
        <v>230</v>
      </c>
      <c r="D95" s="442" t="s">
        <v>84</v>
      </c>
      <c r="E95" s="443" t="s">
        <v>231</v>
      </c>
      <c r="F95" s="443" t="s">
        <v>180</v>
      </c>
      <c r="G95" s="443" t="s">
        <v>181</v>
      </c>
      <c r="H95" s="446">
        <v>0.12</v>
      </c>
      <c r="I95" s="447">
        <v>0.22800000000000001</v>
      </c>
      <c r="J95" s="523">
        <v>93</v>
      </c>
      <c r="K95"/>
      <c r="L95"/>
    </row>
    <row r="96" spans="2:12" x14ac:dyDescent="0.35">
      <c r="B96" s="443">
        <v>46</v>
      </c>
      <c r="C96" s="442" t="s">
        <v>232</v>
      </c>
      <c r="D96" s="443" t="s">
        <v>76</v>
      </c>
      <c r="E96" s="443" t="s">
        <v>170</v>
      </c>
      <c r="F96" s="443" t="s">
        <v>233</v>
      </c>
      <c r="G96" s="443" t="s">
        <v>70</v>
      </c>
      <c r="H96" s="446">
        <v>0.12</v>
      </c>
      <c r="I96" s="447">
        <v>0.216</v>
      </c>
      <c r="J96" s="523">
        <v>94</v>
      </c>
      <c r="K96"/>
      <c r="L96"/>
    </row>
    <row r="97" spans="2:12" x14ac:dyDescent="0.35">
      <c r="B97" s="443">
        <v>17</v>
      </c>
      <c r="C97" s="442" t="s">
        <v>234</v>
      </c>
      <c r="D97" s="443" t="s">
        <v>76</v>
      </c>
      <c r="E97" s="443" t="s">
        <v>117</v>
      </c>
      <c r="F97" s="443" t="s">
        <v>118</v>
      </c>
      <c r="G97" s="443" t="s">
        <v>70</v>
      </c>
      <c r="H97" s="446">
        <v>0.15</v>
      </c>
      <c r="I97" s="447">
        <v>0.21</v>
      </c>
      <c r="J97" s="523">
        <v>95</v>
      </c>
      <c r="K97"/>
      <c r="L97"/>
    </row>
    <row r="98" spans="2:12" x14ac:dyDescent="0.35">
      <c r="B98" s="443">
        <v>47</v>
      </c>
      <c r="C98" s="442" t="s">
        <v>235</v>
      </c>
      <c r="D98" s="443" t="s">
        <v>113</v>
      </c>
      <c r="E98" s="443" t="s">
        <v>236</v>
      </c>
      <c r="F98" s="443" t="s">
        <v>237</v>
      </c>
      <c r="G98" s="442" t="s">
        <v>70</v>
      </c>
      <c r="H98" s="446">
        <v>0.12</v>
      </c>
      <c r="I98" s="447">
        <v>0.192</v>
      </c>
      <c r="J98" s="523">
        <v>96</v>
      </c>
      <c r="K98"/>
      <c r="L98"/>
    </row>
    <row r="99" spans="2:12" x14ac:dyDescent="0.35">
      <c r="B99" s="443">
        <v>51</v>
      </c>
      <c r="C99" s="442" t="s">
        <v>238</v>
      </c>
      <c r="D99" s="443" t="s">
        <v>84</v>
      </c>
      <c r="E99" s="443" t="s">
        <v>97</v>
      </c>
      <c r="F99" s="443" t="s">
        <v>214</v>
      </c>
      <c r="G99" s="442" t="s">
        <v>70</v>
      </c>
      <c r="H99" s="446">
        <v>0.06</v>
      </c>
      <c r="I99" s="447">
        <v>0.192</v>
      </c>
      <c r="J99" s="523">
        <v>96</v>
      </c>
      <c r="K99"/>
      <c r="L99"/>
    </row>
    <row r="100" spans="2:12" x14ac:dyDescent="0.35">
      <c r="B100" s="443">
        <v>54</v>
      </c>
      <c r="C100" s="442" t="s">
        <v>239</v>
      </c>
      <c r="D100" s="443" t="s">
        <v>113</v>
      </c>
      <c r="E100" s="443" t="s">
        <v>240</v>
      </c>
      <c r="F100" s="443" t="s">
        <v>241</v>
      </c>
      <c r="G100" s="443" t="s">
        <v>70</v>
      </c>
      <c r="H100" s="446">
        <v>0.06</v>
      </c>
      <c r="I100" s="447">
        <v>0.18</v>
      </c>
      <c r="J100" s="523">
        <v>98</v>
      </c>
      <c r="K100"/>
      <c r="L100"/>
    </row>
    <row r="101" spans="2:12" x14ac:dyDescent="0.35">
      <c r="B101" s="443">
        <v>5</v>
      </c>
      <c r="C101" s="442" t="s">
        <v>242</v>
      </c>
      <c r="D101" s="443" t="s">
        <v>68</v>
      </c>
      <c r="E101" s="443" t="s">
        <v>243</v>
      </c>
      <c r="F101" s="443" t="s">
        <v>244</v>
      </c>
      <c r="G101" s="442" t="s">
        <v>70</v>
      </c>
      <c r="H101" s="446">
        <v>0.06</v>
      </c>
      <c r="I101" s="447">
        <v>0.16800000000000001</v>
      </c>
      <c r="J101" s="523">
        <v>99</v>
      </c>
      <c r="K101"/>
      <c r="L101"/>
    </row>
    <row r="102" spans="2:12" x14ac:dyDescent="0.35">
      <c r="B102" s="443" t="s">
        <v>245</v>
      </c>
      <c r="C102" s="442" t="s">
        <v>246</v>
      </c>
      <c r="D102" s="443" t="s">
        <v>68</v>
      </c>
      <c r="E102" s="443" t="s">
        <v>247</v>
      </c>
      <c r="F102" s="443" t="s">
        <v>180</v>
      </c>
      <c r="G102" s="443" t="s">
        <v>181</v>
      </c>
      <c r="H102" s="446">
        <v>0.12</v>
      </c>
      <c r="I102" s="447">
        <v>0.16799999999999998</v>
      </c>
      <c r="J102" s="523">
        <v>100</v>
      </c>
      <c r="K102"/>
      <c r="L102"/>
    </row>
    <row r="103" spans="2:12" x14ac:dyDescent="0.35">
      <c r="B103" s="443">
        <v>50</v>
      </c>
      <c r="C103" s="442" t="s">
        <v>248</v>
      </c>
      <c r="D103" s="443" t="s">
        <v>113</v>
      </c>
      <c r="E103" s="443" t="s">
        <v>113</v>
      </c>
      <c r="F103" s="443" t="s">
        <v>249</v>
      </c>
      <c r="G103" s="443" t="s">
        <v>70</v>
      </c>
      <c r="H103" s="446">
        <v>0.06</v>
      </c>
      <c r="I103" s="447">
        <v>0.13200000000000001</v>
      </c>
      <c r="J103" s="523">
        <v>101</v>
      </c>
      <c r="K103"/>
      <c r="L103"/>
    </row>
    <row r="104" spans="2:12" x14ac:dyDescent="0.35">
      <c r="B104"/>
      <c r="D104" s="65"/>
      <c r="E104"/>
      <c r="F104" s="65"/>
      <c r="G104" s="65"/>
      <c r="H104" s="65"/>
      <c r="I104" s="65"/>
      <c r="J104" s="65"/>
      <c r="K104"/>
      <c r="L104"/>
    </row>
    <row r="105" spans="2:12" x14ac:dyDescent="0.35">
      <c r="B105"/>
      <c r="D105" s="65"/>
      <c r="E105"/>
      <c r="F105" s="65"/>
      <c r="G105" s="65"/>
      <c r="H105" s="65"/>
      <c r="I105" s="65"/>
      <c r="J105" s="65"/>
      <c r="K105"/>
      <c r="L105"/>
    </row>
    <row r="106" spans="2:12" x14ac:dyDescent="0.35">
      <c r="B106"/>
      <c r="D106" s="65"/>
      <c r="E106"/>
      <c r="F106" s="65"/>
      <c r="G106" s="65"/>
      <c r="H106" s="65"/>
      <c r="I106" s="65"/>
      <c r="J106" s="65"/>
      <c r="K106"/>
      <c r="L106"/>
    </row>
    <row r="107" spans="2:12" x14ac:dyDescent="0.35">
      <c r="B107"/>
      <c r="D107" s="65"/>
      <c r="E107"/>
      <c r="F107" s="65"/>
      <c r="G107" s="65"/>
      <c r="H107" s="65"/>
      <c r="I107" s="65"/>
      <c r="J107" s="65"/>
      <c r="K107"/>
      <c r="L107"/>
    </row>
    <row r="108" spans="2:12" x14ac:dyDescent="0.35">
      <c r="B108"/>
      <c r="D108" s="65"/>
      <c r="E108"/>
      <c r="F108" s="65"/>
      <c r="G108" s="65"/>
      <c r="H108" s="65"/>
      <c r="I108" s="65"/>
      <c r="J108" s="65"/>
      <c r="K108"/>
      <c r="L108"/>
    </row>
    <row r="109" spans="2:12" x14ac:dyDescent="0.35">
      <c r="B109"/>
      <c r="D109" s="65"/>
      <c r="E109"/>
      <c r="F109" s="65"/>
      <c r="G109" s="65"/>
      <c r="H109" s="65"/>
      <c r="I109" s="65"/>
      <c r="J109" s="65"/>
      <c r="K109"/>
      <c r="L109"/>
    </row>
    <row r="110" spans="2:12" x14ac:dyDescent="0.35">
      <c r="B110"/>
      <c r="D110" s="65"/>
      <c r="E110"/>
      <c r="F110" s="65"/>
      <c r="G110" s="65"/>
      <c r="H110" s="65"/>
      <c r="I110" s="65"/>
      <c r="J110" s="65"/>
      <c r="K110"/>
      <c r="L110"/>
    </row>
    <row r="111" spans="2:12" x14ac:dyDescent="0.35">
      <c r="B111"/>
      <c r="D111" s="65"/>
      <c r="E111"/>
      <c r="F111" s="65"/>
      <c r="G111" s="65"/>
      <c r="H111" s="65"/>
      <c r="I111" s="65"/>
      <c r="J111" s="65"/>
      <c r="K111"/>
      <c r="L111"/>
    </row>
    <row r="112" spans="2:12" x14ac:dyDescent="0.35">
      <c r="B112"/>
      <c r="D112" s="65"/>
      <c r="E112"/>
      <c r="F112" s="65"/>
      <c r="G112" s="65"/>
      <c r="H112" s="65"/>
      <c r="I112" s="65"/>
      <c r="J112" s="65"/>
      <c r="K112"/>
      <c r="L112"/>
    </row>
    <row r="113" spans="4:10" customFormat="1" x14ac:dyDescent="0.35">
      <c r="D113" s="65"/>
      <c r="F113" s="65"/>
      <c r="G113" s="65"/>
      <c r="H113" s="65"/>
      <c r="I113" s="65"/>
      <c r="J113" s="65"/>
    </row>
    <row r="114" spans="4:10" customFormat="1" x14ac:dyDescent="0.35">
      <c r="D114" s="65"/>
      <c r="F114" s="65"/>
      <c r="G114" s="65"/>
      <c r="H114" s="65"/>
      <c r="I114" s="65"/>
      <c r="J114" s="65"/>
    </row>
    <row r="115" spans="4:10" customFormat="1" x14ac:dyDescent="0.35">
      <c r="D115" s="65"/>
      <c r="F115" s="65"/>
      <c r="G115" s="65"/>
      <c r="H115" s="65"/>
      <c r="I115" s="65"/>
      <c r="J115" s="65"/>
    </row>
    <row r="116" spans="4:10" customFormat="1" x14ac:dyDescent="0.35">
      <c r="D116" s="65"/>
      <c r="F116" s="65"/>
      <c r="G116" s="65"/>
      <c r="H116" s="65"/>
      <c r="I116" s="65"/>
      <c r="J116" s="65"/>
    </row>
    <row r="117" spans="4:10" customFormat="1" x14ac:dyDescent="0.35">
      <c r="D117" s="65"/>
      <c r="F117" s="65"/>
      <c r="G117" s="65"/>
      <c r="H117" s="65"/>
      <c r="I117" s="65"/>
      <c r="J117" s="65"/>
    </row>
    <row r="118" spans="4:10" customFormat="1" x14ac:dyDescent="0.35">
      <c r="D118" s="65"/>
      <c r="F118" s="65"/>
      <c r="G118" s="65"/>
      <c r="H118" s="65"/>
      <c r="I118" s="65"/>
      <c r="J118" s="65"/>
    </row>
    <row r="119" spans="4:10" customFormat="1" x14ac:dyDescent="0.35">
      <c r="D119" s="65"/>
      <c r="F119" s="65"/>
      <c r="G119" s="65"/>
      <c r="H119" s="65"/>
      <c r="I119" s="65"/>
      <c r="J119" s="65"/>
    </row>
    <row r="120" spans="4:10" customFormat="1" x14ac:dyDescent="0.35">
      <c r="D120" s="65"/>
      <c r="F120" s="65"/>
      <c r="G120" s="65"/>
      <c r="H120" s="65"/>
      <c r="I120" s="65"/>
      <c r="J120" s="65"/>
    </row>
    <row r="121" spans="4:10" customFormat="1" x14ac:dyDescent="0.35">
      <c r="D121" s="65"/>
      <c r="F121" s="65"/>
      <c r="G121" s="65"/>
      <c r="H121" s="65"/>
      <c r="I121" s="65"/>
      <c r="J121" s="65"/>
    </row>
    <row r="122" spans="4:10" customFormat="1" x14ac:dyDescent="0.35">
      <c r="D122" s="65"/>
      <c r="F122" s="65"/>
      <c r="G122" s="65"/>
      <c r="H122" s="65"/>
      <c r="I122" s="65"/>
      <c r="J122" s="65"/>
    </row>
    <row r="123" spans="4:10" customFormat="1" x14ac:dyDescent="0.35">
      <c r="D123" s="65"/>
      <c r="F123" s="65"/>
      <c r="G123" s="65"/>
      <c r="H123" s="65"/>
      <c r="I123" s="65"/>
      <c r="J123" s="65"/>
    </row>
    <row r="124" spans="4:10" customFormat="1" x14ac:dyDescent="0.35">
      <c r="D124" s="65"/>
      <c r="F124" s="65"/>
      <c r="G124" s="65"/>
      <c r="H124" s="65"/>
      <c r="I124" s="65"/>
      <c r="J124" s="65"/>
    </row>
    <row r="125" spans="4:10" customFormat="1" x14ac:dyDescent="0.35">
      <c r="D125" s="65"/>
      <c r="F125" s="65"/>
      <c r="G125" s="65"/>
      <c r="H125" s="65"/>
      <c r="I125" s="65"/>
      <c r="J125" s="65"/>
    </row>
    <row r="126" spans="4:10" customFormat="1" x14ac:dyDescent="0.35">
      <c r="D126" s="65"/>
      <c r="F126" s="65"/>
      <c r="G126" s="65"/>
      <c r="H126" s="65"/>
      <c r="I126" s="65"/>
      <c r="J126" s="65"/>
    </row>
    <row r="127" spans="4:10" customFormat="1" x14ac:dyDescent="0.35">
      <c r="D127" s="65"/>
      <c r="F127" s="65"/>
      <c r="G127" s="65"/>
      <c r="H127" s="65"/>
      <c r="I127" s="65"/>
      <c r="J127" s="65"/>
    </row>
    <row r="128" spans="4:10" customFormat="1" x14ac:dyDescent="0.35">
      <c r="D128" s="65"/>
      <c r="F128" s="65"/>
      <c r="G128" s="65"/>
      <c r="H128" s="65"/>
      <c r="I128" s="65"/>
      <c r="J128" s="65"/>
    </row>
    <row r="129" spans="4:10" customFormat="1" x14ac:dyDescent="0.35">
      <c r="D129" s="65"/>
      <c r="F129" s="65"/>
      <c r="G129" s="65"/>
      <c r="H129" s="65"/>
      <c r="I129" s="65"/>
      <c r="J129" s="65"/>
    </row>
    <row r="130" spans="4:10" customFormat="1" x14ac:dyDescent="0.35">
      <c r="D130" s="65"/>
      <c r="F130" s="65"/>
      <c r="G130" s="65"/>
      <c r="H130" s="65"/>
      <c r="I130" s="65"/>
      <c r="J130" s="65"/>
    </row>
    <row r="131" spans="4:10" customFormat="1" x14ac:dyDescent="0.35">
      <c r="D131" s="65"/>
      <c r="F131" s="65"/>
      <c r="G131" s="65"/>
      <c r="H131" s="65"/>
      <c r="I131" s="65"/>
      <c r="J131" s="65"/>
    </row>
    <row r="132" spans="4:10" customFormat="1" x14ac:dyDescent="0.35">
      <c r="D132" s="65"/>
      <c r="F132" s="65"/>
      <c r="G132" s="65"/>
      <c r="H132" s="65"/>
      <c r="I132" s="65"/>
      <c r="J132" s="65"/>
    </row>
    <row r="133" spans="4:10" customFormat="1" x14ac:dyDescent="0.35">
      <c r="D133" s="65"/>
      <c r="F133" s="65"/>
      <c r="G133" s="65"/>
      <c r="H133" s="65"/>
      <c r="I133" s="65"/>
      <c r="J133" s="65"/>
    </row>
    <row r="134" spans="4:10" customFormat="1" x14ac:dyDescent="0.35">
      <c r="D134" s="65"/>
      <c r="F134" s="65"/>
      <c r="G134" s="65"/>
      <c r="H134" s="65"/>
      <c r="I134" s="65"/>
      <c r="J134" s="65"/>
    </row>
    <row r="135" spans="4:10" customFormat="1" x14ac:dyDescent="0.35">
      <c r="D135" s="65"/>
      <c r="F135" s="65"/>
      <c r="G135" s="65"/>
      <c r="H135" s="65"/>
      <c r="I135" s="65"/>
      <c r="J135" s="65"/>
    </row>
    <row r="136" spans="4:10" customFormat="1" x14ac:dyDescent="0.35">
      <c r="D136" s="65"/>
      <c r="F136" s="65"/>
      <c r="G136" s="65"/>
      <c r="H136" s="65"/>
      <c r="I136" s="65"/>
      <c r="J136" s="65"/>
    </row>
    <row r="137" spans="4:10" customFormat="1" x14ac:dyDescent="0.35">
      <c r="D137" s="65"/>
      <c r="F137" s="65"/>
      <c r="G137" s="65"/>
      <c r="H137" s="65"/>
      <c r="I137" s="65"/>
      <c r="J137" s="65"/>
    </row>
    <row r="138" spans="4:10" customFormat="1" x14ac:dyDescent="0.35">
      <c r="D138" s="65"/>
      <c r="F138" s="65"/>
      <c r="G138" s="65"/>
      <c r="H138" s="65"/>
      <c r="I138" s="65"/>
      <c r="J138" s="65"/>
    </row>
    <row r="139" spans="4:10" customFormat="1" x14ac:dyDescent="0.35">
      <c r="D139" s="65"/>
      <c r="F139" s="65"/>
      <c r="G139" s="65"/>
      <c r="H139" s="65"/>
      <c r="I139" s="65"/>
      <c r="J139" s="65"/>
    </row>
    <row r="140" spans="4:10" customFormat="1" x14ac:dyDescent="0.35">
      <c r="D140" s="65"/>
      <c r="F140" s="65"/>
      <c r="G140" s="65"/>
      <c r="H140" s="65"/>
      <c r="I140" s="65"/>
      <c r="J140" s="65"/>
    </row>
    <row r="141" spans="4:10" customFormat="1" x14ac:dyDescent="0.35">
      <c r="D141" s="65"/>
      <c r="F141" s="65"/>
      <c r="G141" s="65"/>
      <c r="H141" s="65"/>
      <c r="I141" s="65"/>
      <c r="J141" s="65"/>
    </row>
    <row r="142" spans="4:10" customFormat="1" x14ac:dyDescent="0.35">
      <c r="D142" s="65"/>
      <c r="F142" s="65"/>
      <c r="G142" s="65"/>
      <c r="H142" s="65"/>
      <c r="I142" s="65"/>
      <c r="J142" s="65"/>
    </row>
    <row r="143" spans="4:10" customFormat="1" x14ac:dyDescent="0.35">
      <c r="D143" s="65"/>
      <c r="F143" s="65"/>
      <c r="G143" s="65"/>
      <c r="H143" s="65"/>
      <c r="I143" s="65"/>
      <c r="J143" s="65"/>
    </row>
    <row r="144" spans="4:10" customFormat="1" x14ac:dyDescent="0.35">
      <c r="D144" s="65"/>
      <c r="F144" s="65"/>
      <c r="G144" s="65"/>
      <c r="H144" s="65"/>
      <c r="I144" s="65"/>
      <c r="J144" s="65"/>
    </row>
    <row r="145" spans="4:10" customFormat="1" x14ac:dyDescent="0.35">
      <c r="D145" s="65"/>
      <c r="F145" s="65"/>
      <c r="G145" s="65"/>
      <c r="H145" s="65"/>
      <c r="I145" s="65"/>
      <c r="J145" s="65"/>
    </row>
    <row r="146" spans="4:10" customFormat="1" x14ac:dyDescent="0.35">
      <c r="D146" s="65"/>
      <c r="F146" s="65"/>
      <c r="G146" s="65"/>
      <c r="H146" s="65"/>
      <c r="I146" s="65"/>
      <c r="J146" s="65"/>
    </row>
    <row r="147" spans="4:10" customFormat="1" x14ac:dyDescent="0.35">
      <c r="D147" s="65"/>
      <c r="F147" s="65"/>
      <c r="G147" s="65"/>
      <c r="H147" s="65"/>
      <c r="I147" s="65"/>
      <c r="J147" s="65"/>
    </row>
    <row r="148" spans="4:10" customFormat="1" x14ac:dyDescent="0.35">
      <c r="D148" s="65"/>
      <c r="F148" s="65"/>
      <c r="G148" s="65"/>
      <c r="H148" s="65"/>
      <c r="I148" s="65"/>
      <c r="J148" s="65"/>
    </row>
    <row r="149" spans="4:10" customFormat="1" x14ac:dyDescent="0.35">
      <c r="D149" s="65"/>
      <c r="F149" s="65"/>
      <c r="G149" s="65"/>
      <c r="H149" s="65"/>
      <c r="I149" s="65"/>
      <c r="J149" s="65"/>
    </row>
    <row r="150" spans="4:10" customFormat="1" x14ac:dyDescent="0.35">
      <c r="D150" s="65"/>
      <c r="F150" s="65"/>
      <c r="G150" s="65"/>
      <c r="H150" s="65"/>
      <c r="I150" s="65"/>
      <c r="J150" s="65"/>
    </row>
    <row r="151" spans="4:10" customFormat="1" x14ac:dyDescent="0.35">
      <c r="D151" s="65"/>
      <c r="F151" s="65"/>
      <c r="G151" s="65"/>
      <c r="H151" s="65"/>
      <c r="I151" s="65"/>
      <c r="J151" s="65"/>
    </row>
    <row r="152" spans="4:10" customFormat="1" x14ac:dyDescent="0.35">
      <c r="D152" s="65"/>
      <c r="F152" s="65"/>
      <c r="G152" s="65"/>
      <c r="H152" s="65"/>
      <c r="I152" s="65"/>
      <c r="J152" s="65"/>
    </row>
    <row r="153" spans="4:10" customFormat="1" x14ac:dyDescent="0.35">
      <c r="D153" s="65"/>
      <c r="F153" s="65"/>
      <c r="G153" s="65"/>
      <c r="H153" s="65"/>
      <c r="I153" s="65"/>
      <c r="J153" s="65"/>
    </row>
    <row r="154" spans="4:10" customFormat="1" x14ac:dyDescent="0.35">
      <c r="D154" s="65"/>
      <c r="F154" s="65"/>
      <c r="G154" s="65"/>
      <c r="H154" s="65"/>
      <c r="I154" s="65"/>
      <c r="J154" s="65"/>
    </row>
    <row r="155" spans="4:10" customFormat="1" x14ac:dyDescent="0.35">
      <c r="D155" s="65"/>
      <c r="F155" s="65"/>
      <c r="G155" s="65"/>
      <c r="H155" s="65"/>
      <c r="I155" s="65"/>
      <c r="J155" s="65"/>
    </row>
    <row r="156" spans="4:10" customFormat="1" x14ac:dyDescent="0.35">
      <c r="D156" s="65"/>
      <c r="F156" s="65"/>
      <c r="G156" s="65"/>
      <c r="H156" s="65"/>
      <c r="I156" s="65"/>
      <c r="J156" s="65"/>
    </row>
    <row r="157" spans="4:10" customFormat="1" x14ac:dyDescent="0.35">
      <c r="D157" s="65"/>
      <c r="F157" s="65"/>
      <c r="G157" s="65"/>
      <c r="H157" s="65"/>
      <c r="I157" s="65"/>
      <c r="J157" s="65"/>
    </row>
    <row r="158" spans="4:10" customFormat="1" x14ac:dyDescent="0.35">
      <c r="D158" s="65"/>
      <c r="F158" s="65"/>
      <c r="G158" s="65"/>
      <c r="H158" s="65"/>
      <c r="I158" s="65"/>
      <c r="J158" s="65"/>
    </row>
    <row r="159" spans="4:10" customFormat="1" x14ac:dyDescent="0.35">
      <c r="D159" s="65"/>
      <c r="F159" s="65"/>
      <c r="G159" s="65"/>
      <c r="H159" s="65"/>
      <c r="I159" s="65"/>
      <c r="J159" s="65"/>
    </row>
    <row r="160" spans="4:10" customFormat="1" x14ac:dyDescent="0.35">
      <c r="D160" s="65"/>
      <c r="F160" s="65"/>
      <c r="G160" s="65"/>
      <c r="H160" s="65"/>
      <c r="I160" s="65"/>
      <c r="J160" s="65"/>
    </row>
    <row r="161" spans="4:10" customFormat="1" x14ac:dyDescent="0.35">
      <c r="D161" s="65"/>
      <c r="F161" s="65"/>
      <c r="G161" s="65"/>
      <c r="H161" s="65"/>
      <c r="I161" s="65"/>
      <c r="J161" s="65"/>
    </row>
    <row r="162" spans="4:10" customFormat="1" x14ac:dyDescent="0.35">
      <c r="D162" s="65"/>
      <c r="F162" s="65"/>
      <c r="G162" s="65"/>
      <c r="H162" s="65"/>
      <c r="I162" s="65"/>
      <c r="J162" s="65"/>
    </row>
    <row r="163" spans="4:10" customFormat="1" x14ac:dyDescent="0.35">
      <c r="D163" s="65"/>
      <c r="F163" s="65"/>
      <c r="G163" s="65"/>
      <c r="H163" s="65"/>
      <c r="I163" s="65"/>
      <c r="J163" s="65"/>
    </row>
    <row r="164" spans="4:10" customFormat="1" x14ac:dyDescent="0.35">
      <c r="D164" s="65"/>
      <c r="F164" s="65"/>
      <c r="G164" s="65"/>
      <c r="H164" s="65"/>
      <c r="I164" s="65"/>
      <c r="J164" s="65"/>
    </row>
    <row r="165" spans="4:10" customFormat="1" x14ac:dyDescent="0.35">
      <c r="D165" s="65"/>
      <c r="F165" s="65"/>
      <c r="G165" s="65"/>
      <c r="H165" s="65"/>
      <c r="I165" s="65"/>
      <c r="J165" s="65"/>
    </row>
    <row r="166" spans="4:10" customFormat="1" x14ac:dyDescent="0.35">
      <c r="D166" s="65"/>
      <c r="F166" s="65"/>
      <c r="G166" s="65"/>
      <c r="H166" s="65"/>
      <c r="I166" s="65"/>
      <c r="J166" s="65"/>
    </row>
    <row r="167" spans="4:10" customFormat="1" x14ac:dyDescent="0.35">
      <c r="D167" s="65"/>
      <c r="F167" s="65"/>
      <c r="G167" s="65"/>
      <c r="H167" s="65"/>
      <c r="I167" s="65"/>
      <c r="J167" s="65"/>
    </row>
    <row r="168" spans="4:10" customFormat="1" x14ac:dyDescent="0.35">
      <c r="D168" s="65"/>
      <c r="F168" s="65"/>
      <c r="G168" s="65"/>
      <c r="H168" s="65"/>
      <c r="I168" s="65"/>
      <c r="J168" s="65"/>
    </row>
    <row r="169" spans="4:10" customFormat="1" x14ac:dyDescent="0.35">
      <c r="D169" s="65"/>
      <c r="F169" s="65"/>
      <c r="G169" s="65"/>
      <c r="H169" s="65"/>
      <c r="I169" s="65"/>
      <c r="J169" s="65"/>
    </row>
    <row r="170" spans="4:10" customFormat="1" x14ac:dyDescent="0.35">
      <c r="D170" s="65"/>
      <c r="F170" s="65"/>
      <c r="G170" s="65"/>
      <c r="H170" s="65"/>
      <c r="I170" s="65"/>
      <c r="J170" s="65"/>
    </row>
    <row r="171" spans="4:10" customFormat="1" x14ac:dyDescent="0.35">
      <c r="D171" s="65"/>
      <c r="F171" s="65"/>
      <c r="G171" s="65"/>
      <c r="H171" s="65"/>
      <c r="I171" s="65"/>
      <c r="J171" s="65"/>
    </row>
    <row r="172" spans="4:10" customFormat="1" x14ac:dyDescent="0.35">
      <c r="D172" s="65"/>
      <c r="F172" s="65"/>
      <c r="G172" s="65"/>
      <c r="H172" s="65"/>
      <c r="I172" s="65"/>
      <c r="J172" s="65"/>
    </row>
    <row r="173" spans="4:10" customFormat="1" x14ac:dyDescent="0.35">
      <c r="D173" s="65"/>
      <c r="F173" s="65"/>
      <c r="G173" s="65"/>
      <c r="H173" s="65"/>
      <c r="I173" s="65"/>
      <c r="J173" s="65"/>
    </row>
    <row r="174" spans="4:10" customFormat="1" x14ac:dyDescent="0.35">
      <c r="D174" s="65"/>
      <c r="F174" s="65"/>
      <c r="G174" s="65"/>
      <c r="H174" s="65"/>
      <c r="I174" s="65"/>
      <c r="J174" s="65"/>
    </row>
    <row r="175" spans="4:10" customFormat="1" x14ac:dyDescent="0.35">
      <c r="D175" s="65"/>
      <c r="F175" s="65"/>
      <c r="G175" s="65"/>
      <c r="H175" s="65"/>
      <c r="I175" s="65"/>
      <c r="J175" s="65"/>
    </row>
    <row r="176" spans="4:10" customFormat="1" x14ac:dyDescent="0.35">
      <c r="D176" s="65"/>
      <c r="F176" s="65"/>
      <c r="G176" s="65"/>
      <c r="H176" s="65"/>
      <c r="I176" s="65"/>
      <c r="J176" s="65"/>
    </row>
    <row r="177" spans="4:10" customFormat="1" x14ac:dyDescent="0.35">
      <c r="D177" s="65"/>
      <c r="F177" s="65"/>
      <c r="G177" s="65"/>
      <c r="H177" s="65"/>
      <c r="I177" s="65"/>
      <c r="J177" s="65"/>
    </row>
    <row r="178" spans="4:10" customFormat="1" x14ac:dyDescent="0.35">
      <c r="D178" s="65"/>
      <c r="F178" s="65"/>
      <c r="G178" s="65"/>
      <c r="H178" s="65"/>
      <c r="I178" s="65"/>
      <c r="J178" s="65"/>
    </row>
    <row r="179" spans="4:10" customFormat="1" x14ac:dyDescent="0.35">
      <c r="D179" s="65"/>
      <c r="F179" s="65"/>
      <c r="G179" s="65"/>
      <c r="H179" s="65"/>
      <c r="I179" s="65"/>
      <c r="J179" s="65"/>
    </row>
    <row r="180" spans="4:10" customFormat="1" x14ac:dyDescent="0.35">
      <c r="D180" s="65"/>
      <c r="F180" s="65"/>
      <c r="G180" s="65"/>
      <c r="H180" s="65"/>
      <c r="I180" s="65"/>
      <c r="J180" s="65"/>
    </row>
    <row r="181" spans="4:10" customFormat="1" x14ac:dyDescent="0.35">
      <c r="D181" s="65"/>
      <c r="F181" s="65"/>
      <c r="G181" s="65"/>
      <c r="H181" s="65"/>
      <c r="I181" s="65"/>
      <c r="J181" s="65"/>
    </row>
    <row r="182" spans="4:10" customFormat="1" x14ac:dyDescent="0.35">
      <c r="D182" s="65"/>
      <c r="F182" s="65"/>
      <c r="G182" s="65"/>
      <c r="H182" s="65"/>
      <c r="I182" s="65"/>
      <c r="J182" s="65"/>
    </row>
    <row r="183" spans="4:10" customFormat="1" x14ac:dyDescent="0.35">
      <c r="D183" s="65"/>
      <c r="F183" s="65"/>
      <c r="G183" s="65"/>
      <c r="H183" s="65"/>
      <c r="I183" s="65"/>
      <c r="J183" s="65"/>
    </row>
    <row r="184" spans="4:10" customFormat="1" x14ac:dyDescent="0.35">
      <c r="D184" s="65"/>
      <c r="F184" s="65"/>
      <c r="G184" s="65"/>
      <c r="H184" s="65"/>
      <c r="I184" s="65"/>
      <c r="J184" s="65"/>
    </row>
    <row r="185" spans="4:10" customFormat="1" x14ac:dyDescent="0.35">
      <c r="D185" s="65"/>
      <c r="F185" s="65"/>
      <c r="G185" s="65"/>
      <c r="H185" s="65"/>
      <c r="I185" s="65"/>
      <c r="J185" s="65"/>
    </row>
    <row r="186" spans="4:10" customFormat="1" x14ac:dyDescent="0.35">
      <c r="D186" s="65"/>
      <c r="F186" s="65"/>
      <c r="G186" s="65"/>
      <c r="H186" s="65"/>
      <c r="I186" s="65"/>
      <c r="J186" s="65"/>
    </row>
    <row r="187" spans="4:10" customFormat="1" x14ac:dyDescent="0.35">
      <c r="D187" s="65"/>
      <c r="F187" s="65"/>
      <c r="G187" s="65"/>
      <c r="H187" s="65"/>
      <c r="I187" s="65"/>
      <c r="J187" s="65"/>
    </row>
    <row r="188" spans="4:10" customFormat="1" x14ac:dyDescent="0.35">
      <c r="D188" s="65"/>
      <c r="F188" s="65"/>
      <c r="G188" s="65"/>
      <c r="H188" s="65"/>
      <c r="I188" s="65"/>
      <c r="J188" s="65"/>
    </row>
    <row r="189" spans="4:10" customFormat="1" x14ac:dyDescent="0.35">
      <c r="D189" s="65"/>
      <c r="F189" s="65"/>
      <c r="G189" s="65"/>
      <c r="H189" s="65"/>
      <c r="I189" s="65"/>
      <c r="J189" s="65"/>
    </row>
    <row r="190" spans="4:10" customFormat="1" x14ac:dyDescent="0.35">
      <c r="D190" s="65"/>
      <c r="F190" s="65"/>
      <c r="G190" s="65"/>
      <c r="H190" s="65"/>
      <c r="I190" s="65"/>
      <c r="J190" s="65"/>
    </row>
    <row r="191" spans="4:10" customFormat="1" x14ac:dyDescent="0.35">
      <c r="D191" s="65"/>
      <c r="F191" s="65"/>
      <c r="G191" s="65"/>
      <c r="H191" s="65"/>
      <c r="I191" s="65"/>
      <c r="J191" s="65"/>
    </row>
    <row r="192" spans="4:10" customFormat="1" x14ac:dyDescent="0.35">
      <c r="D192" s="65"/>
      <c r="F192" s="65"/>
      <c r="G192" s="65"/>
      <c r="H192" s="65"/>
      <c r="I192" s="65"/>
      <c r="J192" s="65"/>
    </row>
    <row r="193" spans="4:10" customFormat="1" x14ac:dyDescent="0.35">
      <c r="D193" s="65"/>
      <c r="F193" s="65"/>
      <c r="G193" s="65"/>
      <c r="H193" s="65"/>
      <c r="I193" s="65"/>
      <c r="J193" s="65"/>
    </row>
    <row r="194" spans="4:10" customFormat="1" x14ac:dyDescent="0.35">
      <c r="D194" s="65"/>
      <c r="F194" s="65"/>
      <c r="G194" s="65"/>
      <c r="H194" s="65"/>
      <c r="I194" s="65"/>
      <c r="J194" s="65"/>
    </row>
    <row r="195" spans="4:10" customFormat="1" x14ac:dyDescent="0.35">
      <c r="D195" s="65"/>
      <c r="F195" s="65"/>
      <c r="G195" s="65"/>
      <c r="H195" s="65"/>
      <c r="I195" s="65"/>
      <c r="J195" s="65"/>
    </row>
    <row r="196" spans="4:10" customFormat="1" x14ac:dyDescent="0.35">
      <c r="D196" s="65"/>
      <c r="F196" s="65"/>
      <c r="G196" s="65"/>
      <c r="H196" s="65"/>
      <c r="I196" s="65"/>
      <c r="J196" s="65"/>
    </row>
    <row r="197" spans="4:10" customFormat="1" x14ac:dyDescent="0.35">
      <c r="D197" s="65"/>
      <c r="F197" s="65"/>
      <c r="G197" s="65"/>
      <c r="H197" s="65"/>
      <c r="I197" s="65"/>
      <c r="J197" s="65"/>
    </row>
    <row r="198" spans="4:10" customFormat="1" x14ac:dyDescent="0.35">
      <c r="D198" s="65"/>
      <c r="F198" s="65"/>
      <c r="G198" s="65"/>
      <c r="H198" s="65"/>
      <c r="I198" s="65"/>
      <c r="J198" s="65"/>
    </row>
    <row r="199" spans="4:10" customFormat="1" x14ac:dyDescent="0.35">
      <c r="D199" s="65"/>
      <c r="F199" s="65"/>
      <c r="G199" s="65"/>
      <c r="H199" s="65"/>
      <c r="I199" s="65"/>
      <c r="J199" s="65"/>
    </row>
    <row r="200" spans="4:10" customFormat="1" x14ac:dyDescent="0.35">
      <c r="D200" s="65"/>
      <c r="F200" s="65"/>
      <c r="G200" s="65"/>
      <c r="H200" s="65"/>
      <c r="I200" s="65"/>
      <c r="J200" s="65"/>
    </row>
    <row r="201" spans="4:10" customFormat="1" x14ac:dyDescent="0.35">
      <c r="D201" s="65"/>
      <c r="F201" s="65"/>
      <c r="G201" s="65"/>
      <c r="H201" s="65"/>
      <c r="I201" s="65"/>
      <c r="J201" s="65"/>
    </row>
    <row r="202" spans="4:10" customFormat="1" x14ac:dyDescent="0.35">
      <c r="D202" s="65"/>
      <c r="F202" s="65"/>
      <c r="G202" s="65"/>
      <c r="H202" s="65"/>
      <c r="I202" s="65"/>
      <c r="J202" s="65"/>
    </row>
    <row r="203" spans="4:10" customFormat="1" x14ac:dyDescent="0.35">
      <c r="D203" s="65"/>
      <c r="F203" s="65"/>
      <c r="G203" s="65"/>
      <c r="H203" s="65"/>
      <c r="I203" s="65"/>
      <c r="J203" s="65"/>
    </row>
    <row r="204" spans="4:10" customFormat="1" x14ac:dyDescent="0.35">
      <c r="D204" s="65"/>
      <c r="F204" s="65"/>
      <c r="G204" s="65"/>
      <c r="H204" s="65"/>
      <c r="I204" s="65"/>
      <c r="J204" s="65"/>
    </row>
    <row r="205" spans="4:10" customFormat="1" x14ac:dyDescent="0.35">
      <c r="D205" s="65"/>
      <c r="F205" s="65"/>
      <c r="G205" s="65"/>
      <c r="H205" s="65"/>
      <c r="I205" s="65"/>
      <c r="J205" s="65"/>
    </row>
    <row r="206" spans="4:10" customFormat="1" x14ac:dyDescent="0.35">
      <c r="D206" s="65"/>
      <c r="F206" s="65"/>
      <c r="G206" s="65"/>
      <c r="H206" s="65"/>
      <c r="I206" s="65"/>
      <c r="J206" s="65"/>
    </row>
    <row r="207" spans="4:10" customFormat="1" x14ac:dyDescent="0.35">
      <c r="D207" s="65"/>
      <c r="F207" s="65"/>
      <c r="G207" s="65"/>
      <c r="H207" s="65"/>
      <c r="I207" s="65"/>
      <c r="J207" s="65"/>
    </row>
    <row r="208" spans="4:10" customFormat="1" x14ac:dyDescent="0.35">
      <c r="D208" s="65"/>
      <c r="F208" s="65"/>
      <c r="G208" s="65"/>
      <c r="H208" s="65"/>
      <c r="I208" s="65"/>
      <c r="J208" s="65"/>
    </row>
    <row r="209" spans="4:10" customFormat="1" x14ac:dyDescent="0.35">
      <c r="D209" s="65"/>
      <c r="F209" s="65"/>
      <c r="G209" s="65"/>
      <c r="H209" s="65"/>
      <c r="I209" s="65"/>
      <c r="J209" s="65"/>
    </row>
    <row r="210" spans="4:10" customFormat="1" x14ac:dyDescent="0.35">
      <c r="D210" s="65"/>
      <c r="F210" s="65"/>
      <c r="G210" s="65"/>
      <c r="H210" s="65"/>
      <c r="I210" s="65"/>
      <c r="J210" s="65"/>
    </row>
    <row r="211" spans="4:10" customFormat="1" x14ac:dyDescent="0.35">
      <c r="D211" s="65"/>
      <c r="F211" s="65"/>
      <c r="G211" s="65"/>
      <c r="H211" s="65"/>
      <c r="I211" s="65"/>
      <c r="J211" s="65"/>
    </row>
    <row r="212" spans="4:10" customFormat="1" x14ac:dyDescent="0.35">
      <c r="D212" s="65"/>
      <c r="F212" s="65"/>
      <c r="G212" s="65"/>
      <c r="H212" s="65"/>
      <c r="I212" s="65"/>
      <c r="J212" s="65"/>
    </row>
    <row r="213" spans="4:10" customFormat="1" x14ac:dyDescent="0.35">
      <c r="D213" s="65"/>
      <c r="F213" s="65"/>
      <c r="G213" s="65"/>
      <c r="H213" s="65"/>
      <c r="I213" s="65"/>
      <c r="J213" s="65"/>
    </row>
    <row r="214" spans="4:10" customFormat="1" x14ac:dyDescent="0.35">
      <c r="D214" s="65"/>
      <c r="F214" s="65"/>
      <c r="G214" s="65"/>
      <c r="H214" s="65"/>
      <c r="I214" s="65"/>
      <c r="J214" s="65"/>
    </row>
    <row r="215" spans="4:10" customFormat="1" x14ac:dyDescent="0.35">
      <c r="D215" s="65"/>
      <c r="F215" s="65"/>
      <c r="G215" s="65"/>
      <c r="H215" s="65"/>
      <c r="I215" s="65"/>
      <c r="J215" s="65"/>
    </row>
    <row r="216" spans="4:10" customFormat="1" x14ac:dyDescent="0.35">
      <c r="D216" s="65"/>
      <c r="F216" s="65"/>
      <c r="G216" s="65"/>
      <c r="H216" s="65"/>
      <c r="I216" s="65"/>
      <c r="J216" s="65"/>
    </row>
    <row r="217" spans="4:10" customFormat="1" x14ac:dyDescent="0.35">
      <c r="D217" s="65"/>
      <c r="F217" s="65"/>
      <c r="G217" s="65"/>
      <c r="H217" s="65"/>
      <c r="I217" s="65"/>
      <c r="J217" s="65"/>
    </row>
    <row r="218" spans="4:10" customFormat="1" x14ac:dyDescent="0.35">
      <c r="D218" s="65"/>
      <c r="F218" s="65"/>
      <c r="G218" s="65"/>
      <c r="H218" s="65"/>
      <c r="I218" s="65"/>
      <c r="J218" s="65"/>
    </row>
    <row r="219" spans="4:10" customFormat="1" x14ac:dyDescent="0.35">
      <c r="D219" s="65"/>
      <c r="F219" s="65"/>
      <c r="G219" s="65"/>
      <c r="H219" s="65"/>
      <c r="I219" s="65"/>
      <c r="J219" s="65"/>
    </row>
    <row r="220" spans="4:10" customFormat="1" x14ac:dyDescent="0.35">
      <c r="D220" s="65"/>
      <c r="F220" s="65"/>
      <c r="G220" s="65"/>
      <c r="H220" s="65"/>
      <c r="I220" s="65"/>
      <c r="J220" s="65"/>
    </row>
    <row r="221" spans="4:10" customFormat="1" x14ac:dyDescent="0.35">
      <c r="D221" s="65"/>
      <c r="F221" s="65"/>
      <c r="G221" s="65"/>
      <c r="H221" s="65"/>
      <c r="I221" s="65"/>
      <c r="J221" s="65"/>
    </row>
    <row r="222" spans="4:10" customFormat="1" x14ac:dyDescent="0.35">
      <c r="D222" s="65"/>
      <c r="F222" s="65"/>
      <c r="G222" s="65"/>
      <c r="H222" s="65"/>
      <c r="I222" s="65"/>
      <c r="J222" s="65"/>
    </row>
    <row r="223" spans="4:10" customFormat="1" x14ac:dyDescent="0.35">
      <c r="D223" s="65"/>
      <c r="F223" s="65"/>
      <c r="G223" s="65"/>
      <c r="H223" s="65"/>
      <c r="I223" s="65"/>
      <c r="J223" s="65"/>
    </row>
    <row r="224" spans="4:10" customFormat="1" x14ac:dyDescent="0.35">
      <c r="D224" s="65"/>
      <c r="F224" s="65"/>
      <c r="G224" s="65"/>
      <c r="H224" s="65"/>
      <c r="I224" s="65"/>
      <c r="J224" s="65"/>
    </row>
    <row r="225" spans="4:10" customFormat="1" x14ac:dyDescent="0.35">
      <c r="D225" s="65"/>
      <c r="F225" s="65"/>
      <c r="G225" s="65"/>
      <c r="H225" s="65"/>
      <c r="I225" s="65"/>
      <c r="J225" s="65"/>
    </row>
    <row r="226" spans="4:10" customFormat="1" x14ac:dyDescent="0.35">
      <c r="D226" s="65"/>
      <c r="F226" s="65"/>
      <c r="G226" s="65"/>
      <c r="H226" s="65"/>
      <c r="I226" s="65"/>
      <c r="J226" s="65"/>
    </row>
    <row r="227" spans="4:10" customFormat="1" x14ac:dyDescent="0.35">
      <c r="D227" s="65"/>
      <c r="F227" s="65"/>
      <c r="G227" s="65"/>
      <c r="H227" s="65"/>
      <c r="I227" s="65"/>
      <c r="J227" s="65"/>
    </row>
    <row r="228" spans="4:10" customFormat="1" x14ac:dyDescent="0.35">
      <c r="D228" s="65"/>
      <c r="F228" s="65"/>
      <c r="G228" s="65"/>
      <c r="H228" s="65"/>
      <c r="I228" s="65"/>
      <c r="J228" s="65"/>
    </row>
    <row r="229" spans="4:10" customFormat="1" x14ac:dyDescent="0.35">
      <c r="D229" s="65"/>
      <c r="F229" s="65"/>
      <c r="G229" s="65"/>
      <c r="H229" s="65"/>
      <c r="I229" s="65"/>
      <c r="J229" s="65"/>
    </row>
    <row r="230" spans="4:10" customFormat="1" x14ac:dyDescent="0.35">
      <c r="D230" s="65"/>
      <c r="F230" s="65"/>
      <c r="G230" s="65"/>
      <c r="H230" s="65"/>
      <c r="I230" s="65"/>
      <c r="J230" s="65"/>
    </row>
    <row r="231" spans="4:10" customFormat="1" x14ac:dyDescent="0.35">
      <c r="D231" s="65"/>
      <c r="F231" s="65"/>
      <c r="G231" s="65"/>
      <c r="H231" s="65"/>
      <c r="I231" s="65"/>
      <c r="J231" s="65"/>
    </row>
    <row r="232" spans="4:10" customFormat="1" x14ac:dyDescent="0.35">
      <c r="D232" s="65"/>
      <c r="F232" s="65"/>
      <c r="G232" s="65"/>
      <c r="H232" s="65"/>
      <c r="I232" s="65"/>
      <c r="J232" s="65"/>
    </row>
    <row r="233" spans="4:10" customFormat="1" x14ac:dyDescent="0.35">
      <c r="D233" s="65"/>
      <c r="F233" s="65"/>
      <c r="G233" s="65"/>
      <c r="H233" s="65"/>
      <c r="I233" s="65"/>
      <c r="J233" s="65"/>
    </row>
    <row r="234" spans="4:10" customFormat="1" x14ac:dyDescent="0.35">
      <c r="D234" s="65"/>
      <c r="F234" s="65"/>
      <c r="G234" s="65"/>
      <c r="H234" s="65"/>
      <c r="I234" s="65"/>
      <c r="J234" s="65"/>
    </row>
    <row r="235" spans="4:10" customFormat="1" x14ac:dyDescent="0.35">
      <c r="D235" s="65"/>
      <c r="F235" s="65"/>
      <c r="G235" s="65"/>
      <c r="H235" s="65"/>
      <c r="I235" s="65"/>
      <c r="J235" s="65"/>
    </row>
    <row r="236" spans="4:10" customFormat="1" x14ac:dyDescent="0.35">
      <c r="D236" s="65"/>
      <c r="F236" s="65"/>
      <c r="G236" s="65"/>
      <c r="H236" s="65"/>
      <c r="I236" s="65"/>
      <c r="J236" s="65"/>
    </row>
    <row r="237" spans="4:10" customFormat="1" x14ac:dyDescent="0.35">
      <c r="D237" s="65"/>
      <c r="F237" s="65"/>
      <c r="G237" s="65"/>
      <c r="H237" s="65"/>
      <c r="I237" s="65"/>
      <c r="J237" s="65"/>
    </row>
    <row r="238" spans="4:10" customFormat="1" x14ac:dyDescent="0.35">
      <c r="D238" s="65"/>
      <c r="F238" s="65"/>
      <c r="G238" s="65"/>
      <c r="H238" s="65"/>
      <c r="I238" s="65"/>
      <c r="J238" s="65"/>
    </row>
    <row r="239" spans="4:10" customFormat="1" x14ac:dyDescent="0.35">
      <c r="D239" s="65"/>
      <c r="F239" s="65"/>
      <c r="G239" s="65"/>
      <c r="H239" s="65"/>
      <c r="I239" s="65"/>
      <c r="J239" s="65"/>
    </row>
    <row r="240" spans="4:10" customFormat="1" x14ac:dyDescent="0.35">
      <c r="D240" s="65"/>
      <c r="F240" s="65"/>
      <c r="G240" s="65"/>
      <c r="H240" s="65"/>
      <c r="I240" s="65"/>
      <c r="J240" s="65"/>
    </row>
    <row r="241" spans="4:10" customFormat="1" x14ac:dyDescent="0.35">
      <c r="D241" s="65"/>
      <c r="F241" s="65"/>
      <c r="G241" s="65"/>
      <c r="H241" s="65"/>
      <c r="I241" s="65"/>
      <c r="J241" s="65"/>
    </row>
    <row r="242" spans="4:10" customFormat="1" x14ac:dyDescent="0.35">
      <c r="D242" s="65"/>
      <c r="F242" s="65"/>
      <c r="G242" s="65"/>
      <c r="H242" s="65"/>
      <c r="I242" s="65"/>
      <c r="J242" s="65"/>
    </row>
    <row r="243" spans="4:10" customFormat="1" x14ac:dyDescent="0.35">
      <c r="D243" s="65"/>
      <c r="F243" s="65"/>
      <c r="G243" s="65"/>
      <c r="H243" s="65"/>
      <c r="I243" s="65"/>
      <c r="J243" s="65"/>
    </row>
    <row r="244" spans="4:10" customFormat="1" x14ac:dyDescent="0.35">
      <c r="D244" s="65"/>
      <c r="F244" s="65"/>
      <c r="G244" s="65"/>
      <c r="H244" s="65"/>
      <c r="I244" s="65"/>
      <c r="J244" s="65"/>
    </row>
    <row r="245" spans="4:10" customFormat="1" x14ac:dyDescent="0.35">
      <c r="D245" s="65"/>
      <c r="F245" s="65"/>
      <c r="G245" s="65"/>
      <c r="H245" s="65"/>
      <c r="I245" s="65"/>
      <c r="J245" s="65"/>
    </row>
    <row r="246" spans="4:10" customFormat="1" x14ac:dyDescent="0.35">
      <c r="D246" s="65"/>
      <c r="F246" s="65"/>
      <c r="G246" s="65"/>
      <c r="H246" s="65"/>
      <c r="I246" s="65"/>
      <c r="J246" s="65"/>
    </row>
    <row r="247" spans="4:10" customFormat="1" x14ac:dyDescent="0.35">
      <c r="D247" s="65"/>
      <c r="F247" s="65"/>
      <c r="G247" s="65"/>
      <c r="H247" s="65"/>
      <c r="I247" s="65"/>
      <c r="J247" s="65"/>
    </row>
    <row r="248" spans="4:10" customFormat="1" x14ac:dyDescent="0.35">
      <c r="D248" s="65"/>
      <c r="F248" s="65"/>
      <c r="G248" s="65"/>
      <c r="H248" s="65"/>
      <c r="I248" s="65"/>
      <c r="J248" s="65"/>
    </row>
    <row r="249" spans="4:10" customFormat="1" x14ac:dyDescent="0.35">
      <c r="D249" s="65"/>
      <c r="F249" s="65"/>
      <c r="G249" s="65"/>
      <c r="H249" s="65"/>
      <c r="I249" s="65"/>
      <c r="J249" s="65"/>
    </row>
    <row r="250" spans="4:10" customFormat="1" x14ac:dyDescent="0.35">
      <c r="D250" s="65"/>
      <c r="F250" s="65"/>
      <c r="G250" s="65"/>
      <c r="H250" s="65"/>
      <c r="I250" s="65"/>
      <c r="J250" s="65"/>
    </row>
    <row r="251" spans="4:10" customFormat="1" x14ac:dyDescent="0.35">
      <c r="D251" s="65"/>
      <c r="F251" s="65"/>
      <c r="G251" s="65"/>
      <c r="H251" s="65"/>
      <c r="I251" s="65"/>
      <c r="J251" s="65"/>
    </row>
    <row r="252" spans="4:10" customFormat="1" x14ac:dyDescent="0.35">
      <c r="D252" s="65"/>
      <c r="F252" s="65"/>
      <c r="G252" s="65"/>
      <c r="H252" s="65"/>
      <c r="I252" s="65"/>
      <c r="J252" s="65"/>
    </row>
    <row r="253" spans="4:10" customFormat="1" x14ac:dyDescent="0.35">
      <c r="D253" s="65"/>
      <c r="F253" s="65"/>
      <c r="G253" s="65"/>
      <c r="H253" s="65"/>
      <c r="I253" s="65"/>
      <c r="J253" s="65"/>
    </row>
    <row r="254" spans="4:10" customFormat="1" x14ac:dyDescent="0.35">
      <c r="D254" s="65"/>
      <c r="F254" s="65"/>
      <c r="G254" s="65"/>
      <c r="H254" s="65"/>
      <c r="I254" s="65"/>
      <c r="J254" s="65"/>
    </row>
    <row r="255" spans="4:10" customFormat="1" x14ac:dyDescent="0.35">
      <c r="D255" s="65"/>
      <c r="F255" s="65"/>
      <c r="G255" s="65"/>
      <c r="H255" s="65"/>
      <c r="I255" s="65"/>
      <c r="J255" s="65"/>
    </row>
    <row r="256" spans="4:10" customFormat="1" x14ac:dyDescent="0.35">
      <c r="D256" s="65"/>
      <c r="F256" s="65"/>
      <c r="G256" s="65"/>
      <c r="H256" s="65"/>
      <c r="I256" s="65"/>
      <c r="J256" s="65"/>
    </row>
    <row r="257" spans="4:10" customFormat="1" x14ac:dyDescent="0.35">
      <c r="D257" s="65"/>
      <c r="F257" s="65"/>
      <c r="G257" s="65"/>
      <c r="H257" s="65"/>
      <c r="I257" s="65"/>
      <c r="J257" s="65"/>
    </row>
    <row r="258" spans="4:10" customFormat="1" x14ac:dyDescent="0.35">
      <c r="D258" s="65"/>
      <c r="F258" s="65"/>
      <c r="G258" s="65"/>
      <c r="H258" s="65"/>
      <c r="I258" s="65"/>
      <c r="J258" s="65"/>
    </row>
    <row r="259" spans="4:10" customFormat="1" x14ac:dyDescent="0.35">
      <c r="D259" s="65"/>
      <c r="F259" s="65"/>
      <c r="G259" s="65"/>
      <c r="H259" s="65"/>
      <c r="I259" s="65"/>
      <c r="J259" s="65"/>
    </row>
    <row r="260" spans="4:10" customFormat="1" x14ac:dyDescent="0.35">
      <c r="D260" s="65"/>
      <c r="F260" s="65"/>
      <c r="G260" s="65"/>
      <c r="H260" s="65"/>
      <c r="I260" s="65"/>
      <c r="J260" s="65"/>
    </row>
    <row r="261" spans="4:10" customFormat="1" x14ac:dyDescent="0.35">
      <c r="D261" s="65"/>
      <c r="F261" s="65"/>
      <c r="G261" s="65"/>
      <c r="H261" s="65"/>
      <c r="I261" s="65"/>
      <c r="J261" s="65"/>
    </row>
    <row r="262" spans="4:10" customFormat="1" x14ac:dyDescent="0.35">
      <c r="D262" s="65"/>
      <c r="F262" s="65"/>
      <c r="G262" s="65"/>
      <c r="H262" s="65"/>
      <c r="I262" s="65"/>
      <c r="J262" s="65"/>
    </row>
    <row r="263" spans="4:10" customFormat="1" x14ac:dyDescent="0.35">
      <c r="D263" s="65"/>
      <c r="F263" s="65"/>
      <c r="G263" s="65"/>
      <c r="H263" s="65"/>
      <c r="I263" s="65"/>
      <c r="J263" s="65"/>
    </row>
    <row r="264" spans="4:10" customFormat="1" x14ac:dyDescent="0.35">
      <c r="D264" s="65"/>
      <c r="F264" s="65"/>
      <c r="G264" s="65"/>
      <c r="H264" s="65"/>
      <c r="I264" s="65"/>
      <c r="J264" s="65"/>
    </row>
    <row r="265" spans="4:10" customFormat="1" x14ac:dyDescent="0.35">
      <c r="D265" s="65"/>
      <c r="F265" s="65"/>
      <c r="G265" s="65"/>
      <c r="H265" s="65"/>
      <c r="I265" s="65"/>
      <c r="J265" s="65"/>
    </row>
    <row r="266" spans="4:10" customFormat="1" x14ac:dyDescent="0.35">
      <c r="D266" s="65"/>
      <c r="F266" s="65"/>
      <c r="G266" s="65"/>
      <c r="H266" s="65"/>
      <c r="I266" s="65"/>
      <c r="J266" s="65"/>
    </row>
    <row r="267" spans="4:10" customFormat="1" x14ac:dyDescent="0.35">
      <c r="D267" s="65"/>
      <c r="F267" s="65"/>
      <c r="G267" s="65"/>
      <c r="H267" s="65"/>
      <c r="I267" s="65"/>
      <c r="J267" s="65"/>
    </row>
    <row r="268" spans="4:10" customFormat="1" x14ac:dyDescent="0.35">
      <c r="D268" s="65"/>
      <c r="F268" s="65"/>
      <c r="G268" s="65"/>
      <c r="H268" s="65"/>
      <c r="I268" s="65"/>
      <c r="J268" s="65"/>
    </row>
    <row r="269" spans="4:10" customFormat="1" x14ac:dyDescent="0.35">
      <c r="D269" s="65"/>
      <c r="F269" s="65"/>
      <c r="G269" s="65"/>
      <c r="H269" s="65"/>
      <c r="I269" s="65"/>
      <c r="J269" s="65"/>
    </row>
    <row r="270" spans="4:10" customFormat="1" x14ac:dyDescent="0.35">
      <c r="D270" s="65"/>
      <c r="F270" s="65"/>
      <c r="G270" s="65"/>
      <c r="H270" s="65"/>
      <c r="I270" s="65"/>
      <c r="J270" s="65"/>
    </row>
    <row r="271" spans="4:10" customFormat="1" x14ac:dyDescent="0.35">
      <c r="D271" s="65"/>
      <c r="F271" s="65"/>
      <c r="G271" s="65"/>
      <c r="H271" s="65"/>
      <c r="I271" s="65"/>
      <c r="J271" s="65"/>
    </row>
    <row r="272" spans="4:10" customFormat="1" x14ac:dyDescent="0.35">
      <c r="D272" s="65"/>
      <c r="F272" s="65"/>
      <c r="G272" s="65"/>
      <c r="H272" s="65"/>
      <c r="I272" s="65"/>
      <c r="J272" s="65"/>
    </row>
    <row r="273" spans="4:10" customFormat="1" x14ac:dyDescent="0.35">
      <c r="D273" s="65"/>
      <c r="F273" s="65"/>
      <c r="G273" s="65"/>
      <c r="H273" s="65"/>
      <c r="I273" s="65"/>
      <c r="J273" s="65"/>
    </row>
    <row r="274" spans="4:10" customFormat="1" x14ac:dyDescent="0.35">
      <c r="D274" s="65"/>
      <c r="F274" s="65"/>
      <c r="G274" s="65"/>
      <c r="H274" s="65"/>
      <c r="I274" s="65"/>
      <c r="J274" s="65"/>
    </row>
    <row r="275" spans="4:10" customFormat="1" x14ac:dyDescent="0.35">
      <c r="D275" s="65"/>
      <c r="F275" s="65"/>
      <c r="G275" s="65"/>
      <c r="H275" s="65"/>
      <c r="I275" s="65"/>
      <c r="J275" s="65"/>
    </row>
    <row r="276" spans="4:10" customFormat="1" x14ac:dyDescent="0.35">
      <c r="D276" s="65"/>
      <c r="F276" s="65"/>
      <c r="G276" s="65"/>
      <c r="H276" s="65"/>
      <c r="I276" s="65"/>
      <c r="J276" s="65"/>
    </row>
    <row r="277" spans="4:10" customFormat="1" x14ac:dyDescent="0.35">
      <c r="D277" s="65"/>
      <c r="F277" s="65"/>
      <c r="G277" s="65"/>
      <c r="H277" s="65"/>
      <c r="I277" s="65"/>
      <c r="J277" s="65"/>
    </row>
    <row r="278" spans="4:10" customFormat="1" x14ac:dyDescent="0.35">
      <c r="D278" s="65"/>
      <c r="F278" s="65"/>
      <c r="G278" s="65"/>
      <c r="H278" s="65"/>
      <c r="I278" s="65"/>
      <c r="J278" s="65"/>
    </row>
    <row r="279" spans="4:10" customFormat="1" x14ac:dyDescent="0.35">
      <c r="D279" s="65"/>
      <c r="F279" s="65"/>
      <c r="G279" s="65"/>
      <c r="H279" s="65"/>
      <c r="I279" s="65"/>
      <c r="J279" s="65"/>
    </row>
    <row r="280" spans="4:10" customFormat="1" x14ac:dyDescent="0.35">
      <c r="D280" s="65"/>
      <c r="F280" s="65"/>
      <c r="G280" s="65"/>
      <c r="H280" s="65"/>
      <c r="I280" s="65"/>
      <c r="J280" s="65"/>
    </row>
    <row r="281" spans="4:10" customFormat="1" x14ac:dyDescent="0.35">
      <c r="D281" s="65"/>
      <c r="F281" s="65"/>
      <c r="G281" s="65"/>
      <c r="H281" s="65"/>
      <c r="I281" s="65"/>
      <c r="J281" s="65"/>
    </row>
    <row r="282" spans="4:10" customFormat="1" x14ac:dyDescent="0.35">
      <c r="D282" s="65"/>
      <c r="F282" s="65"/>
      <c r="G282" s="65"/>
      <c r="H282" s="65"/>
      <c r="I282" s="65"/>
      <c r="J282" s="65"/>
    </row>
    <row r="283" spans="4:10" customFormat="1" x14ac:dyDescent="0.35">
      <c r="D283" s="65"/>
      <c r="F283" s="65"/>
      <c r="G283" s="65"/>
      <c r="H283" s="65"/>
      <c r="I283" s="65"/>
      <c r="J283" s="65"/>
    </row>
    <row r="284" spans="4:10" customFormat="1" x14ac:dyDescent="0.35">
      <c r="D284" s="65"/>
      <c r="F284" s="65"/>
      <c r="G284" s="65"/>
      <c r="H284" s="65"/>
      <c r="I284" s="65"/>
      <c r="J284" s="65"/>
    </row>
    <row r="285" spans="4:10" customFormat="1" x14ac:dyDescent="0.35">
      <c r="D285" s="65"/>
      <c r="F285" s="65"/>
      <c r="G285" s="65"/>
      <c r="H285" s="65"/>
      <c r="I285" s="65"/>
      <c r="J285" s="65"/>
    </row>
    <row r="286" spans="4:10" customFormat="1" x14ac:dyDescent="0.35">
      <c r="D286" s="65"/>
      <c r="F286" s="65"/>
      <c r="G286" s="65"/>
      <c r="H286" s="65"/>
      <c r="I286" s="65"/>
      <c r="J286" s="65"/>
    </row>
    <row r="287" spans="4:10" customFormat="1" x14ac:dyDescent="0.35">
      <c r="D287" s="65"/>
      <c r="F287" s="65"/>
      <c r="G287" s="65"/>
      <c r="H287" s="65"/>
      <c r="I287" s="65"/>
      <c r="J287" s="65"/>
    </row>
    <row r="288" spans="4:10" customFormat="1" x14ac:dyDescent="0.35">
      <c r="D288" s="65"/>
      <c r="F288" s="65"/>
      <c r="G288" s="65"/>
      <c r="H288" s="65"/>
      <c r="I288" s="65"/>
      <c r="J288" s="65"/>
    </row>
    <row r="289" spans="4:10" customFormat="1" x14ac:dyDescent="0.35">
      <c r="D289" s="65"/>
      <c r="F289" s="65"/>
      <c r="G289" s="65"/>
      <c r="H289" s="65"/>
      <c r="I289" s="65"/>
      <c r="J289" s="65"/>
    </row>
    <row r="290" spans="4:10" customFormat="1" x14ac:dyDescent="0.35">
      <c r="D290" s="65"/>
      <c r="F290" s="65"/>
      <c r="G290" s="65"/>
      <c r="H290" s="65"/>
      <c r="I290" s="65"/>
      <c r="J290" s="65"/>
    </row>
    <row r="291" spans="4:10" customFormat="1" x14ac:dyDescent="0.35">
      <c r="D291" s="65"/>
      <c r="F291" s="65"/>
      <c r="G291" s="65"/>
      <c r="H291" s="65"/>
      <c r="I291" s="65"/>
      <c r="J291" s="65"/>
    </row>
    <row r="292" spans="4:10" customFormat="1" x14ac:dyDescent="0.35">
      <c r="D292" s="65"/>
      <c r="F292" s="65"/>
      <c r="G292" s="65"/>
      <c r="H292" s="65"/>
      <c r="I292" s="65"/>
      <c r="J292" s="65"/>
    </row>
    <row r="293" spans="4:10" customFormat="1" x14ac:dyDescent="0.35">
      <c r="D293" s="65"/>
      <c r="F293" s="65"/>
      <c r="G293" s="65"/>
      <c r="H293" s="65"/>
      <c r="I293" s="65"/>
      <c r="J293" s="65"/>
    </row>
    <row r="294" spans="4:10" customFormat="1" x14ac:dyDescent="0.35">
      <c r="D294" s="65"/>
      <c r="F294" s="65"/>
      <c r="G294" s="65"/>
      <c r="H294" s="65"/>
      <c r="I294" s="65"/>
      <c r="J294" s="65"/>
    </row>
    <row r="295" spans="4:10" customFormat="1" x14ac:dyDescent="0.35">
      <c r="D295" s="65"/>
      <c r="F295" s="65"/>
      <c r="G295" s="65"/>
      <c r="H295" s="65"/>
      <c r="I295" s="65"/>
      <c r="J295" s="65"/>
    </row>
    <row r="296" spans="4:10" customFormat="1" x14ac:dyDescent="0.35">
      <c r="D296" s="65"/>
      <c r="F296" s="65"/>
      <c r="G296" s="65"/>
      <c r="H296" s="65"/>
      <c r="I296" s="65"/>
      <c r="J296" s="65"/>
    </row>
    <row r="297" spans="4:10" customFormat="1" x14ac:dyDescent="0.35">
      <c r="D297" s="65"/>
      <c r="F297" s="65"/>
      <c r="G297" s="65"/>
      <c r="H297" s="65"/>
      <c r="I297" s="65"/>
      <c r="J297" s="65"/>
    </row>
    <row r="298" spans="4:10" customFormat="1" x14ac:dyDescent="0.35">
      <c r="D298" s="65"/>
      <c r="F298" s="65"/>
      <c r="G298" s="65"/>
      <c r="H298" s="65"/>
      <c r="I298" s="65"/>
      <c r="J298" s="65"/>
    </row>
    <row r="299" spans="4:10" customFormat="1" x14ac:dyDescent="0.35">
      <c r="D299" s="65"/>
      <c r="F299" s="65"/>
      <c r="G299" s="65"/>
      <c r="H299" s="65"/>
      <c r="I299" s="65"/>
      <c r="J299" s="65"/>
    </row>
    <row r="300" spans="4:10" customFormat="1" x14ac:dyDescent="0.35">
      <c r="D300" s="65"/>
      <c r="F300" s="65"/>
      <c r="G300" s="65"/>
      <c r="H300" s="65"/>
      <c r="I300" s="65"/>
      <c r="J300" s="65"/>
    </row>
    <row r="301" spans="4:10" customFormat="1" x14ac:dyDescent="0.35">
      <c r="D301" s="65"/>
      <c r="F301" s="65"/>
      <c r="G301" s="65"/>
      <c r="H301" s="65"/>
      <c r="I301" s="65"/>
      <c r="J301" s="65"/>
    </row>
    <row r="302" spans="4:10" customFormat="1" x14ac:dyDescent="0.35">
      <c r="D302" s="65"/>
      <c r="F302" s="65"/>
      <c r="G302" s="65"/>
      <c r="H302" s="65"/>
      <c r="I302" s="65"/>
      <c r="J302" s="65"/>
    </row>
    <row r="303" spans="4:10" customFormat="1" x14ac:dyDescent="0.35">
      <c r="D303" s="65"/>
      <c r="F303" s="65"/>
      <c r="G303" s="65"/>
      <c r="H303" s="65"/>
      <c r="I303" s="65"/>
      <c r="J303" s="65"/>
    </row>
    <row r="304" spans="4:10" customFormat="1" x14ac:dyDescent="0.35">
      <c r="D304" s="65"/>
      <c r="F304" s="65"/>
      <c r="G304" s="65"/>
      <c r="H304" s="65"/>
      <c r="I304" s="65"/>
      <c r="J304" s="65"/>
    </row>
    <row r="305" spans="2:12" x14ac:dyDescent="0.35">
      <c r="B305"/>
      <c r="D305" s="65"/>
      <c r="E305"/>
      <c r="F305" s="65"/>
      <c r="G305" s="65"/>
      <c r="H305" s="65"/>
      <c r="I305" s="65"/>
      <c r="J305" s="65"/>
      <c r="K305"/>
      <c r="L305"/>
    </row>
    <row r="306" spans="2:12" x14ac:dyDescent="0.35">
      <c r="B306"/>
    </row>
    <row r="307" spans="2:12" x14ac:dyDescent="0.35">
      <c r="B307"/>
    </row>
    <row r="308" spans="2:12" x14ac:dyDescent="0.35">
      <c r="B308"/>
    </row>
    <row r="309" spans="2:12" x14ac:dyDescent="0.35">
      <c r="B309"/>
    </row>
    <row r="310" spans="2:12" x14ac:dyDescent="0.35">
      <c r="B310"/>
    </row>
    <row r="311" spans="2:12" x14ac:dyDescent="0.35">
      <c r="B311"/>
    </row>
    <row r="312" spans="2:12" x14ac:dyDescent="0.35">
      <c r="B312"/>
    </row>
    <row r="313" spans="2:12" x14ac:dyDescent="0.35">
      <c r="B313"/>
    </row>
    <row r="314" spans="2:12" x14ac:dyDescent="0.35">
      <c r="B314"/>
    </row>
    <row r="315" spans="2:12" x14ac:dyDescent="0.35">
      <c r="B315"/>
    </row>
    <row r="316" spans="2:12" x14ac:dyDescent="0.35">
      <c r="B316"/>
    </row>
    <row r="317" spans="2:12" x14ac:dyDescent="0.35">
      <c r="B317"/>
    </row>
    <row r="318" spans="2:12" x14ac:dyDescent="0.35">
      <c r="B318"/>
    </row>
    <row r="319" spans="2:12" x14ac:dyDescent="0.35">
      <c r="B319"/>
    </row>
    <row r="320" spans="2:12" x14ac:dyDescent="0.35">
      <c r="B320"/>
    </row>
    <row r="321" spans="2:2" x14ac:dyDescent="0.35">
      <c r="B321"/>
    </row>
    <row r="322" spans="2:2" x14ac:dyDescent="0.35">
      <c r="B322"/>
    </row>
    <row r="323" spans="2:2" x14ac:dyDescent="0.35">
      <c r="B323"/>
    </row>
    <row r="324" spans="2:2" x14ac:dyDescent="0.35">
      <c r="B324"/>
    </row>
    <row r="325" spans="2:2" x14ac:dyDescent="0.35">
      <c r="B325"/>
    </row>
    <row r="326" spans="2:2" x14ac:dyDescent="0.35">
      <c r="B326"/>
    </row>
    <row r="327" spans="2:2" x14ac:dyDescent="0.35">
      <c r="B327"/>
    </row>
    <row r="328" spans="2:2" x14ac:dyDescent="0.35">
      <c r="B328"/>
    </row>
    <row r="329" spans="2:2" x14ac:dyDescent="0.35">
      <c r="B329"/>
    </row>
    <row r="330" spans="2:2" x14ac:dyDescent="0.35">
      <c r="B330"/>
    </row>
    <row r="331" spans="2:2" x14ac:dyDescent="0.35">
      <c r="B331"/>
    </row>
    <row r="332" spans="2:2" x14ac:dyDescent="0.35">
      <c r="B332"/>
    </row>
    <row r="333" spans="2:2" x14ac:dyDescent="0.35">
      <c r="B333"/>
    </row>
    <row r="334" spans="2:2" x14ac:dyDescent="0.35">
      <c r="B334"/>
    </row>
    <row r="335" spans="2:2" x14ac:dyDescent="0.35">
      <c r="B335"/>
    </row>
    <row r="336" spans="2:2" x14ac:dyDescent="0.35">
      <c r="B336"/>
    </row>
    <row r="337" spans="2:2" x14ac:dyDescent="0.35">
      <c r="B337"/>
    </row>
    <row r="338" spans="2:2" x14ac:dyDescent="0.35">
      <c r="B338"/>
    </row>
    <row r="339" spans="2:2" x14ac:dyDescent="0.35">
      <c r="B339"/>
    </row>
    <row r="340" spans="2:2" x14ac:dyDescent="0.35">
      <c r="B340"/>
    </row>
    <row r="341" spans="2:2" x14ac:dyDescent="0.35">
      <c r="B341"/>
    </row>
    <row r="342" spans="2:2" x14ac:dyDescent="0.35">
      <c r="B342"/>
    </row>
    <row r="343" spans="2:2" x14ac:dyDescent="0.35">
      <c r="B343"/>
    </row>
    <row r="344" spans="2:2" x14ac:dyDescent="0.35">
      <c r="B344"/>
    </row>
    <row r="345" spans="2:2" x14ac:dyDescent="0.35">
      <c r="B345"/>
    </row>
    <row r="346" spans="2:2" x14ac:dyDescent="0.35">
      <c r="B346"/>
    </row>
    <row r="347" spans="2:2" x14ac:dyDescent="0.35">
      <c r="B347"/>
    </row>
    <row r="348" spans="2:2" x14ac:dyDescent="0.35">
      <c r="B348"/>
    </row>
    <row r="349" spans="2:2" x14ac:dyDescent="0.35">
      <c r="B349"/>
    </row>
    <row r="350" spans="2:2" x14ac:dyDescent="0.35">
      <c r="B350"/>
    </row>
    <row r="351" spans="2:2" x14ac:dyDescent="0.35">
      <c r="B351"/>
    </row>
    <row r="352" spans="2:2" x14ac:dyDescent="0.35">
      <c r="B352"/>
    </row>
    <row r="353" spans="2:2" x14ac:dyDescent="0.35">
      <c r="B353"/>
    </row>
    <row r="354" spans="2:2" x14ac:dyDescent="0.35">
      <c r="B354"/>
    </row>
    <row r="355" spans="2:2" x14ac:dyDescent="0.35">
      <c r="B355"/>
    </row>
    <row r="356" spans="2:2" x14ac:dyDescent="0.35">
      <c r="B356"/>
    </row>
    <row r="357" spans="2:2" x14ac:dyDescent="0.35">
      <c r="B357"/>
    </row>
    <row r="358" spans="2:2" x14ac:dyDescent="0.35">
      <c r="B358"/>
    </row>
    <row r="359" spans="2:2" x14ac:dyDescent="0.35">
      <c r="B359"/>
    </row>
    <row r="360" spans="2:2" x14ac:dyDescent="0.35">
      <c r="B360"/>
    </row>
    <row r="361" spans="2:2" x14ac:dyDescent="0.35">
      <c r="B361"/>
    </row>
    <row r="362" spans="2:2" x14ac:dyDescent="0.35">
      <c r="B362"/>
    </row>
    <row r="363" spans="2:2" x14ac:dyDescent="0.35">
      <c r="B363"/>
    </row>
    <row r="364" spans="2:2" x14ac:dyDescent="0.35">
      <c r="B364"/>
    </row>
    <row r="365" spans="2:2" x14ac:dyDescent="0.35">
      <c r="B365"/>
    </row>
    <row r="366" spans="2:2" x14ac:dyDescent="0.35">
      <c r="B366"/>
    </row>
    <row r="367" spans="2:2" x14ac:dyDescent="0.35">
      <c r="B367"/>
    </row>
    <row r="368" spans="2:2" x14ac:dyDescent="0.35">
      <c r="B368"/>
    </row>
    <row r="369" spans="2:2" x14ac:dyDescent="0.35">
      <c r="B369"/>
    </row>
    <row r="370" spans="2:2" x14ac:dyDescent="0.35">
      <c r="B370"/>
    </row>
    <row r="371" spans="2:2" x14ac:dyDescent="0.35">
      <c r="B371"/>
    </row>
    <row r="372" spans="2:2" x14ac:dyDescent="0.35">
      <c r="B372"/>
    </row>
    <row r="373" spans="2:2" x14ac:dyDescent="0.35">
      <c r="B373"/>
    </row>
    <row r="374" spans="2:2" x14ac:dyDescent="0.35">
      <c r="B374"/>
    </row>
    <row r="375" spans="2:2" x14ac:dyDescent="0.35">
      <c r="B375"/>
    </row>
    <row r="376" spans="2:2" x14ac:dyDescent="0.35">
      <c r="B376"/>
    </row>
    <row r="377" spans="2:2" x14ac:dyDescent="0.35">
      <c r="B377"/>
    </row>
    <row r="378" spans="2:2" x14ac:dyDescent="0.35">
      <c r="B378"/>
    </row>
    <row r="379" spans="2:2" x14ac:dyDescent="0.35">
      <c r="B379"/>
    </row>
    <row r="380" spans="2:2" x14ac:dyDescent="0.35">
      <c r="B380"/>
    </row>
    <row r="381" spans="2:2" x14ac:dyDescent="0.35">
      <c r="B381"/>
    </row>
    <row r="382" spans="2:2" x14ac:dyDescent="0.35">
      <c r="B382"/>
    </row>
    <row r="383" spans="2:2" x14ac:dyDescent="0.35">
      <c r="B383"/>
    </row>
    <row r="384" spans="2:2" x14ac:dyDescent="0.35">
      <c r="B384"/>
    </row>
    <row r="385" spans="2:2" x14ac:dyDescent="0.35">
      <c r="B385"/>
    </row>
    <row r="386" spans="2:2" x14ac:dyDescent="0.35">
      <c r="B386"/>
    </row>
    <row r="387" spans="2:2" x14ac:dyDescent="0.35">
      <c r="B387"/>
    </row>
    <row r="388" spans="2:2" x14ac:dyDescent="0.35">
      <c r="B388"/>
    </row>
    <row r="389" spans="2:2" x14ac:dyDescent="0.35">
      <c r="B389"/>
    </row>
    <row r="390" spans="2:2" x14ac:dyDescent="0.35">
      <c r="B390"/>
    </row>
    <row r="391" spans="2:2" x14ac:dyDescent="0.35">
      <c r="B391"/>
    </row>
    <row r="392" spans="2:2" x14ac:dyDescent="0.35">
      <c r="B392"/>
    </row>
    <row r="393" spans="2:2" x14ac:dyDescent="0.35">
      <c r="B393"/>
    </row>
    <row r="394" spans="2:2" x14ac:dyDescent="0.35">
      <c r="B394"/>
    </row>
    <row r="395" spans="2:2" x14ac:dyDescent="0.35">
      <c r="B395"/>
    </row>
    <row r="396" spans="2:2" x14ac:dyDescent="0.35">
      <c r="B396"/>
    </row>
    <row r="397" spans="2:2" x14ac:dyDescent="0.35">
      <c r="B397"/>
    </row>
    <row r="398" spans="2:2" x14ac:dyDescent="0.35">
      <c r="B398"/>
    </row>
    <row r="399" spans="2:2" x14ac:dyDescent="0.35">
      <c r="B399"/>
    </row>
    <row r="400" spans="2:2" x14ac:dyDescent="0.35">
      <c r="B400"/>
    </row>
    <row r="401" spans="2:2" x14ac:dyDescent="0.35">
      <c r="B401"/>
    </row>
    <row r="402" spans="2:2" x14ac:dyDescent="0.35">
      <c r="B402"/>
    </row>
    <row r="403" spans="2:2" x14ac:dyDescent="0.35">
      <c r="B403"/>
    </row>
    <row r="404" spans="2:2" x14ac:dyDescent="0.35">
      <c r="B404"/>
    </row>
    <row r="405" spans="2:2" x14ac:dyDescent="0.35">
      <c r="B405"/>
    </row>
    <row r="406" spans="2:2" x14ac:dyDescent="0.35">
      <c r="B406"/>
    </row>
    <row r="407" spans="2:2" x14ac:dyDescent="0.35">
      <c r="B407"/>
    </row>
    <row r="408" spans="2:2" x14ac:dyDescent="0.35">
      <c r="B408"/>
    </row>
    <row r="409" spans="2:2" x14ac:dyDescent="0.35">
      <c r="B409"/>
    </row>
    <row r="410" spans="2:2" x14ac:dyDescent="0.35">
      <c r="B410"/>
    </row>
    <row r="411" spans="2:2" x14ac:dyDescent="0.35">
      <c r="B411"/>
    </row>
    <row r="412" spans="2:2" x14ac:dyDescent="0.35">
      <c r="B412"/>
    </row>
    <row r="413" spans="2:2" x14ac:dyDescent="0.35">
      <c r="B413"/>
    </row>
    <row r="414" spans="2:2" x14ac:dyDescent="0.35">
      <c r="B414"/>
    </row>
    <row r="415" spans="2:2" x14ac:dyDescent="0.35">
      <c r="B415"/>
    </row>
    <row r="416" spans="2:2" x14ac:dyDescent="0.35">
      <c r="B416"/>
    </row>
    <row r="417" spans="2:2" x14ac:dyDescent="0.35">
      <c r="B417"/>
    </row>
    <row r="418" spans="2:2" x14ac:dyDescent="0.35">
      <c r="B418"/>
    </row>
    <row r="419" spans="2:2" x14ac:dyDescent="0.35">
      <c r="B419"/>
    </row>
    <row r="420" spans="2:2" x14ac:dyDescent="0.35">
      <c r="B420"/>
    </row>
    <row r="421" spans="2:2" x14ac:dyDescent="0.35">
      <c r="B421"/>
    </row>
    <row r="422" spans="2:2" x14ac:dyDescent="0.35">
      <c r="B422"/>
    </row>
    <row r="423" spans="2:2" x14ac:dyDescent="0.35">
      <c r="B423"/>
    </row>
    <row r="424" spans="2:2" x14ac:dyDescent="0.35">
      <c r="B424"/>
    </row>
    <row r="425" spans="2:2" x14ac:dyDescent="0.35">
      <c r="B425"/>
    </row>
    <row r="426" spans="2:2" x14ac:dyDescent="0.35">
      <c r="B426"/>
    </row>
    <row r="427" spans="2:2" x14ac:dyDescent="0.35">
      <c r="B427"/>
    </row>
    <row r="428" spans="2:2" x14ac:dyDescent="0.35">
      <c r="B428"/>
    </row>
    <row r="429" spans="2:2" x14ac:dyDescent="0.35">
      <c r="B429"/>
    </row>
    <row r="430" spans="2:2" x14ac:dyDescent="0.35">
      <c r="B430"/>
    </row>
    <row r="431" spans="2:2" x14ac:dyDescent="0.35">
      <c r="B431"/>
    </row>
    <row r="432" spans="2:2" x14ac:dyDescent="0.35">
      <c r="B432"/>
    </row>
    <row r="433" spans="2:2" x14ac:dyDescent="0.35">
      <c r="B433"/>
    </row>
    <row r="434" spans="2:2" x14ac:dyDescent="0.35">
      <c r="B434"/>
    </row>
    <row r="435" spans="2:2" x14ac:dyDescent="0.35">
      <c r="B435"/>
    </row>
    <row r="436" spans="2:2" x14ac:dyDescent="0.35">
      <c r="B436"/>
    </row>
    <row r="437" spans="2:2" x14ac:dyDescent="0.35">
      <c r="B437"/>
    </row>
    <row r="438" spans="2:2" x14ac:dyDescent="0.35">
      <c r="B438"/>
    </row>
    <row r="439" spans="2:2" x14ac:dyDescent="0.35">
      <c r="B439"/>
    </row>
    <row r="440" spans="2:2" x14ac:dyDescent="0.35">
      <c r="B440"/>
    </row>
    <row r="441" spans="2:2" x14ac:dyDescent="0.35">
      <c r="B441"/>
    </row>
    <row r="442" spans="2:2" x14ac:dyDescent="0.35">
      <c r="B442"/>
    </row>
    <row r="443" spans="2:2" x14ac:dyDescent="0.35">
      <c r="B443"/>
    </row>
    <row r="444" spans="2:2" x14ac:dyDescent="0.35">
      <c r="B444"/>
    </row>
    <row r="445" spans="2:2" x14ac:dyDescent="0.35">
      <c r="B445"/>
    </row>
    <row r="446" spans="2:2" x14ac:dyDescent="0.35">
      <c r="B446"/>
    </row>
    <row r="447" spans="2:2" x14ac:dyDescent="0.35">
      <c r="B447"/>
    </row>
    <row r="448" spans="2:2" x14ac:dyDescent="0.35">
      <c r="B448"/>
    </row>
    <row r="449" spans="2:2" x14ac:dyDescent="0.35">
      <c r="B449"/>
    </row>
    <row r="450" spans="2:2" x14ac:dyDescent="0.35">
      <c r="B450"/>
    </row>
    <row r="451" spans="2:2" x14ac:dyDescent="0.35">
      <c r="B451"/>
    </row>
    <row r="452" spans="2:2" x14ac:dyDescent="0.35">
      <c r="B452"/>
    </row>
    <row r="453" spans="2:2" x14ac:dyDescent="0.35">
      <c r="B453"/>
    </row>
    <row r="454" spans="2:2" x14ac:dyDescent="0.35">
      <c r="B454"/>
    </row>
    <row r="455" spans="2:2" x14ac:dyDescent="0.35">
      <c r="B455"/>
    </row>
    <row r="456" spans="2:2" x14ac:dyDescent="0.35">
      <c r="B456"/>
    </row>
    <row r="457" spans="2:2" x14ac:dyDescent="0.35">
      <c r="B457"/>
    </row>
    <row r="458" spans="2:2" x14ac:dyDescent="0.35">
      <c r="B458"/>
    </row>
    <row r="459" spans="2:2" x14ac:dyDescent="0.35">
      <c r="B459"/>
    </row>
    <row r="460" spans="2:2" x14ac:dyDescent="0.35">
      <c r="B460"/>
    </row>
    <row r="461" spans="2:2" x14ac:dyDescent="0.35">
      <c r="B461"/>
    </row>
    <row r="462" spans="2:2" x14ac:dyDescent="0.35">
      <c r="B462"/>
    </row>
    <row r="463" spans="2:2" x14ac:dyDescent="0.35">
      <c r="B463"/>
    </row>
    <row r="464" spans="2:2" x14ac:dyDescent="0.35">
      <c r="B464"/>
    </row>
    <row r="465" spans="2:2" x14ac:dyDescent="0.35">
      <c r="B465"/>
    </row>
    <row r="466" spans="2:2" x14ac:dyDescent="0.35">
      <c r="B466"/>
    </row>
    <row r="467" spans="2:2" x14ac:dyDescent="0.35">
      <c r="B467"/>
    </row>
    <row r="468" spans="2:2" x14ac:dyDescent="0.35">
      <c r="B468"/>
    </row>
    <row r="469" spans="2:2" x14ac:dyDescent="0.35">
      <c r="B469"/>
    </row>
    <row r="470" spans="2:2" x14ac:dyDescent="0.35">
      <c r="B470"/>
    </row>
    <row r="471" spans="2:2" x14ac:dyDescent="0.35">
      <c r="B471"/>
    </row>
    <row r="472" spans="2:2" x14ac:dyDescent="0.35">
      <c r="B472"/>
    </row>
    <row r="473" spans="2:2" x14ac:dyDescent="0.35">
      <c r="B473"/>
    </row>
    <row r="474" spans="2:2" x14ac:dyDescent="0.35">
      <c r="B474"/>
    </row>
    <row r="475" spans="2:2" x14ac:dyDescent="0.35">
      <c r="B475"/>
    </row>
    <row r="476" spans="2:2" x14ac:dyDescent="0.35">
      <c r="B476"/>
    </row>
    <row r="477" spans="2:2" x14ac:dyDescent="0.35">
      <c r="B477"/>
    </row>
    <row r="478" spans="2:2" x14ac:dyDescent="0.35">
      <c r="B478"/>
    </row>
    <row r="479" spans="2:2" x14ac:dyDescent="0.35">
      <c r="B479"/>
    </row>
    <row r="480" spans="2:2" x14ac:dyDescent="0.35">
      <c r="B480"/>
    </row>
    <row r="481" spans="2:2" x14ac:dyDescent="0.35">
      <c r="B481"/>
    </row>
    <row r="482" spans="2:2" x14ac:dyDescent="0.35">
      <c r="B482"/>
    </row>
    <row r="483" spans="2:2" x14ac:dyDescent="0.35">
      <c r="B483"/>
    </row>
    <row r="484" spans="2:2" x14ac:dyDescent="0.35">
      <c r="B484"/>
    </row>
    <row r="485" spans="2:2" x14ac:dyDescent="0.35">
      <c r="B485"/>
    </row>
    <row r="486" spans="2:2" x14ac:dyDescent="0.35">
      <c r="B486"/>
    </row>
    <row r="487" spans="2:2" x14ac:dyDescent="0.35">
      <c r="B487"/>
    </row>
    <row r="488" spans="2:2" x14ac:dyDescent="0.35">
      <c r="B488"/>
    </row>
    <row r="489" spans="2:2" x14ac:dyDescent="0.35">
      <c r="B489"/>
    </row>
    <row r="490" spans="2:2" x14ac:dyDescent="0.35">
      <c r="B490"/>
    </row>
    <row r="491" spans="2:2" x14ac:dyDescent="0.35">
      <c r="B491"/>
    </row>
    <row r="492" spans="2:2" x14ac:dyDescent="0.35">
      <c r="B492"/>
    </row>
    <row r="493" spans="2:2" x14ac:dyDescent="0.35">
      <c r="B493"/>
    </row>
    <row r="494" spans="2:2" x14ac:dyDescent="0.35">
      <c r="B494"/>
    </row>
    <row r="495" spans="2:2" x14ac:dyDescent="0.35">
      <c r="B495"/>
    </row>
    <row r="496" spans="2:2" x14ac:dyDescent="0.35">
      <c r="B496"/>
    </row>
    <row r="497" spans="2:2" x14ac:dyDescent="0.35">
      <c r="B497"/>
    </row>
    <row r="498" spans="2:2" x14ac:dyDescent="0.35">
      <c r="B498"/>
    </row>
    <row r="499" spans="2:2" x14ac:dyDescent="0.35">
      <c r="B499"/>
    </row>
    <row r="500" spans="2:2" x14ac:dyDescent="0.35">
      <c r="B500"/>
    </row>
    <row r="501" spans="2:2" x14ac:dyDescent="0.35">
      <c r="B501"/>
    </row>
    <row r="502" spans="2:2" x14ac:dyDescent="0.35">
      <c r="B502"/>
    </row>
    <row r="503" spans="2:2" x14ac:dyDescent="0.35">
      <c r="B503"/>
    </row>
    <row r="504" spans="2:2" x14ac:dyDescent="0.35">
      <c r="B504"/>
    </row>
    <row r="505" spans="2:2" x14ac:dyDescent="0.35">
      <c r="B505"/>
    </row>
    <row r="506" spans="2:2" x14ac:dyDescent="0.35">
      <c r="B506"/>
    </row>
    <row r="507" spans="2:2" x14ac:dyDescent="0.35">
      <c r="B507"/>
    </row>
    <row r="508" spans="2:2" x14ac:dyDescent="0.35">
      <c r="B508"/>
    </row>
  </sheetData>
  <conditionalFormatting pivot="1" sqref="J3:J103">
    <cfRule type="cellIs" dxfId="2785" priority="1" operator="lessThan">
      <formula>10</formula>
    </cfRule>
  </conditionalFormatting>
  <pageMargins left="0.7" right="0.7" top="0.75" bottom="0.75" header="0.3" footer="0.3"/>
  <pageSetup orientation="portrait"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B40DF-1182-4254-BC06-4B08E1AB2B88}">
  <sheetPr>
    <tabColor rgb="FF92D050"/>
  </sheetPr>
  <dimension ref="B1:U68"/>
  <sheetViews>
    <sheetView workbookViewId="0"/>
  </sheetViews>
  <sheetFormatPr defaultColWidth="9.1796875" defaultRowHeight="33" customHeight="1" outlineLevelRow="1" x14ac:dyDescent="0.35"/>
  <cols>
    <col min="1" max="1" width="3.54296875" customWidth="1"/>
    <col min="2" max="2" width="54.81640625" customWidth="1"/>
    <col min="3" max="3" width="17.81640625" style="63" customWidth="1"/>
    <col min="4" max="4" width="17.81640625" style="65" customWidth="1"/>
    <col min="5" max="11" width="17.81640625" customWidth="1"/>
    <col min="12" max="12" width="22.81640625" customWidth="1"/>
    <col min="13" max="13" width="5.81640625" customWidth="1"/>
    <col min="14" max="14" width="53.54296875" customWidth="1"/>
    <col min="15" max="15" width="24.81640625" customWidth="1"/>
    <col min="16" max="16" width="21.54296875" customWidth="1"/>
    <col min="17" max="17" width="28.81640625" customWidth="1"/>
    <col min="18" max="21" width="21.54296875" customWidth="1"/>
  </cols>
  <sheetData>
    <row r="1" spans="2:21" ht="18.75" customHeight="1" x14ac:dyDescent="0.35"/>
    <row r="2" spans="2:21" ht="45" customHeight="1" x14ac:dyDescent="0.35">
      <c r="B2" s="387" t="s">
        <v>5</v>
      </c>
      <c r="C2" s="807" t="s">
        <v>22</v>
      </c>
      <c r="D2" s="808"/>
      <c r="E2" s="807" t="s">
        <v>23</v>
      </c>
      <c r="F2" s="808"/>
      <c r="G2" s="807" t="s">
        <v>24</v>
      </c>
      <c r="H2" s="808"/>
      <c r="I2" s="807" t="s">
        <v>25</v>
      </c>
      <c r="J2" s="808"/>
      <c r="K2" s="809" t="s">
        <v>36</v>
      </c>
      <c r="L2" s="807"/>
      <c r="N2" s="804" t="s">
        <v>1422</v>
      </c>
      <c r="O2" s="805"/>
      <c r="P2" s="805"/>
      <c r="Q2" s="805"/>
      <c r="R2" s="805"/>
      <c r="S2" s="805"/>
      <c r="T2" s="805"/>
      <c r="U2" s="806"/>
    </row>
    <row r="3" spans="2:21" ht="52" customHeight="1" x14ac:dyDescent="0.35">
      <c r="B3" s="388" t="s">
        <v>4</v>
      </c>
      <c r="C3" s="799">
        <f>_xlfn.XLOOKUP(C$2,Table9[Name],Table9[SN],"Not Found", 0,1)</f>
        <v>42</v>
      </c>
      <c r="D3" s="801"/>
      <c r="E3" s="799">
        <f>_xlfn.XLOOKUP(E$2,Table9[Name],Table9[SN],"Not Found", 0,1)</f>
        <v>65</v>
      </c>
      <c r="F3" s="801"/>
      <c r="G3" s="799">
        <f>_xlfn.XLOOKUP(G$2,Table9[Name],Table9[SN],"Not Found", 0,1)</f>
        <v>18</v>
      </c>
      <c r="H3" s="801"/>
      <c r="I3" s="799">
        <f>_xlfn.XLOOKUP(I$2,Table9[Name],Table9[SN],"Not Found", 0,1)</f>
        <v>67</v>
      </c>
      <c r="J3" s="801"/>
      <c r="K3" s="799">
        <f>_xlfn.XLOOKUP(K$2,Table9[Name],Table9[SN],"Not Found", 0,1)</f>
        <v>58</v>
      </c>
      <c r="L3" s="800"/>
      <c r="N3" s="387" t="s">
        <v>250</v>
      </c>
      <c r="O3" s="395" t="str">
        <f>C2</f>
        <v>Nawabganj Economic Zone</v>
      </c>
      <c r="P3" s="395" t="str">
        <f>E2</f>
        <v>Anowara Economic Zone - 2</v>
      </c>
      <c r="Q3" s="395" t="str">
        <f>G2</f>
        <v>Gopalganj Economic Zone</v>
      </c>
      <c r="R3" s="395" t="str">
        <f>I2</f>
        <v>Kushtia Economic Zone</v>
      </c>
      <c r="S3" s="395" t="str">
        <f>K2</f>
        <v>Shreehatta Economic Zone</v>
      </c>
      <c r="T3" s="386" t="s">
        <v>251</v>
      </c>
      <c r="U3" s="384" t="s">
        <v>252</v>
      </c>
    </row>
    <row r="4" spans="2:21" ht="33" customHeight="1" x14ac:dyDescent="0.35">
      <c r="B4" s="389" t="s">
        <v>6</v>
      </c>
      <c r="C4" s="802" t="str">
        <f>_xlfn.XLOOKUP(C$2,Table9[Name],Table9[Division],"Not Found", 0,1)</f>
        <v>Dhaka</v>
      </c>
      <c r="D4" s="803"/>
      <c r="E4" s="802" t="str">
        <f>_xlfn.XLOOKUP(E$2,Table9[Name],Table9[Division],"Not Found", 0,1)</f>
        <v>Chattogram</v>
      </c>
      <c r="F4" s="803"/>
      <c r="G4" s="802" t="str">
        <f>_xlfn.XLOOKUP(G$2,Table9[Name],Table9[Division],"Not Found", 0,1)</f>
        <v>Dhaka</v>
      </c>
      <c r="H4" s="803"/>
      <c r="I4" s="802" t="str">
        <f>_xlfn.XLOOKUP(I$2,Table9[Name],Table9[Division],"Not Found", 0,1)</f>
        <v>Khulna</v>
      </c>
      <c r="J4" s="803"/>
      <c r="K4" s="802" t="str">
        <f>_xlfn.XLOOKUP(K$2,Table9[Name],Table9[Division],"Not Found", 0,1)</f>
        <v>Sylhet</v>
      </c>
      <c r="L4" s="810"/>
      <c r="N4" s="392" t="s">
        <v>253</v>
      </c>
      <c r="O4" s="396">
        <f>C8/$U4</f>
        <v>0.37500000000000006</v>
      </c>
      <c r="P4" s="396">
        <f>E8/$U4</f>
        <v>0.77500000000000013</v>
      </c>
      <c r="Q4" s="396">
        <f>G8/$U4</f>
        <v>0.125</v>
      </c>
      <c r="R4" s="396">
        <f>I8/$U4</f>
        <v>0.79999999999999993</v>
      </c>
      <c r="S4" s="396">
        <f>K8/$U4</f>
        <v>0.79999999999999993</v>
      </c>
      <c r="T4" s="398">
        <v>0.2</v>
      </c>
      <c r="U4" s="382">
        <f t="shared" ref="U4:U12" si="0">T4*4</f>
        <v>0.8</v>
      </c>
    </row>
    <row r="5" spans="2:21" ht="33" customHeight="1" x14ac:dyDescent="0.35">
      <c r="B5" s="388" t="s">
        <v>7</v>
      </c>
      <c r="C5" s="799" t="str">
        <f>_xlfn.XLOOKUP(C$2,Table9[Name],Table9[District],"Not Found", 0,1)</f>
        <v>Dhaka</v>
      </c>
      <c r="D5" s="801"/>
      <c r="E5" s="799" t="str">
        <f>_xlfn.XLOOKUP(E$2,Table9[Name],Table9[District],"Not Found", 0,1)</f>
        <v>Chattogram</v>
      </c>
      <c r="F5" s="801"/>
      <c r="G5" s="799" t="str">
        <f>_xlfn.XLOOKUP(G$2,Table9[Name],Table9[District],"Not Found", 0,1)</f>
        <v>Gopalganj</v>
      </c>
      <c r="H5" s="801"/>
      <c r="I5" s="799" t="str">
        <f>_xlfn.XLOOKUP(I$2,Table9[Name],Table9[District],"Not Found", 0,1)</f>
        <v>Kushtia</v>
      </c>
      <c r="J5" s="801"/>
      <c r="K5" s="799" t="str">
        <f>_xlfn.XLOOKUP(K$2,Table9[Name],Table9[District],"Not Found", 0,1)</f>
        <v>Moulvibazar</v>
      </c>
      <c r="L5" s="800"/>
      <c r="N5" s="394" t="s">
        <v>254</v>
      </c>
      <c r="O5" s="397">
        <f>C13/$U5</f>
        <v>1</v>
      </c>
      <c r="P5" s="397">
        <f>E13/$U5</f>
        <v>1</v>
      </c>
      <c r="Q5" s="397">
        <f>G13/$U5</f>
        <v>1</v>
      </c>
      <c r="R5" s="397">
        <f>I13/$U5</f>
        <v>1</v>
      </c>
      <c r="S5" s="397">
        <f>K13/$U5</f>
        <v>1</v>
      </c>
      <c r="T5" s="399">
        <v>0.15</v>
      </c>
      <c r="U5" s="383">
        <f t="shared" si="0"/>
        <v>0.6</v>
      </c>
    </row>
    <row r="6" spans="2:21" ht="33" customHeight="1" x14ac:dyDescent="0.35">
      <c r="B6" s="389" t="s">
        <v>8</v>
      </c>
      <c r="C6" s="802" t="str">
        <f>_xlfn.XLOOKUP(C$2,Table9[Name],Table9[Upazila],"Not Found", 0,1)</f>
        <v>Nawabganj</v>
      </c>
      <c r="D6" s="803"/>
      <c r="E6" s="802" t="str">
        <f>_xlfn.XLOOKUP(E$2,Table9[Name],Table9[Upazila],"Not Found", 0,1)</f>
        <v>Anowara</v>
      </c>
      <c r="F6" s="803"/>
      <c r="G6" s="802" t="str">
        <f>_xlfn.XLOOKUP(G$2,Table9[Name],Table9[Upazila],"Not Found", 0,1)</f>
        <v>Kotalipara</v>
      </c>
      <c r="H6" s="803"/>
      <c r="I6" s="802" t="str">
        <f>_xlfn.XLOOKUP(I$2,Table9[Name],Table9[Upazila],"Not Found", 0,1)</f>
        <v>Bheramara</v>
      </c>
      <c r="J6" s="803"/>
      <c r="K6" s="802" t="str">
        <f>_xlfn.XLOOKUP(K$2,Table9[Name],Table9[Upazila],"Not Found", 0,1)</f>
        <v>Moulvibazar Sadar</v>
      </c>
      <c r="L6" s="810"/>
      <c r="N6" s="392" t="s">
        <v>255</v>
      </c>
      <c r="O6" s="396">
        <f>C16/$U6</f>
        <v>0.5</v>
      </c>
      <c r="P6" s="396">
        <f>E16/$U6</f>
        <v>0.5</v>
      </c>
      <c r="Q6" s="396">
        <f>G16/$U6</f>
        <v>0.25</v>
      </c>
      <c r="R6" s="396">
        <f>I16/$U6</f>
        <v>0</v>
      </c>
      <c r="S6" s="396">
        <f>K16/$U6</f>
        <v>0.25</v>
      </c>
      <c r="T6" s="398">
        <v>0.15</v>
      </c>
      <c r="U6" s="382">
        <f t="shared" si="0"/>
        <v>0.6</v>
      </c>
    </row>
    <row r="7" spans="2:21" ht="33" customHeight="1" x14ac:dyDescent="0.35">
      <c r="B7" s="388" t="s">
        <v>9</v>
      </c>
      <c r="C7" s="799" t="str">
        <f>_xlfn.XLOOKUP(C$2,Table9[Name],Table9[Type],"Not Found", 0,1)</f>
        <v>Government</v>
      </c>
      <c r="D7" s="801"/>
      <c r="E7" s="799" t="str">
        <f>_xlfn.XLOOKUP(E$2,Table9[Name],Table9[Type],"Not Found", 0,1)</f>
        <v>G2G</v>
      </c>
      <c r="F7" s="801"/>
      <c r="G7" s="799" t="str">
        <f>_xlfn.XLOOKUP(G$2,Table9[Name],Table9[Type],"Not Found", 0,1)</f>
        <v>Government</v>
      </c>
      <c r="H7" s="801"/>
      <c r="I7" s="799" t="str">
        <f>_xlfn.XLOOKUP(I$2,Table9[Name],Table9[Type],"Not Found", 0,1)</f>
        <v>G2G</v>
      </c>
      <c r="J7" s="801"/>
      <c r="K7" s="799" t="str">
        <f>_xlfn.XLOOKUP(K$2,Table9[Name],Table9[Type],"Not Found", 0,1)</f>
        <v>Government</v>
      </c>
      <c r="L7" s="800"/>
      <c r="N7" s="394" t="s">
        <v>256</v>
      </c>
      <c r="O7" s="397">
        <f>C19/$U7</f>
        <v>0.84999999999999987</v>
      </c>
      <c r="P7" s="397">
        <f>E19/$U7</f>
        <v>1</v>
      </c>
      <c r="Q7" s="397">
        <f>G19/$U7</f>
        <v>0.89999999999999991</v>
      </c>
      <c r="R7" s="397">
        <f>I19/$U7</f>
        <v>0.85</v>
      </c>
      <c r="S7" s="397">
        <f>K19/$U7</f>
        <v>0.5</v>
      </c>
      <c r="T7" s="399">
        <v>0.1</v>
      </c>
      <c r="U7" s="383">
        <f t="shared" si="0"/>
        <v>0.4</v>
      </c>
    </row>
    <row r="8" spans="2:21" ht="33" customHeight="1" x14ac:dyDescent="0.35">
      <c r="B8" s="390" t="s">
        <v>253</v>
      </c>
      <c r="C8" s="788">
        <f>_xlfn.XLOOKUP(C$2,Table9[Name],Table9[1.1. Land Details (20% weightage)],"Not Found", 0,1)</f>
        <v>0.30000000000000004</v>
      </c>
      <c r="D8" s="789"/>
      <c r="E8" s="788">
        <f>_xlfn.XLOOKUP(E$2,Table9[Name],Table9[1.1. Land Details (20% weightage)],"Not Found", 0,1)</f>
        <v>0.62000000000000011</v>
      </c>
      <c r="F8" s="789"/>
      <c r="G8" s="788">
        <f>_xlfn.XLOOKUP(G$2,Table9[Name],Table9[1.1. Land Details (20% weightage)],"Not Found", 0,1)</f>
        <v>0.1</v>
      </c>
      <c r="H8" s="789"/>
      <c r="I8" s="788">
        <f>_xlfn.XLOOKUP(I$2,Table9[Name],Table9[1.1. Land Details (20% weightage)],"Not Found", 0,1)</f>
        <v>0.64</v>
      </c>
      <c r="J8" s="789"/>
      <c r="K8" s="788">
        <f>_xlfn.XLOOKUP(K$2,Table9[Name],Table9[1.1. Land Details (20% weightage)],"Not Found", 0,1)</f>
        <v>0.64</v>
      </c>
      <c r="L8" s="790"/>
      <c r="N8" s="392" t="s">
        <v>257</v>
      </c>
      <c r="O8" s="396">
        <f>C26/$U8</f>
        <v>1</v>
      </c>
      <c r="P8" s="396">
        <f>E26/$U8</f>
        <v>0.60000000000000009</v>
      </c>
      <c r="Q8" s="396">
        <f>G26/$U8</f>
        <v>0.8</v>
      </c>
      <c r="R8" s="396">
        <f>I26/$U8</f>
        <v>1</v>
      </c>
      <c r="S8" s="396">
        <f>K26/$U8</f>
        <v>1</v>
      </c>
      <c r="T8" s="398">
        <v>0.12</v>
      </c>
      <c r="U8" s="382">
        <f t="shared" si="0"/>
        <v>0.48</v>
      </c>
    </row>
    <row r="9" spans="2:21" ht="33" customHeight="1" x14ac:dyDescent="0.35">
      <c r="B9" s="391" t="s">
        <v>259</v>
      </c>
      <c r="C9" s="427" t="str">
        <f>_xlfn.XLOOKUP(C$2,Table9[Name],Table9[Land Availability (Grade)​
(50%)],"Not Found", 0,1)</f>
        <v>C Grade</v>
      </c>
      <c r="D9" s="428">
        <f>_xlfn.XLOOKUP(C$2,Table9[Name],Table9[Land Availability (Grade)​ Score],"Not Found", 0,1)</f>
        <v>0</v>
      </c>
      <c r="E9" s="427" t="str">
        <f>_xlfn.XLOOKUP(E$2,Table9[Name],Table9[Land Availability (Grade)​
(50%)],"Not Found", 0,1)</f>
        <v>A Grade</v>
      </c>
      <c r="F9" s="428">
        <f>_xlfn.XLOOKUP(E$2,Table9[Name],Table9[Land Availability (Grade)​ Score],"Not Found", 0,1)</f>
        <v>4</v>
      </c>
      <c r="G9" s="427" t="str">
        <f>_xlfn.XLOOKUP(G$2,Table9[Name],Table9[Land Availability (Grade)​
(50%)],"Not Found", 0,1)</f>
        <v>C Grade</v>
      </c>
      <c r="H9" s="428">
        <f>_xlfn.XLOOKUP(G$2,Table9[Name],Table9[Land Availability (Grade)​ Score],"Not Found", 0,1)</f>
        <v>0</v>
      </c>
      <c r="I9" s="427" t="str">
        <f>_xlfn.XLOOKUP(I$2,Table9[Name],Table9[Land Availability (Grade)​
(50%)],"Not Found", 0,1)</f>
        <v>A Grade</v>
      </c>
      <c r="J9" s="428">
        <f>_xlfn.XLOOKUP(I$2,Table9[Name],Table9[Land Availability (Grade)​ Score],"Not Found", 0,1)</f>
        <v>4</v>
      </c>
      <c r="K9" s="427" t="str">
        <f>_xlfn.XLOOKUP(K$2,Table9[Name],Table9[Land Availability (Grade)​
(50%)],"Not Found", 0,1)</f>
        <v>A Grade</v>
      </c>
      <c r="L9" s="428">
        <f>_xlfn.XLOOKUP(K$2,Table9[Name],Table9[Land Availability (Grade)​ Score],"Not Found", 0,1)</f>
        <v>4</v>
      </c>
      <c r="M9" s="65"/>
      <c r="N9" s="394" t="s">
        <v>258</v>
      </c>
      <c r="O9" s="397">
        <f>C30/$U9</f>
        <v>1</v>
      </c>
      <c r="P9" s="397">
        <f>E30/$U9</f>
        <v>1</v>
      </c>
      <c r="Q9" s="397">
        <f>G30/$U9</f>
        <v>0.80000000000000016</v>
      </c>
      <c r="R9" s="397">
        <f>I30/$U9</f>
        <v>0.70000000000000007</v>
      </c>
      <c r="S9" s="397">
        <f>K30/$U9</f>
        <v>0.70000000000000007</v>
      </c>
      <c r="T9" s="399">
        <v>0.1</v>
      </c>
      <c r="U9" s="383">
        <f t="shared" si="0"/>
        <v>0.4</v>
      </c>
    </row>
    <row r="10" spans="2:21" ht="33" customHeight="1" x14ac:dyDescent="0.35">
      <c r="B10" s="392" t="s">
        <v>261</v>
      </c>
      <c r="C10" s="429">
        <f>_xlfn.XLOOKUP(C$2,Table9[Name],Table9[Land Size (Acres)
(15%)],"Not Found", 0,1)</f>
        <v>880.04200000000003</v>
      </c>
      <c r="D10" s="430">
        <f>_xlfn.XLOOKUP(C$2,Table9[Name],Table9[Land Size (Acres) Score],"Not Found", 0,1)</f>
        <v>4</v>
      </c>
      <c r="E10" s="429">
        <f>_xlfn.XLOOKUP(E$2,Table9[Name],Table9[Land Size (Acres)
(15%)],"Not Found", 0,1)</f>
        <v>805.86649999999997</v>
      </c>
      <c r="F10" s="430">
        <f>_xlfn.XLOOKUP(E$2,Table9[Name],Table9[Land Size (Acres) Score],"Not Found", 0,1)</f>
        <v>4</v>
      </c>
      <c r="G10" s="429">
        <f>_xlfn.XLOOKUP(G$2,Table9[Name],Table9[Land Size (Acres)
(15%)],"Not Found", 0,1)</f>
        <v>201.83</v>
      </c>
      <c r="H10" s="430">
        <f>_xlfn.XLOOKUP(G$2,Table9[Name],Table9[Land Size (Acres) Score],"Not Found", 0,1)</f>
        <v>2</v>
      </c>
      <c r="I10" s="429">
        <f>_xlfn.XLOOKUP(I$2,Table9[Name],Table9[Land Size (Acres)
(15%)],"Not Found", 0,1)</f>
        <v>382.07209999999998</v>
      </c>
      <c r="J10" s="430">
        <f>_xlfn.XLOOKUP(I$2,Table9[Name],Table9[Land Size (Acres) Score],"Not Found", 0,1)</f>
        <v>2</v>
      </c>
      <c r="K10" s="429">
        <f>_xlfn.XLOOKUP(K$2,Table9[Name],Table9[Land Size (Acres)
(15%)],"Not Found", 0,1)</f>
        <v>352.12</v>
      </c>
      <c r="L10" s="430">
        <f>_xlfn.XLOOKUP(K$2,Table9[Name],Table9[Land Size (Acres) Score],"Not Found", 0,1)</f>
        <v>2</v>
      </c>
      <c r="M10" s="65"/>
      <c r="N10" s="392" t="s">
        <v>1423</v>
      </c>
      <c r="O10" s="396">
        <f>C35/$U10</f>
        <v>0</v>
      </c>
      <c r="P10" s="396">
        <f>E35/$U10</f>
        <v>0</v>
      </c>
      <c r="Q10" s="396">
        <f>G35/$U10</f>
        <v>1</v>
      </c>
      <c r="R10" s="396">
        <f>I35/$U10</f>
        <v>1</v>
      </c>
      <c r="S10" s="396">
        <f>K35/$U10</f>
        <v>1</v>
      </c>
      <c r="T10" s="398">
        <v>0.04</v>
      </c>
      <c r="U10" s="382">
        <f t="shared" si="0"/>
        <v>0.16</v>
      </c>
    </row>
    <row r="11" spans="2:21" ht="33" customHeight="1" x14ac:dyDescent="0.35">
      <c r="B11" s="391" t="s">
        <v>263</v>
      </c>
      <c r="C11" s="427" t="e">
        <f>_xlfn.XLOOKUP(C$2,Table9[Name],#REF!,"Not Found", 0,1)</f>
        <v>#REF!</v>
      </c>
      <c r="D11" s="428">
        <f>_xlfn.XLOOKUP(C$2,Table9[Name],Table9[Land Suitability for Construction Score],"Not Found", 0,1)</f>
        <v>2</v>
      </c>
      <c r="E11" s="427" t="e">
        <f>_xlfn.XLOOKUP(E$2,Table9[Name],#REF!,"Not Found", 0,1)</f>
        <v>#REF!</v>
      </c>
      <c r="F11" s="428">
        <f>_xlfn.XLOOKUP(E$2,Table9[Name],Table9[Land Suitability for Construction Score],"Not Found", 0,1)</f>
        <v>2</v>
      </c>
      <c r="G11" s="427" t="e">
        <f>_xlfn.XLOOKUP(G$2,Table9[Name],#REF!,"Not Found", 0,1)</f>
        <v>#REF!</v>
      </c>
      <c r="H11" s="428">
        <f>_xlfn.XLOOKUP(G$2,Table9[Name],Table9[Land Suitability for Construction Score],"Not Found", 0,1)</f>
        <v>0</v>
      </c>
      <c r="I11" s="427" t="e">
        <f>_xlfn.XLOOKUP(I$2,Table9[Name],#REF!,"Not Found", 0,1)</f>
        <v>#REF!</v>
      </c>
      <c r="J11" s="428">
        <f>_xlfn.XLOOKUP(I$2,Table9[Name],Table9[Land Suitability for Construction Score],"Not Found", 0,1)</f>
        <v>2</v>
      </c>
      <c r="K11" s="427" t="e">
        <f>_xlfn.XLOOKUP(K$2,Table9[Name],#REF!,"Not Found", 0,1)</f>
        <v>#REF!</v>
      </c>
      <c r="L11" s="428">
        <f>_xlfn.XLOOKUP(K$2,Table9[Name],Table9[Land Suitability for Construction Score],"Not Found", 0,1)</f>
        <v>2</v>
      </c>
      <c r="M11" s="65"/>
      <c r="N11" s="394" t="s">
        <v>1424</v>
      </c>
      <c r="O11" s="397">
        <f>C38/$U11</f>
        <v>0.90000000000000013</v>
      </c>
      <c r="P11" s="397">
        <f>E38/$U11</f>
        <v>1</v>
      </c>
      <c r="Q11" s="397">
        <f>G38/$U11</f>
        <v>0.70000000000000007</v>
      </c>
      <c r="R11" s="397">
        <f>I38/$U11</f>
        <v>0.95000000000000018</v>
      </c>
      <c r="S11" s="397">
        <f>K38/$U11</f>
        <v>1</v>
      </c>
      <c r="T11" s="399">
        <v>0.08</v>
      </c>
      <c r="U11" s="383">
        <f t="shared" si="0"/>
        <v>0.32</v>
      </c>
    </row>
    <row r="12" spans="2:21" ht="33" customHeight="1" x14ac:dyDescent="0.35">
      <c r="B12" s="392" t="s">
        <v>265</v>
      </c>
      <c r="C12" s="429" t="e">
        <f>_xlfn.XLOOKUP(C$2,Table9[Name],#REF!,"Not Found", 0,1)</f>
        <v>#REF!</v>
      </c>
      <c r="D12" s="430">
        <f>_xlfn.XLOOKUP(C$2,Table9[Name],Table9[Requirement for Distaster Risk Reduction &amp; Resilience Infrastructure Score],"Not Found", 0,1)</f>
        <v>4</v>
      </c>
      <c r="E12" s="429" t="e">
        <f>_xlfn.XLOOKUP(E$2,Table9[Name],#REF!,"Not Found", 0,1)</f>
        <v>#REF!</v>
      </c>
      <c r="F12" s="430">
        <f>_xlfn.XLOOKUP(E$2,Table9[Name],Table9[Requirement for Distaster Risk Reduction &amp; Resilience Infrastructure Score],"Not Found", 0,1)</f>
        <v>0</v>
      </c>
      <c r="G12" s="429" t="e">
        <f>_xlfn.XLOOKUP(G$2,Table9[Name],#REF!,"Not Found", 0,1)</f>
        <v>#REF!</v>
      </c>
      <c r="H12" s="430">
        <f>_xlfn.XLOOKUP(G$2,Table9[Name],Table9[Requirement for Distaster Risk Reduction &amp; Resilience Infrastructure Score],"Not Found", 0,1)</f>
        <v>2</v>
      </c>
      <c r="I12" s="429" t="e">
        <f>_xlfn.XLOOKUP(I$2,Table9[Name],#REF!,"Not Found", 0,1)</f>
        <v>#REF!</v>
      </c>
      <c r="J12" s="430">
        <f>_xlfn.XLOOKUP(I$2,Table9[Name],Table9[Requirement for Distaster Risk Reduction &amp; Resilience Infrastructure Score],"Not Found", 0,1)</f>
        <v>4</v>
      </c>
      <c r="K12" s="429" t="e">
        <f>_xlfn.XLOOKUP(K$2,Table9[Name],#REF!,"Not Found", 0,1)</f>
        <v>#REF!</v>
      </c>
      <c r="L12" s="430">
        <f>_xlfn.XLOOKUP(K$2,Table9[Name],Table9[Requirement for Distaster Risk Reduction &amp; Resilience Infrastructure Score],"Not Found", 0,1)</f>
        <v>4</v>
      </c>
      <c r="M12" s="65"/>
      <c r="N12" s="392" t="s">
        <v>1425</v>
      </c>
      <c r="O12" s="396">
        <f>C44/$U12</f>
        <v>0.45000000000000007</v>
      </c>
      <c r="P12" s="396">
        <f>E44/$U12</f>
        <v>0.25</v>
      </c>
      <c r="Q12" s="396">
        <f>G44/$U12</f>
        <v>0.3</v>
      </c>
      <c r="R12" s="396">
        <f>I44/$U12</f>
        <v>0.54999999999999993</v>
      </c>
      <c r="S12" s="396">
        <f>K44/$U12</f>
        <v>0.79999999999999993</v>
      </c>
      <c r="T12" s="398">
        <v>0.06</v>
      </c>
      <c r="U12" s="382">
        <f t="shared" si="0"/>
        <v>0.24</v>
      </c>
    </row>
    <row r="13" spans="2:21" ht="33" customHeight="1" x14ac:dyDescent="0.35">
      <c r="B13" s="390" t="s">
        <v>254</v>
      </c>
      <c r="C13" s="788">
        <f>_xlfn.XLOOKUP(C$2,Table9[Name],Table9[1.2. BEZA Existing plans (15% weightage)],"Not Found", 0,1)</f>
        <v>0.6</v>
      </c>
      <c r="D13" s="789"/>
      <c r="E13" s="788">
        <f>_xlfn.XLOOKUP(E$2,Table9[Name],Table9[1.2. BEZA Existing plans (15% weightage)],"Not Found", 0,1)</f>
        <v>0.6</v>
      </c>
      <c r="F13" s="789"/>
      <c r="G13" s="788">
        <f>_xlfn.XLOOKUP(G$2,Table9[Name],Table9[1.2. BEZA Existing plans (15% weightage)],"Not Found", 0,1)</f>
        <v>0.6</v>
      </c>
      <c r="H13" s="789"/>
      <c r="I13" s="788">
        <f>_xlfn.XLOOKUP(I$2,Table9[Name],Table9[1.2. BEZA Existing plans (15% weightage)],"Not Found", 0,1)</f>
        <v>0.6</v>
      </c>
      <c r="J13" s="789"/>
      <c r="K13" s="788">
        <f>_xlfn.XLOOKUP(K$2,Table9[Name],Table9[1.2. BEZA Existing plans (15% weightage)],"Not Found", 0,1)</f>
        <v>0.6</v>
      </c>
      <c r="L13" s="790"/>
      <c r="M13" s="65"/>
    </row>
    <row r="14" spans="2:21" ht="33" customHeight="1" x14ac:dyDescent="0.35">
      <c r="B14" s="391" t="s">
        <v>12</v>
      </c>
      <c r="C14" s="427" t="str">
        <f>_xlfn.XLOOKUP(C$2,Table9[Name],Table9[Zone Priority
(40%)],"Not Found", 0,1)</f>
        <v>Priority 1</v>
      </c>
      <c r="D14" s="431">
        <f>_xlfn.XLOOKUP(C$2,Table9[Name],Table9[Zone Priority Score],"Not Found", 0,1)</f>
        <v>4</v>
      </c>
      <c r="E14" s="427" t="str">
        <f>_xlfn.XLOOKUP(E$2,Table9[Name],Table9[Zone Priority
(40%)],"Not Found", 0,1)</f>
        <v>Priority 1</v>
      </c>
      <c r="F14" s="431">
        <f>_xlfn.XLOOKUP(E$2,Table9[Name],Table9[Zone Priority Score],"Not Found", 0,1)</f>
        <v>4</v>
      </c>
      <c r="G14" s="427" t="str">
        <f>_xlfn.XLOOKUP(G$2,Table9[Name],Table9[Zone Priority
(40%)],"Not Found", 0,1)</f>
        <v>Priority 1</v>
      </c>
      <c r="H14" s="431">
        <f>_xlfn.XLOOKUP(G$2,Table9[Name],Table9[Zone Priority Score],"Not Found", 0,1)</f>
        <v>4</v>
      </c>
      <c r="I14" s="427" t="str">
        <f>_xlfn.XLOOKUP(I$2,Table9[Name],Table9[Zone Priority
(40%)],"Not Found", 0,1)</f>
        <v>Priority 1</v>
      </c>
      <c r="J14" s="431">
        <f>_xlfn.XLOOKUP(I$2,Table9[Name],Table9[Zone Priority Score],"Not Found", 0,1)</f>
        <v>4</v>
      </c>
      <c r="K14" s="427" t="str">
        <f>_xlfn.XLOOKUP(K$2,Table9[Name],Table9[Zone Priority
(40%)],"Not Found", 0,1)</f>
        <v>Priority 1</v>
      </c>
      <c r="L14" s="431">
        <f>_xlfn.XLOOKUP(K$2,Table9[Name],Table9[Zone Priority Score],"Not Found", 0,1)</f>
        <v>4</v>
      </c>
      <c r="M14" s="65"/>
    </row>
    <row r="15" spans="2:21" ht="65.5" customHeight="1" x14ac:dyDescent="0.35">
      <c r="B15" s="392" t="s">
        <v>266</v>
      </c>
      <c r="C15" s="429" t="str">
        <f>_xlfn.XLOOKUP(C$2,Table9[Name],Table9[Existing BEZA Report
(60%)],"Not Found", 0,1)</f>
        <v>Pre-Feasibility/Feasibility</v>
      </c>
      <c r="D15" s="432">
        <f>_xlfn.XLOOKUP(C$2,Table9[Name],Table9[Existing BEZA Report Score],"Not Found", 0,1)</f>
        <v>4</v>
      </c>
      <c r="E15" s="429" t="str">
        <f>_xlfn.XLOOKUP(E$2,Table9[Name],Table9[Existing BEZA Report
(60%)],"Not Found", 0,1)</f>
        <v>Pre-Feasibility/Feasibility</v>
      </c>
      <c r="F15" s="432">
        <f>_xlfn.XLOOKUP(E$2,Table9[Name],Table9[Existing BEZA Report Score],"Not Found", 0,1)</f>
        <v>4</v>
      </c>
      <c r="G15" s="429" t="str">
        <f>_xlfn.XLOOKUP(G$2,Table9[Name],Table9[Existing BEZA Report
(60%)],"Not Found", 0,1)</f>
        <v>Pre-Feasibility/Feasibility</v>
      </c>
      <c r="H15" s="432">
        <f>_xlfn.XLOOKUP(G$2,Table9[Name],Table9[Existing BEZA Report Score],"Not Found", 0,1)</f>
        <v>4</v>
      </c>
      <c r="I15" s="429" t="str">
        <f>_xlfn.XLOOKUP(I$2,Table9[Name],Table9[Existing BEZA Report
(60%)],"Not Found", 0,1)</f>
        <v>Pre-Feasibility/Feasibility</v>
      </c>
      <c r="J15" s="432">
        <f>_xlfn.XLOOKUP(I$2,Table9[Name],Table9[Existing BEZA Report Score],"Not Found", 0,1)</f>
        <v>4</v>
      </c>
      <c r="K15" s="429" t="str">
        <f>_xlfn.XLOOKUP(K$2,Table9[Name],Table9[Existing BEZA Report
(60%)],"Not Found", 0,1)</f>
        <v>Pre-Feasibility/Feasibility</v>
      </c>
      <c r="L15" s="432">
        <f>_xlfn.XLOOKUP(K$2,Table9[Name],Table9[Existing BEZA Report Score],"Not Found", 0,1)</f>
        <v>4</v>
      </c>
      <c r="M15" s="65"/>
    </row>
    <row r="16" spans="2:21" ht="33" customHeight="1" x14ac:dyDescent="0.35">
      <c r="B16" s="390" t="s">
        <v>255</v>
      </c>
      <c r="C16" s="788">
        <f>_xlfn.XLOOKUP(C$2,Table9[Name],Table9[1.3. Sector Demand (15% weightage):],"Not Found", 0,1)</f>
        <v>0.3</v>
      </c>
      <c r="D16" s="789"/>
      <c r="E16" s="788">
        <f>_xlfn.XLOOKUP(E$2,Table9[Name],Table9[1.3. Sector Demand (15% weightage):],"Not Found", 0,1)</f>
        <v>0.3</v>
      </c>
      <c r="F16" s="789"/>
      <c r="G16" s="788">
        <f>_xlfn.XLOOKUP(G$2,Table9[Name],Table9[1.3. Sector Demand (15% weightage):],"Not Found", 0,1)</f>
        <v>0.15</v>
      </c>
      <c r="H16" s="789"/>
      <c r="I16" s="788">
        <f>_xlfn.XLOOKUP(I$2,Table9[Name],Table9[1.3. Sector Demand (15% weightage):],"Not Found", 0,1)</f>
        <v>0</v>
      </c>
      <c r="J16" s="789"/>
      <c r="K16" s="788">
        <f>_xlfn.XLOOKUP(K$2,Table9[Name],Table9[1.3. Sector Demand (15% weightage):],"Not Found", 0,1)</f>
        <v>0.15</v>
      </c>
      <c r="L16" s="790"/>
      <c r="M16" s="65"/>
    </row>
    <row r="17" spans="2:13" ht="33" customHeight="1" x14ac:dyDescent="0.35">
      <c r="B17" s="391" t="s">
        <v>267</v>
      </c>
      <c r="C17" s="433">
        <f>_xlfn.XLOOKUP(C$2,Table9[Name],Table9[Existing Sectors
(50%)],"Not Found", 0,1)</f>
        <v>15</v>
      </c>
      <c r="D17" s="428">
        <f>_xlfn.XLOOKUP(C$2,Table9[Name],Table9[Existing Sectors Score],"Not Found", 0,1)</f>
        <v>4</v>
      </c>
      <c r="E17" s="433">
        <f>_xlfn.XLOOKUP(E$2,Table9[Name],Table9[Existing Sectors
(50%)],"Not Found", 0,1)</f>
        <v>19</v>
      </c>
      <c r="F17" s="428">
        <f>_xlfn.XLOOKUP(E$2,Table9[Name],Table9[Existing Sectors Score],"Not Found", 0,1)</f>
        <v>4</v>
      </c>
      <c r="G17" s="433">
        <f>_xlfn.XLOOKUP(G$2,Table9[Name],Table9[Existing Sectors
(50%)],"Not Found", 0,1)</f>
        <v>0</v>
      </c>
      <c r="H17" s="428">
        <f>_xlfn.XLOOKUP(G$2,Table9[Name],Table9[Existing Sectors Score],"Not Found", 0,1)</f>
        <v>0</v>
      </c>
      <c r="I17" s="433">
        <f>_xlfn.XLOOKUP(I$2,Table9[Name],Table9[Existing Sectors
(50%)],"Not Found", 0,1)</f>
        <v>1</v>
      </c>
      <c r="J17" s="428">
        <f>_xlfn.XLOOKUP(I$2,Table9[Name],Table9[Existing Sectors Score],"Not Found", 0,1)</f>
        <v>0</v>
      </c>
      <c r="K17" s="433">
        <f>_xlfn.XLOOKUP(K$2,Table9[Name],Table9[Existing Sectors
(50%)],"Not Found", 0,1)</f>
        <v>5</v>
      </c>
      <c r="L17" s="428">
        <f>_xlfn.XLOOKUP(K$2,Table9[Name],Table9[Existing Sectors Score],"Not Found", 0,1)</f>
        <v>2</v>
      </c>
      <c r="M17" s="65"/>
    </row>
    <row r="18" spans="2:13" ht="33" customHeight="1" x14ac:dyDescent="0.35">
      <c r="B18" s="392" t="s">
        <v>268</v>
      </c>
      <c r="C18" s="434">
        <f>_xlfn.XLOOKUP(C$2,Table9[Name],Table9[Potential New Sectors Score],"Not Found", 0,1)</f>
        <v>0</v>
      </c>
      <c r="D18" s="430">
        <f>_xlfn.XLOOKUP(C$2,Table9[Name],Table9[Potential New Sectors Score],"Not Found", 0,1)</f>
        <v>0</v>
      </c>
      <c r="E18" s="434">
        <f>_xlfn.XLOOKUP(E$2,Table9[Name],Table9[Potential New Sectors Score],"Not Found", 0,1)</f>
        <v>0</v>
      </c>
      <c r="F18" s="430">
        <f>_xlfn.XLOOKUP(E$2,Table9[Name],Table9[Potential New Sectors Score],"Not Found", 0,1)</f>
        <v>0</v>
      </c>
      <c r="G18" s="434">
        <f>_xlfn.XLOOKUP(G$2,Table9[Name],Table9[Potential New Sectors Score],"Not Found", 0,1)</f>
        <v>2</v>
      </c>
      <c r="H18" s="430">
        <f>_xlfn.XLOOKUP(G$2,Table9[Name],Table9[Potential New Sectors Score],"Not Found", 0,1)</f>
        <v>2</v>
      </c>
      <c r="I18" s="434">
        <f>_xlfn.XLOOKUP(I$2,Table9[Name],Table9[Potential New Sectors Score],"Not Found", 0,1)</f>
        <v>0</v>
      </c>
      <c r="J18" s="430">
        <f>_xlfn.XLOOKUP(I$2,Table9[Name],Table9[Potential New Sectors Score],"Not Found", 0,1)</f>
        <v>0</v>
      </c>
      <c r="K18" s="434">
        <f>_xlfn.XLOOKUP(K$2,Table9[Name],Table9[Potential New Sectors Score],"Not Found", 0,1)</f>
        <v>0</v>
      </c>
      <c r="L18" s="430">
        <f>_xlfn.XLOOKUP(K$2,Table9[Name],Table9[Potential New Sectors Score],"Not Found", 0,1)</f>
        <v>0</v>
      </c>
      <c r="M18" s="65"/>
    </row>
    <row r="19" spans="2:13" ht="33" customHeight="1" x14ac:dyDescent="0.35">
      <c r="B19" s="390" t="s">
        <v>256</v>
      </c>
      <c r="C19" s="788">
        <f>_xlfn.XLOOKUP(C$2,Table9[Name],Table9[2.1. Connectivity/ Logistics (10% weightage)],"Not Found", 0,1)</f>
        <v>0.33999999999999997</v>
      </c>
      <c r="D19" s="789"/>
      <c r="E19" s="788">
        <f>_xlfn.XLOOKUP(E$2,Table9[Name],Table9[2.1. Connectivity/ Logistics (10% weightage)],"Not Found", 0,1)</f>
        <v>0.4</v>
      </c>
      <c r="F19" s="789"/>
      <c r="G19" s="788">
        <f>_xlfn.XLOOKUP(G$2,Table9[Name],Table9[2.1. Connectivity/ Logistics (10% weightage)],"Not Found", 0,1)</f>
        <v>0.36</v>
      </c>
      <c r="H19" s="789"/>
      <c r="I19" s="788">
        <f>_xlfn.XLOOKUP(I$2,Table9[Name],Table9[2.1. Connectivity/ Logistics (10% weightage)],"Not Found", 0,1)</f>
        <v>0.34</v>
      </c>
      <c r="J19" s="789"/>
      <c r="K19" s="788">
        <f>_xlfn.XLOOKUP(K$2,Table9[Name],Table9[2.1. Connectivity/ Logistics (10% weightage)],"Not Found", 0,1)</f>
        <v>0.2</v>
      </c>
      <c r="L19" s="790"/>
      <c r="M19" s="65"/>
    </row>
    <row r="20" spans="2:13" ht="33" customHeight="1" x14ac:dyDescent="0.35">
      <c r="B20" s="391" t="s">
        <v>269</v>
      </c>
      <c r="C20" s="433">
        <f>_xlfn.XLOOKUP(C$2,Table9[Name],Table9[National Highway Connectivity (km)
(15%)],"Not Found", 0,1)</f>
        <v>13</v>
      </c>
      <c r="D20" s="428">
        <f>_xlfn.XLOOKUP(C$2,Table9[Name],Table9[National Highway Connectivity Score],"Not Found", 0,1)</f>
        <v>4</v>
      </c>
      <c r="E20" s="433">
        <f>_xlfn.XLOOKUP(E$2,Table9[Name],Table9[National Highway Connectivity (km)
(15%)],"Not Found", 0,1)</f>
        <v>23</v>
      </c>
      <c r="F20" s="428">
        <f>_xlfn.XLOOKUP(E$2,Table9[Name],Table9[National Highway Connectivity Score],"Not Found", 0,1)</f>
        <v>4</v>
      </c>
      <c r="G20" s="433">
        <f>_xlfn.XLOOKUP(G$2,Table9[Name],Table9[National Highway Connectivity (km)
(15%)],"Not Found", 0,1)</f>
        <v>24</v>
      </c>
      <c r="H20" s="428">
        <f>_xlfn.XLOOKUP(G$2,Table9[Name],Table9[National Highway Connectivity Score],"Not Found", 0,1)</f>
        <v>4</v>
      </c>
      <c r="I20" s="433">
        <f>_xlfn.XLOOKUP(I$2,Table9[Name],Table9[National Highway Connectivity (km)
(15%)],"Not Found", 0,1)</f>
        <v>1</v>
      </c>
      <c r="J20" s="428">
        <f>_xlfn.XLOOKUP(I$2,Table9[Name],Table9[National Highway Connectivity Score],"Not Found", 0,1)</f>
        <v>4</v>
      </c>
      <c r="K20" s="433">
        <f>_xlfn.XLOOKUP(K$2,Table9[Name],Table9[National Highway Connectivity (km)
(15%)],"Not Found", 0,1)</f>
        <v>23</v>
      </c>
      <c r="L20" s="428">
        <f>_xlfn.XLOOKUP(K$2,Table9[Name],Table9[National Highway Connectivity Score],"Not Found", 0,1)</f>
        <v>4</v>
      </c>
      <c r="M20" s="65"/>
    </row>
    <row r="21" spans="2:13" ht="33" customHeight="1" x14ac:dyDescent="0.35">
      <c r="B21" s="392" t="s">
        <v>270</v>
      </c>
      <c r="C21" s="434" t="str">
        <f>_xlfn.XLOOKUP(C$2,Table9[Name],Table9[Connecting Road to Highway (km)
(15%)],"Not Found", 0,1)</f>
        <v>Yes</v>
      </c>
      <c r="D21" s="430">
        <f>_xlfn.XLOOKUP(C$2,Table9[Name],Table9[Connecting Road to Highway Score],"Not Found", 0,1)</f>
        <v>4</v>
      </c>
      <c r="E21" s="434" t="str">
        <f>_xlfn.XLOOKUP(E$2,Table9[Name],Table9[Connecting Road to Highway (km)
(15%)],"Not Found", 0,1)</f>
        <v>Yes</v>
      </c>
      <c r="F21" s="430">
        <f>_xlfn.XLOOKUP(E$2,Table9[Name],Table9[Connecting Road to Highway Score],"Not Found", 0,1)</f>
        <v>4</v>
      </c>
      <c r="G21" s="434" t="str">
        <f>_xlfn.XLOOKUP(G$2,Table9[Name],Table9[Connecting Road to Highway (km)
(15%)],"Not Found", 0,1)</f>
        <v>Yes</v>
      </c>
      <c r="H21" s="430">
        <f>_xlfn.XLOOKUP(G$2,Table9[Name],Table9[Connecting Road to Highway Score],"Not Found", 0,1)</f>
        <v>4</v>
      </c>
      <c r="I21" s="434" t="str">
        <f>_xlfn.XLOOKUP(I$2,Table9[Name],Table9[Connecting Road to Highway (km)
(15%)],"Not Found", 0,1)</f>
        <v>Yes</v>
      </c>
      <c r="J21" s="430">
        <f>_xlfn.XLOOKUP(I$2,Table9[Name],Table9[Connecting Road to Highway Score],"Not Found", 0,1)</f>
        <v>4</v>
      </c>
      <c r="K21" s="434" t="str">
        <f>_xlfn.XLOOKUP(K$2,Table9[Name],Table9[Connecting Road to Highway (km)
(15%)],"Not Found", 0,1)</f>
        <v>Yes</v>
      </c>
      <c r="L21" s="430">
        <f>_xlfn.XLOOKUP(K$2,Table9[Name],Table9[Connecting Road to Highway Score],"Not Found", 0,1)</f>
        <v>4</v>
      </c>
      <c r="M21" s="65"/>
    </row>
    <row r="22" spans="2:13" ht="33" customHeight="1" x14ac:dyDescent="0.35">
      <c r="B22" s="391" t="s">
        <v>271</v>
      </c>
      <c r="C22" s="433">
        <f>_xlfn.XLOOKUP(C$2,Table9[Name],Table9[Seaport Connectivity (km)
(30%)],"Not Found", 0,1)</f>
        <v>256</v>
      </c>
      <c r="D22" s="428">
        <f>_xlfn.XLOOKUP(C$2,Table9[Name],Table9[Seaport Connectivity Score],"Not Found", 0,1)</f>
        <v>2</v>
      </c>
      <c r="E22" s="433">
        <f>_xlfn.XLOOKUP(E$2,Table9[Name],Table9[Seaport Connectivity (km)
(30%)],"Not Found", 0,1)</f>
        <v>39</v>
      </c>
      <c r="F22" s="428">
        <f>_xlfn.XLOOKUP(E$2,Table9[Name],Table9[Seaport Connectivity Score],"Not Found", 0,1)</f>
        <v>4</v>
      </c>
      <c r="G22" s="433">
        <f>_xlfn.XLOOKUP(G$2,Table9[Name],Table9[Seaport Connectivity (km)
(30%)],"Not Found", 0,1)</f>
        <v>96</v>
      </c>
      <c r="H22" s="428">
        <f>_xlfn.XLOOKUP(G$2,Table9[Name],Table9[Seaport Connectivity Score],"Not Found", 0,1)</f>
        <v>4</v>
      </c>
      <c r="I22" s="433">
        <f>_xlfn.XLOOKUP(I$2,Table9[Name],Table9[Seaport Connectivity (km)
(30%)],"Not Found", 0,1)</f>
        <v>110</v>
      </c>
      <c r="J22" s="428">
        <f>_xlfn.XLOOKUP(I$2,Table9[Name],Table9[Seaport Connectivity Score],"Not Found", 0,1)</f>
        <v>4</v>
      </c>
      <c r="K22" s="433">
        <f>_xlfn.XLOOKUP(K$2,Table9[Name],Table9[Seaport Connectivity (km)
(30%)],"Not Found", 0,1)</f>
        <v>435</v>
      </c>
      <c r="L22" s="428">
        <f>_xlfn.XLOOKUP(K$2,Table9[Name],Table9[Seaport Connectivity Score],"Not Found", 0,1)</f>
        <v>0</v>
      </c>
      <c r="M22" s="65"/>
    </row>
    <row r="23" spans="2:13" ht="33" customHeight="1" x14ac:dyDescent="0.35">
      <c r="B23" s="392" t="s">
        <v>272</v>
      </c>
      <c r="C23" s="434">
        <f>_xlfn.XLOOKUP(C$2,Table9[Name],Table9[Airport Connectivity (km)
(10%)],"Not Found", 0,1)</f>
        <v>39</v>
      </c>
      <c r="D23" s="430">
        <f>_xlfn.XLOOKUP(C$2,Table9[Name],Table9[Airport Connectivity Score],"Not Found", 0,1)</f>
        <v>4</v>
      </c>
      <c r="E23" s="434">
        <f>_xlfn.XLOOKUP(E$2,Table9[Name],Table9[Airport Connectivity (km)
(10%)],"Not Found", 0,1)</f>
        <v>46</v>
      </c>
      <c r="F23" s="430">
        <f>_xlfn.XLOOKUP(E$2,Table9[Name],Table9[Airport Connectivity Score],"Not Found", 0,1)</f>
        <v>4</v>
      </c>
      <c r="G23" s="434">
        <f>_xlfn.XLOOKUP(G$2,Table9[Name],Table9[Airport Connectivity (km)
(10%)],"Not Found", 0,1)</f>
        <v>65</v>
      </c>
      <c r="H23" s="430">
        <f>_xlfn.XLOOKUP(G$2,Table9[Name],Table9[Airport Connectivity Score],"Not Found", 0,1)</f>
        <v>4</v>
      </c>
      <c r="I23" s="434">
        <f>_xlfn.XLOOKUP(I$2,Table9[Name],Table9[Airport Connectivity (km)
(10%)],"Not Found", 0,1)</f>
        <v>120</v>
      </c>
      <c r="J23" s="430">
        <f>_xlfn.XLOOKUP(I$2,Table9[Name],Table9[Airport Connectivity Score],"Not Found", 0,1)</f>
        <v>2</v>
      </c>
      <c r="K23" s="434">
        <f>_xlfn.XLOOKUP(K$2,Table9[Name],Table9[Airport Connectivity (km)
(10%)],"Not Found", 0,1)</f>
        <v>55</v>
      </c>
      <c r="L23" s="430">
        <f>_xlfn.XLOOKUP(K$2,Table9[Name],Table9[Airport Connectivity Score],"Not Found", 0,1)</f>
        <v>4</v>
      </c>
      <c r="M23" s="65"/>
    </row>
    <row r="24" spans="2:13" ht="33" customHeight="1" x14ac:dyDescent="0.35">
      <c r="B24" s="391" t="s">
        <v>273</v>
      </c>
      <c r="C24" s="433">
        <f>_xlfn.XLOOKUP(C$2,Table9[Name],Table9[Railway Station (km)
(10%)],"Not Found", 0,1)</f>
        <v>23</v>
      </c>
      <c r="D24" s="428">
        <f>_xlfn.XLOOKUP(C$2,Table9[Name],Table9[Railway Station Score],"Not Found", 0,1)</f>
        <v>4</v>
      </c>
      <c r="E24" s="433">
        <f>_xlfn.XLOOKUP(E$2,Table9[Name],Table9[Railway Station (km)
(10%)],"Not Found", 0,1)</f>
        <v>32</v>
      </c>
      <c r="F24" s="428">
        <f>_xlfn.XLOOKUP(E$2,Table9[Name],Table9[Railway Station Score],"Not Found", 0,1)</f>
        <v>4</v>
      </c>
      <c r="G24" s="433">
        <f>_xlfn.XLOOKUP(G$2,Table9[Name],Table9[Railway Station (km)
(10%)],"Not Found", 0,1)</f>
        <v>25</v>
      </c>
      <c r="H24" s="428">
        <f>_xlfn.XLOOKUP(G$2,Table9[Name],Table9[Railway Station Score],"Not Found", 0,1)</f>
        <v>4</v>
      </c>
      <c r="I24" s="433">
        <f>_xlfn.XLOOKUP(I$2,Table9[Name],Table9[Railway Station (km)
(10%)],"Not Found", 0,1)</f>
        <v>7</v>
      </c>
      <c r="J24" s="428">
        <f>_xlfn.XLOOKUP(I$2,Table9[Name],Table9[Railway Station Score],"Not Found", 0,1)</f>
        <v>4</v>
      </c>
      <c r="K24" s="433">
        <f>_xlfn.XLOOKUP(K$2,Table9[Name],Table9[Railway Station (km)
(10%)],"Not Found", 0,1)</f>
        <v>43</v>
      </c>
      <c r="L24" s="428">
        <f>_xlfn.XLOOKUP(K$2,Table9[Name],Table9[Railway Station Score],"Not Found", 0,1)</f>
        <v>4</v>
      </c>
      <c r="M24" s="65"/>
    </row>
    <row r="25" spans="2:13" ht="33" customHeight="1" x14ac:dyDescent="0.35">
      <c r="B25" s="392" t="s">
        <v>274</v>
      </c>
      <c r="C25" s="434">
        <f>_xlfn.XLOOKUP(C$2,Table9[Name],Table9[Inland waterway/ Land port (km)
(20%)],"Not Found", 0,1)</f>
        <v>38</v>
      </c>
      <c r="D25" s="430">
        <f>_xlfn.XLOOKUP(C$2,Table9[Name],Table9[Inland waterway/ Land port Score],"Not Found", 0,1)</f>
        <v>4</v>
      </c>
      <c r="E25" s="434">
        <f>_xlfn.XLOOKUP(E$2,Table9[Name],Table9[Inland waterway/ Land port (km)
(20%)],"Not Found", 0,1)</f>
        <v>39</v>
      </c>
      <c r="F25" s="430">
        <f>_xlfn.XLOOKUP(E$2,Table9[Name],Table9[Inland waterway/ Land port Score],"Not Found", 0,1)</f>
        <v>4</v>
      </c>
      <c r="G25" s="434">
        <f>_xlfn.XLOOKUP(G$2,Table9[Name],Table9[Inland waterway/ Land port (km)
(20%)],"Not Found", 0,1)</f>
        <v>170</v>
      </c>
      <c r="H25" s="430">
        <f>_xlfn.XLOOKUP(G$2,Table9[Name],Table9[Inland waterway/ Land port Score],"Not Found", 0,1)</f>
        <v>2</v>
      </c>
      <c r="I25" s="434">
        <f>_xlfn.XLOOKUP(I$2,Table9[Name],Table9[Inland waterway/ Land port (km)
(20%)],"Not Found", 0,1)</f>
        <v>100</v>
      </c>
      <c r="J25" s="430">
        <f>_xlfn.XLOOKUP(I$2,Table9[Name],Table9[Inland waterway/ Land port Score],"Not Found", 0,1)</f>
        <v>2</v>
      </c>
      <c r="K25" s="434">
        <f>_xlfn.XLOOKUP(K$2,Table9[Name],Table9[Inland waterway/ Land port (km)
(20%)],"Not Found", 0,1)</f>
        <v>208</v>
      </c>
      <c r="L25" s="430">
        <f>_xlfn.XLOOKUP(K$2,Table9[Name],Table9[Inland waterway/ Land port Score],"Not Found", 0,1)</f>
        <v>0</v>
      </c>
      <c r="M25" s="65"/>
    </row>
    <row r="26" spans="2:13" ht="33" customHeight="1" x14ac:dyDescent="0.35">
      <c r="B26" s="390" t="s">
        <v>257</v>
      </c>
      <c r="C26" s="788">
        <f>_xlfn.XLOOKUP(C$2,Table9[Name],Table9[2.2. Utility (12% weightage)],"Not Found", 0,1)</f>
        <v>0.48</v>
      </c>
      <c r="D26" s="789"/>
      <c r="E26" s="788">
        <f>_xlfn.XLOOKUP(E$2,Table9[Name],Table9[2.2. Utility (12% weightage)],"Not Found", 0,1)</f>
        <v>0.28800000000000003</v>
      </c>
      <c r="F26" s="789"/>
      <c r="G26" s="788">
        <f>_xlfn.XLOOKUP(G$2,Table9[Name],Table9[2.2. Utility (12% weightage)],"Not Found", 0,1)</f>
        <v>0.38400000000000001</v>
      </c>
      <c r="H26" s="789"/>
      <c r="I26" s="788">
        <f>_xlfn.XLOOKUP(I$2,Table9[Name],Table9[2.2. Utility (12% weightage)],"Not Found", 0,1)</f>
        <v>0.48</v>
      </c>
      <c r="J26" s="789"/>
      <c r="K26" s="788">
        <f>_xlfn.XLOOKUP(K$2,Table9[Name],Table9[2.2. Utility (12% weightage)],"Not Found", 0,1)</f>
        <v>0.48</v>
      </c>
      <c r="L26" s="790"/>
      <c r="M26" s="65"/>
    </row>
    <row r="27" spans="2:13" ht="33" customHeight="1" x14ac:dyDescent="0.35">
      <c r="B27" s="393" t="s">
        <v>275</v>
      </c>
      <c r="C27" s="433">
        <f>_xlfn.XLOOKUP(C$2,Table9[Name],Table9[Power Station (40%)],"Not Found", 0,1)</f>
        <v>6</v>
      </c>
      <c r="D27" s="428">
        <f>_xlfn.XLOOKUP(C$2,Table9[Name],Table9[Seaport Connectivity Score],"Not Found", 0,1)</f>
        <v>2</v>
      </c>
      <c r="E27" s="433">
        <f>_xlfn.XLOOKUP(E$2,Table9[Name],Table9[Power Station (40%)],"Not Found", 0,1)</f>
        <v>10</v>
      </c>
      <c r="F27" s="428">
        <f>_xlfn.XLOOKUP(E$2,Table9[Name],Table9[Seaport Connectivity Score],"Not Found", 0,1)</f>
        <v>4</v>
      </c>
      <c r="G27" s="433">
        <f>_xlfn.XLOOKUP(G$2,Table9[Name],Table9[Power Station (40%)],"Not Found", 0,1)</f>
        <v>4</v>
      </c>
      <c r="H27" s="428">
        <f>_xlfn.XLOOKUP(G$2,Table9[Name],Table9[Seaport Connectivity Score],"Not Found", 0,1)</f>
        <v>4</v>
      </c>
      <c r="I27" s="433">
        <f>_xlfn.XLOOKUP(I$2,Table9[Name],Table9[Power Station (40%)],"Not Found", 0,1)</f>
        <v>2</v>
      </c>
      <c r="J27" s="428">
        <f>_xlfn.XLOOKUP(I$2,Table9[Name],Table9[Seaport Connectivity Score],"Not Found", 0,1)</f>
        <v>4</v>
      </c>
      <c r="K27" s="433">
        <f>_xlfn.XLOOKUP(K$2,Table9[Name],Table9[Power Station (40%)],"Not Found", 0,1)</f>
        <v>5</v>
      </c>
      <c r="L27" s="428">
        <f>_xlfn.XLOOKUP(K$2,Table9[Name],Table9[Seaport Connectivity Score],"Not Found", 0,1)</f>
        <v>0</v>
      </c>
      <c r="M27" s="65"/>
    </row>
    <row r="28" spans="2:13" ht="33" customHeight="1" x14ac:dyDescent="0.35">
      <c r="B28" s="400" t="s">
        <v>276</v>
      </c>
      <c r="C28" s="434">
        <f>_xlfn.XLOOKUP(C$2,Table9[Name],Table9[Gas Station (20%)],"Not Found", 0,1)</f>
        <v>4</v>
      </c>
      <c r="D28" s="430">
        <f>_xlfn.XLOOKUP(C$2,Table9[Name],Table9[Gas Station Score],"Not Found", 0,1)</f>
        <v>4</v>
      </c>
      <c r="E28" s="434">
        <f>_xlfn.XLOOKUP(E$2,Table9[Name],Table9[Gas Station (20%)],"Not Found", 0,1)</f>
        <v>2</v>
      </c>
      <c r="F28" s="430">
        <f>_xlfn.XLOOKUP(E$2,Table9[Name],Table9[Gas Station Score],"Not Found", 0,1)</f>
        <v>4</v>
      </c>
      <c r="G28" s="434">
        <f>_xlfn.XLOOKUP(G$2,Table9[Name],Table9[Gas Station (20%)],"Not Found", 0,1)</f>
        <v>123</v>
      </c>
      <c r="H28" s="430">
        <f>_xlfn.XLOOKUP(G$2,Table9[Name],Table9[Gas Station Score],"Not Found", 0,1)</f>
        <v>0</v>
      </c>
      <c r="I28" s="434">
        <f>_xlfn.XLOOKUP(I$2,Table9[Name],Table9[Gas Station (20%)],"Not Found", 0,1)</f>
        <v>9.4</v>
      </c>
      <c r="J28" s="430">
        <f>_xlfn.XLOOKUP(I$2,Table9[Name],Table9[Gas Station Score],"Not Found", 0,1)</f>
        <v>4</v>
      </c>
      <c r="K28" s="434">
        <f>_xlfn.XLOOKUP(K$2,Table9[Name],Table9[Gas Station (20%)],"Not Found", 0,1)</f>
        <v>6</v>
      </c>
      <c r="L28" s="430">
        <f>_xlfn.XLOOKUP(K$2,Table9[Name],Table9[Gas Station Score],"Not Found", 0,1)</f>
        <v>4</v>
      </c>
      <c r="M28" s="65"/>
    </row>
    <row r="29" spans="2:13" ht="33" customHeight="1" x14ac:dyDescent="0.35">
      <c r="B29" s="393" t="s">
        <v>277</v>
      </c>
      <c r="C29" s="433">
        <f>_xlfn.XLOOKUP(C$2,Table9[Name],Table9[Source of Surface Water (40%)],"Not Found", 0,1)</f>
        <v>10</v>
      </c>
      <c r="D29" s="428">
        <f>_xlfn.XLOOKUP(C$2,Table9[Name],Table9[Source of Surface Water Score],"Not Found", 0,1)</f>
        <v>4</v>
      </c>
      <c r="E29" s="433" t="str">
        <f>_xlfn.XLOOKUP(E$2,Table9[Name],Table9[Source of Surface Water (40%)],"Not Found", 0,1)</f>
        <v>Not Available</v>
      </c>
      <c r="F29" s="428">
        <f>_xlfn.XLOOKUP(E$2,Table9[Name],Table9[Source of Surface Water Score],"Not Found", 0,1)</f>
        <v>0</v>
      </c>
      <c r="G29" s="433">
        <f>_xlfn.XLOOKUP(G$2,Table9[Name],Table9[Source of Surface Water (40%)],"Not Found", 0,1)</f>
        <v>1</v>
      </c>
      <c r="H29" s="428">
        <f>_xlfn.XLOOKUP(G$2,Table9[Name],Table9[Source of Surface Water Score],"Not Found", 0,1)</f>
        <v>4</v>
      </c>
      <c r="I29" s="433">
        <f>_xlfn.XLOOKUP(I$2,Table9[Name],Table9[Source of Surface Water (40%)],"Not Found", 0,1)</f>
        <v>0</v>
      </c>
      <c r="J29" s="428">
        <f>_xlfn.XLOOKUP(I$2,Table9[Name],Table9[Source of Surface Water Score],"Not Found", 0,1)</f>
        <v>4</v>
      </c>
      <c r="K29" s="433">
        <f>_xlfn.XLOOKUP(K$2,Table9[Name],Table9[Source of Surface Water (40%)],"Not Found", 0,1)</f>
        <v>1</v>
      </c>
      <c r="L29" s="428">
        <f>_xlfn.XLOOKUP(K$2,Table9[Name],Table9[Source of Surface Water Score],"Not Found", 0,1)</f>
        <v>4</v>
      </c>
      <c r="M29" s="65"/>
    </row>
    <row r="30" spans="2:13" ht="33" customHeight="1" x14ac:dyDescent="0.35">
      <c r="B30" s="390" t="s">
        <v>278</v>
      </c>
      <c r="C30" s="788">
        <f>_xlfn.XLOOKUP(C$2,Table9[Name],Table9[2.3. Agglomeration effects (10% weightage)],"Not Found", 0,1)</f>
        <v>0.4</v>
      </c>
      <c r="D30" s="789"/>
      <c r="E30" s="788">
        <f>_xlfn.XLOOKUP(E$2,Table9[Name],Table9[2.3. Agglomeration effects (10% weightage)],"Not Found", 0,1)</f>
        <v>0.4</v>
      </c>
      <c r="F30" s="789"/>
      <c r="G30" s="788">
        <f>_xlfn.XLOOKUP(G$2,Table9[Name],Table9[2.3. Agglomeration effects (10% weightage)],"Not Found", 0,1)</f>
        <v>0.32000000000000006</v>
      </c>
      <c r="H30" s="789"/>
      <c r="I30" s="788">
        <f>_xlfn.XLOOKUP(I$2,Table9[Name],Table9[2.3. Agglomeration effects (10% weightage)],"Not Found", 0,1)</f>
        <v>0.28000000000000003</v>
      </c>
      <c r="J30" s="789"/>
      <c r="K30" s="788">
        <f>_xlfn.XLOOKUP(K$2,Table9[Name],Table9[2.3. Agglomeration effects (10% weightage)],"Not Found", 0,1)</f>
        <v>0.28000000000000003</v>
      </c>
      <c r="L30" s="790"/>
      <c r="M30" s="65"/>
    </row>
    <row r="31" spans="2:13" ht="33" customHeight="1" x14ac:dyDescent="0.35">
      <c r="B31" s="392" t="s">
        <v>279</v>
      </c>
      <c r="C31" s="429" t="str">
        <f>_xlfn.XLOOKUP(C$2,Table9[Name],Table9[Other BEZA EZ (20%)],"Not Found", 0,1)</f>
        <v>Yes</v>
      </c>
      <c r="D31" s="430">
        <f>_xlfn.XLOOKUP(C$2,Table9[Name],Table9[Other BEZA EZ Score],"Not Found", 0,1)</f>
        <v>4</v>
      </c>
      <c r="E31" s="429" t="str">
        <f>_xlfn.XLOOKUP(E$2,Table9[Name],Table9[Other BEZA EZ (20%)],"Not Found", 0,1)</f>
        <v>Yes</v>
      </c>
      <c r="F31" s="430">
        <f>_xlfn.XLOOKUP(E$2,Table9[Name],Table9[Other BEZA EZ Score],"Not Found", 0,1)</f>
        <v>4</v>
      </c>
      <c r="G31" s="429" t="str">
        <f>_xlfn.XLOOKUP(G$2,Table9[Name],Table9[Other BEZA EZ (20%)],"Not Found", 0,1)</f>
        <v>Yes</v>
      </c>
      <c r="H31" s="430">
        <f>_xlfn.XLOOKUP(G$2,Table9[Name],Table9[Other BEZA EZ Score],"Not Found", 0,1)</f>
        <v>4</v>
      </c>
      <c r="I31" s="429" t="str">
        <f>_xlfn.XLOOKUP(I$2,Table9[Name],Table9[Other BEZA EZ (20%)],"Not Found", 0,1)</f>
        <v>No</v>
      </c>
      <c r="J31" s="430">
        <f>_xlfn.XLOOKUP(I$2,Table9[Name],Table9[Other BEZA EZ Score],"Not Found", 0,1)</f>
        <v>0</v>
      </c>
      <c r="K31" s="429" t="str">
        <f>_xlfn.XLOOKUP(K$2,Table9[Name],Table9[Other BEZA EZ (20%)],"Not Found", 0,1)</f>
        <v>No</v>
      </c>
      <c r="L31" s="430">
        <f>_xlfn.XLOOKUP(K$2,Table9[Name],Table9[Other BEZA EZ Score],"Not Found", 0,1)</f>
        <v>0</v>
      </c>
      <c r="M31" s="65"/>
    </row>
    <row r="32" spans="2:13" ht="33" customHeight="1" x14ac:dyDescent="0.35">
      <c r="B32" s="391" t="s">
        <v>280</v>
      </c>
      <c r="C32" s="427" t="str">
        <f>_xlfn.XLOOKUP(C$2,Table9[Name],Table9[BEPZA/ BHPTA/ BSCIC (20%)],"Not Found", 0,1)</f>
        <v>Yes</v>
      </c>
      <c r="D32" s="428">
        <f>_xlfn.XLOOKUP(C$2,Table9[Name],Table9[BEPZA/ BHPTA/ BSCIC Score],"Not Found", 0,1)</f>
        <v>4</v>
      </c>
      <c r="E32" s="427" t="str">
        <f>_xlfn.XLOOKUP(E$2,Table9[Name],Table9[BEPZA/ BHPTA/ BSCIC (20%)],"Not Found", 0,1)</f>
        <v>Yes</v>
      </c>
      <c r="F32" s="428">
        <f>_xlfn.XLOOKUP(E$2,Table9[Name],Table9[BEPZA/ BHPTA/ BSCIC Score],"Not Found", 0,1)</f>
        <v>4</v>
      </c>
      <c r="G32" s="427" t="str">
        <f>_xlfn.XLOOKUP(G$2,Table9[Name],Table9[BEPZA/ BHPTA/ BSCIC (20%)],"Not Found", 0,1)</f>
        <v>Yes</v>
      </c>
      <c r="H32" s="428">
        <f>_xlfn.XLOOKUP(G$2,Table9[Name],Table9[BEPZA/ BHPTA/ BSCIC Score],"Not Found", 0,1)</f>
        <v>4</v>
      </c>
      <c r="I32" s="427" t="str">
        <f>_xlfn.XLOOKUP(I$2,Table9[Name],Table9[BEPZA/ BHPTA/ BSCIC (20%)],"Not Found", 0,1)</f>
        <v>Yes</v>
      </c>
      <c r="J32" s="428">
        <f>_xlfn.XLOOKUP(I$2,Table9[Name],Table9[BEPZA/ BHPTA/ BSCIC Score],"Not Found", 0,1)</f>
        <v>4</v>
      </c>
      <c r="K32" s="427" t="str">
        <f>_xlfn.XLOOKUP(K$2,Table9[Name],Table9[BEPZA/ BHPTA/ BSCIC (20%)],"Not Found", 0,1)</f>
        <v>Yes</v>
      </c>
      <c r="L32" s="428">
        <f>_xlfn.XLOOKUP(K$2,Table9[Name],Table9[BEPZA/ BHPTA/ BSCIC Score],"Not Found", 0,1)</f>
        <v>4</v>
      </c>
      <c r="M32" s="65"/>
    </row>
    <row r="33" spans="2:13" ht="33" customHeight="1" x14ac:dyDescent="0.35">
      <c r="B33" s="392" t="s">
        <v>281</v>
      </c>
      <c r="C33" s="429">
        <f>_xlfn.XLOOKUP(C$2,Table9[Name],Table9[Cluster Industries (from SMI) (20%)],"Not Found", 0,1)</f>
        <v>1718</v>
      </c>
      <c r="D33" s="430">
        <f>_xlfn.XLOOKUP(C$2,Table9[Name],Table9[Cluster Industries (from SMI) Score],"Not Found", 0,1)</f>
        <v>4</v>
      </c>
      <c r="E33" s="429">
        <f>_xlfn.XLOOKUP(E$2,Table9[Name],Table9[Cluster Industries (from SMI) (20%)],"Not Found", 0,1)</f>
        <v>568</v>
      </c>
      <c r="F33" s="430">
        <f>_xlfn.XLOOKUP(E$2,Table9[Name],Table9[Cluster Industries (from SMI) Score],"Not Found", 0,1)</f>
        <v>4</v>
      </c>
      <c r="G33" s="429">
        <f>_xlfn.XLOOKUP(G$2,Table9[Name],Table9[Cluster Industries (from SMI) (20%)],"Not Found", 0,1)</f>
        <v>17</v>
      </c>
      <c r="H33" s="430">
        <f>_xlfn.XLOOKUP(G$2,Table9[Name],Table9[Cluster Industries (from SMI) Score],"Not Found", 0,1)</f>
        <v>0</v>
      </c>
      <c r="I33" s="429">
        <f>_xlfn.XLOOKUP(I$2,Table9[Name],Table9[Cluster Industries (from SMI) (20%)],"Not Found", 0,1)</f>
        <v>99</v>
      </c>
      <c r="J33" s="430">
        <f>_xlfn.XLOOKUP(I$2,Table9[Name],Table9[Cluster Industries (from SMI) Score],"Not Found", 0,1)</f>
        <v>2</v>
      </c>
      <c r="K33" s="429">
        <f>_xlfn.XLOOKUP(K$2,Table9[Name],Table9[Cluster Industries (from SMI) (20%)],"Not Found", 0,1)</f>
        <v>72</v>
      </c>
      <c r="L33" s="430">
        <f>_xlfn.XLOOKUP(K$2,Table9[Name],Table9[Cluster Industries (from SMI) Score],"Not Found", 0,1)</f>
        <v>2</v>
      </c>
      <c r="M33" s="65"/>
    </row>
    <row r="34" spans="2:13" ht="33" customHeight="1" x14ac:dyDescent="0.35">
      <c r="B34" s="391" t="s">
        <v>282</v>
      </c>
      <c r="C34" s="427" t="str">
        <f>_xlfn.XLOOKUP(C$2,Table9[Name],Table9[Located on Industrial corridor (40%)],"Not Found", 0,1)</f>
        <v>Yes</v>
      </c>
      <c r="D34" s="428">
        <f>_xlfn.XLOOKUP(C$2,Table9[Name],Table9[Located on Industrial corridor Score],"Not Found", 0,1)</f>
        <v>4</v>
      </c>
      <c r="E34" s="427" t="str">
        <f>_xlfn.XLOOKUP(E$2,Table9[Name],Table9[Located on Industrial corridor (40%)],"Not Found", 0,1)</f>
        <v>Yes</v>
      </c>
      <c r="F34" s="428">
        <f>_xlfn.XLOOKUP(E$2,Table9[Name],Table9[Located on Industrial corridor Score],"Not Found", 0,1)</f>
        <v>4</v>
      </c>
      <c r="G34" s="427" t="str">
        <f>_xlfn.XLOOKUP(G$2,Table9[Name],Table9[Located on Industrial corridor (40%)],"Not Found", 0,1)</f>
        <v>Yes</v>
      </c>
      <c r="H34" s="428">
        <f>_xlfn.XLOOKUP(G$2,Table9[Name],Table9[Located on Industrial corridor Score],"Not Found", 0,1)</f>
        <v>4</v>
      </c>
      <c r="I34" s="427" t="str">
        <f>_xlfn.XLOOKUP(I$2,Table9[Name],Table9[Located on Industrial corridor (40%)],"Not Found", 0,1)</f>
        <v>Yes</v>
      </c>
      <c r="J34" s="428">
        <f>_xlfn.XLOOKUP(I$2,Table9[Name],Table9[Located on Industrial corridor Score],"Not Found", 0,1)</f>
        <v>4</v>
      </c>
      <c r="K34" s="427" t="str">
        <f>_xlfn.XLOOKUP(K$2,Table9[Name],Table9[Located on Industrial corridor (40%)],"Not Found", 0,1)</f>
        <v>Yes</v>
      </c>
      <c r="L34" s="428">
        <f>_xlfn.XLOOKUP(K$2,Table9[Name],Table9[Located on Industrial corridor Score],"Not Found", 0,1)</f>
        <v>4</v>
      </c>
      <c r="M34" s="65"/>
    </row>
    <row r="35" spans="2:13" ht="33" customHeight="1" x14ac:dyDescent="0.35">
      <c r="B35" s="390" t="s">
        <v>260</v>
      </c>
      <c r="C35" s="788">
        <f>_xlfn.XLOOKUP(C$2,Table9[Name],Table9[2.4. Regional Policy (4% weightage)],"Not Found", 0,1)</f>
        <v>0</v>
      </c>
      <c r="D35" s="789"/>
      <c r="E35" s="788">
        <f>_xlfn.XLOOKUP(E$2,Table9[Name],Table9[2.4. Regional Policy (4% weightage)],"Not Found", 0,1)</f>
        <v>0</v>
      </c>
      <c r="F35" s="789"/>
      <c r="G35" s="788">
        <f>_xlfn.XLOOKUP(G$2,Table9[Name],Table9[2.4. Regional Policy (4% weightage)],"Not Found", 0,1)</f>
        <v>0.16</v>
      </c>
      <c r="H35" s="789"/>
      <c r="I35" s="788">
        <f>_xlfn.XLOOKUP(I$2,Table9[Name],Table9[2.4. Regional Policy (4% weightage)],"Not Found", 0,1)</f>
        <v>0.16</v>
      </c>
      <c r="J35" s="789"/>
      <c r="K35" s="788">
        <f>_xlfn.XLOOKUP(K$2,Table9[Name],Table9[2.4. Regional Policy (4% weightage)],"Not Found", 0,1)</f>
        <v>0.16</v>
      </c>
      <c r="L35" s="790"/>
      <c r="M35" s="65"/>
    </row>
    <row r="36" spans="2:13" ht="33" customHeight="1" x14ac:dyDescent="0.35">
      <c r="B36" s="392" t="s">
        <v>283</v>
      </c>
      <c r="C36" s="429" t="str">
        <f>_xlfn.XLOOKUP(C$2,Table9[Name],Table9[Economic/ Social priority (laggered area) (100%)],"Not Found", 0,1)</f>
        <v>No</v>
      </c>
      <c r="D36" s="430">
        <f>_xlfn.XLOOKUP(C$2,Table9[Name],Table9[Economic/ Social priority (laggered area) Score],"Not Found", 0,1)</f>
        <v>0</v>
      </c>
      <c r="E36" s="429" t="str">
        <f>_xlfn.XLOOKUP(E$2,Table9[Name],Table9[Economic/ Social priority (laggered area) (100%)],"Not Found", 0,1)</f>
        <v>No</v>
      </c>
      <c r="F36" s="430">
        <f>_xlfn.XLOOKUP(E$2,Table9[Name],Table9[Economic/ Social priority (laggered area) Score],"Not Found", 0,1)</f>
        <v>0</v>
      </c>
      <c r="G36" s="429" t="str">
        <f>_xlfn.XLOOKUP(G$2,Table9[Name],Table9[Economic/ Social priority (laggered area) (100%)],"Not Found", 0,1)</f>
        <v>Yes</v>
      </c>
      <c r="H36" s="430">
        <f>_xlfn.XLOOKUP(G$2,Table9[Name],Table9[Economic/ Social priority (laggered area) Score],"Not Found", 0,1)</f>
        <v>4</v>
      </c>
      <c r="I36" s="429" t="str">
        <f>_xlfn.XLOOKUP(I$2,Table9[Name],Table9[Economic/ Social priority (laggered area) (100%)],"Not Found", 0,1)</f>
        <v>Yes</v>
      </c>
      <c r="J36" s="430">
        <f>_xlfn.XLOOKUP(I$2,Table9[Name],Table9[Economic/ Social priority (laggered area) Score],"Not Found", 0,1)</f>
        <v>4</v>
      </c>
      <c r="K36" s="429" t="str">
        <f>_xlfn.XLOOKUP(K$2,Table9[Name],Table9[Economic/ Social priority (laggered area) (100%)],"Not Found", 0,1)</f>
        <v>Yes</v>
      </c>
      <c r="L36" s="430">
        <f>_xlfn.XLOOKUP(K$2,Table9[Name],Table9[Economic/ Social priority (laggered area) Score],"Not Found", 0,1)</f>
        <v>4</v>
      </c>
      <c r="M36" s="65"/>
    </row>
    <row r="37" spans="2:13" ht="33" customHeight="1" x14ac:dyDescent="0.35">
      <c r="B37" s="391" t="s">
        <v>284</v>
      </c>
      <c r="C37" s="427" t="str">
        <f>_xlfn.XLOOKUP(C$2,Table9[Name],Table9[Regional Tax incentive  (0%)],"Not Found", 0,1)</f>
        <v>No</v>
      </c>
      <c r="D37" s="428">
        <f>_xlfn.XLOOKUP(C$2,Table9[Name],Table9[Regional Tax incentive Score],"Not Found", 0,1)</f>
        <v>0</v>
      </c>
      <c r="E37" s="427" t="str">
        <f>_xlfn.XLOOKUP(E$2,Table9[Name],Table9[Regional Tax incentive  (0%)],"Not Found", 0,1)</f>
        <v>No</v>
      </c>
      <c r="F37" s="428">
        <f>_xlfn.XLOOKUP(E$2,Table9[Name],Table9[Regional Tax incentive Score],"Not Found", 0,1)</f>
        <v>0</v>
      </c>
      <c r="G37" s="427" t="str">
        <f>_xlfn.XLOOKUP(G$2,Table9[Name],Table9[Regional Tax incentive  (0%)],"Not Found", 0,1)</f>
        <v>Yes</v>
      </c>
      <c r="H37" s="428">
        <f>_xlfn.XLOOKUP(G$2,Table9[Name],Table9[Regional Tax incentive Score],"Not Found", 0,1)</f>
        <v>4</v>
      </c>
      <c r="I37" s="427" t="str">
        <f>_xlfn.XLOOKUP(I$2,Table9[Name],Table9[Regional Tax incentive  (0%)],"Not Found", 0,1)</f>
        <v>Yes</v>
      </c>
      <c r="J37" s="428">
        <f>_xlfn.XLOOKUP(I$2,Table9[Name],Table9[Regional Tax incentive Score],"Not Found", 0,1)</f>
        <v>4</v>
      </c>
      <c r="K37" s="427" t="str">
        <f>_xlfn.XLOOKUP(K$2,Table9[Name],Table9[Regional Tax incentive  (0%)],"Not Found", 0,1)</f>
        <v>Yes</v>
      </c>
      <c r="L37" s="428">
        <f>_xlfn.XLOOKUP(K$2,Table9[Name],Table9[Regional Tax incentive Score],"Not Found", 0,1)</f>
        <v>4</v>
      </c>
      <c r="M37" s="65"/>
    </row>
    <row r="38" spans="2:13" ht="33" customHeight="1" x14ac:dyDescent="0.35">
      <c r="B38" s="390" t="s">
        <v>262</v>
      </c>
      <c r="C38" s="797">
        <f>_xlfn.XLOOKUP(C$2,Table9[Name],Table9[2.5. Social (8% weightage)],"Not Found", 0,1)</f>
        <v>0.28800000000000003</v>
      </c>
      <c r="D38" s="798"/>
      <c r="E38" s="788">
        <f>_xlfn.XLOOKUP(E$2,Table9[Name],Table9[2.5. Social (8% weightage)],"Not Found", 0,1)</f>
        <v>0.32</v>
      </c>
      <c r="F38" s="789"/>
      <c r="G38" s="788">
        <f>_xlfn.XLOOKUP(G$2,Table9[Name],Table9[2.5. Social (8% weightage)],"Not Found", 0,1)</f>
        <v>0.22400000000000003</v>
      </c>
      <c r="H38" s="789"/>
      <c r="I38" s="788">
        <f>_xlfn.XLOOKUP(I$2,Table9[Name],Table9[2.5. Social (8% weightage)],"Not Found", 0,1)</f>
        <v>0.30400000000000005</v>
      </c>
      <c r="J38" s="789"/>
      <c r="K38" s="788">
        <f>_xlfn.XLOOKUP(K$2,Table9[Name],Table9[2.5. Social (8% weightage)],"Not Found", 0,1)</f>
        <v>0.32</v>
      </c>
      <c r="L38" s="790"/>
      <c r="M38" s="65"/>
    </row>
    <row r="39" spans="2:13" ht="33" customHeight="1" x14ac:dyDescent="0.35">
      <c r="B39" s="392" t="s">
        <v>285</v>
      </c>
      <c r="C39" s="434">
        <f>_xlfn.XLOOKUP(C$2,Table9[Name],Table9[Employable population (40%) 2013],"Not Found", 0,1)</f>
        <v>3683456</v>
      </c>
      <c r="D39" s="430">
        <f>_xlfn.XLOOKUP(C$2,Table9[Name],Table9[Employable population Score],"Not Found", 0,1)</f>
        <v>4</v>
      </c>
      <c r="E39" s="434">
        <f>_xlfn.XLOOKUP(E$2,Table9[Name],Table9[Employable population (40%) 2013],"Not Found", 0,1)</f>
        <v>1968862</v>
      </c>
      <c r="F39" s="430">
        <f>_xlfn.XLOOKUP(E$2,Table9[Name],Table9[Employable population Score],"Not Found", 0,1)</f>
        <v>4</v>
      </c>
      <c r="G39" s="434">
        <f>_xlfn.XLOOKUP(G$2,Table9[Name],Table9[Employable population (40%) 2013],"Not Found", 0,1)</f>
        <v>125944</v>
      </c>
      <c r="H39" s="430">
        <f>_xlfn.XLOOKUP(G$2,Table9[Name],Table9[Employable population Score],"Not Found", 0,1)</f>
        <v>2</v>
      </c>
      <c r="I39" s="434">
        <f>_xlfn.XLOOKUP(I$2,Table9[Name],Table9[Employable population (40%) 2013],"Not Found", 0,1)</f>
        <v>275486</v>
      </c>
      <c r="J39" s="430">
        <f>_xlfn.XLOOKUP(I$2,Table9[Name],Table9[Employable population Score],"Not Found", 0,1)</f>
        <v>4</v>
      </c>
      <c r="K39" s="434">
        <f>_xlfn.XLOOKUP(K$2,Table9[Name],Table9[Employable population (40%) 2013],"Not Found", 0,1)</f>
        <v>236537</v>
      </c>
      <c r="L39" s="430">
        <f>_xlfn.XLOOKUP(K$2,Table9[Name],Table9[Employable population Score],"Not Found", 0,1)</f>
        <v>4</v>
      </c>
      <c r="M39" s="65"/>
    </row>
    <row r="40" spans="2:13" ht="33" customHeight="1" x14ac:dyDescent="0.35">
      <c r="B40" s="391" t="s">
        <v>286</v>
      </c>
      <c r="C40" s="433">
        <f>_xlfn.XLOOKUP(C$2,Table9[Name],Table9[Housing (20%)],"Not Found", 0,1)</f>
        <v>39</v>
      </c>
      <c r="D40" s="428">
        <f>_xlfn.XLOOKUP(C$2,Table9[Name],Table9[Housing Score],"Not Found", 0,1)</f>
        <v>2</v>
      </c>
      <c r="E40" s="433">
        <f>_xlfn.XLOOKUP(E$2,Table9[Name],Table9[Housing (20%)],"Not Found", 0,1)</f>
        <v>20</v>
      </c>
      <c r="F40" s="428">
        <f>_xlfn.XLOOKUP(E$2,Table9[Name],Table9[Housing Score],"Not Found", 0,1)</f>
        <v>4</v>
      </c>
      <c r="G40" s="433">
        <f>_xlfn.XLOOKUP(G$2,Table9[Name],Table9[Housing (20%)],"Not Found", 0,1)</f>
        <v>20</v>
      </c>
      <c r="H40" s="428">
        <f>_xlfn.XLOOKUP(G$2,Table9[Name],Table9[Housing Score],"Not Found", 0,1)</f>
        <v>4</v>
      </c>
      <c r="I40" s="433">
        <f>_xlfn.XLOOKUP(I$2,Table9[Name],Table9[Housing (20%)],"Not Found", 0,1)</f>
        <v>20</v>
      </c>
      <c r="J40" s="428">
        <f>_xlfn.XLOOKUP(I$2,Table9[Name],Table9[Housing Score],"Not Found", 0,1)</f>
        <v>4</v>
      </c>
      <c r="K40" s="433">
        <f>_xlfn.XLOOKUP(K$2,Table9[Name],Table9[Housing (20%)],"Not Found", 0,1)</f>
        <v>1</v>
      </c>
      <c r="L40" s="428">
        <f>_xlfn.XLOOKUP(K$2,Table9[Name],Table9[Housing Score],"Not Found", 0,1)</f>
        <v>4</v>
      </c>
      <c r="M40" s="65"/>
    </row>
    <row r="41" spans="2:13" ht="33" customHeight="1" x14ac:dyDescent="0.35">
      <c r="B41" s="392" t="s">
        <v>287</v>
      </c>
      <c r="C41" s="434">
        <f>_xlfn.XLOOKUP(C$2,Table9[Name],Table9[Hotels (10%)],"Not Found", 0,1)</f>
        <v>329</v>
      </c>
      <c r="D41" s="430">
        <f>_xlfn.XLOOKUP(C$2,Table9[Name],Table9[Hotels Score],"Not Found", 0,1)</f>
        <v>4</v>
      </c>
      <c r="E41" s="434">
        <f>_xlfn.XLOOKUP(E$2,Table9[Name],Table9[Hotels (10%)],"Not Found", 0,1)</f>
        <v>76</v>
      </c>
      <c r="F41" s="430">
        <f>_xlfn.XLOOKUP(E$2,Table9[Name],Table9[Hotels Score],"Not Found", 0,1)</f>
        <v>4</v>
      </c>
      <c r="G41" s="434">
        <f>_xlfn.XLOOKUP(G$2,Table9[Name],Table9[Hotels (10%)],"Not Found", 0,1)</f>
        <v>2</v>
      </c>
      <c r="H41" s="430">
        <f>_xlfn.XLOOKUP(G$2,Table9[Name],Table9[Hotels Score],"Not Found", 0,1)</f>
        <v>0</v>
      </c>
      <c r="I41" s="434">
        <f>_xlfn.XLOOKUP(I$2,Table9[Name],Table9[Hotels (10%)],"Not Found", 0,1)</f>
        <v>10</v>
      </c>
      <c r="J41" s="430">
        <f>_xlfn.XLOOKUP(I$2,Table9[Name],Table9[Hotels Score],"Not Found", 0,1)</f>
        <v>2</v>
      </c>
      <c r="K41" s="434">
        <f>_xlfn.XLOOKUP(K$2,Table9[Name],Table9[Hotels (10%)],"Not Found", 0,1)</f>
        <v>41</v>
      </c>
      <c r="L41" s="430">
        <f>_xlfn.XLOOKUP(K$2,Table9[Name],Table9[Hotels Score],"Not Found", 0,1)</f>
        <v>4</v>
      </c>
      <c r="M41" s="65"/>
    </row>
    <row r="42" spans="2:13" ht="33" customHeight="1" x14ac:dyDescent="0.35">
      <c r="B42" s="391" t="s">
        <v>288</v>
      </c>
      <c r="C42" s="433">
        <f>_xlfn.XLOOKUP(C$2,Table9[Name],Table9[Health (Hospital) (15%)],"Not Found", 0,1)</f>
        <v>900</v>
      </c>
      <c r="D42" s="428">
        <f>_xlfn.XLOOKUP(C$2,Table9[Name],Table9[Health (Hospital) Score],"Not Found", 0,1)</f>
        <v>4</v>
      </c>
      <c r="E42" s="433">
        <f>_xlfn.XLOOKUP(E$2,Table9[Name],Table9[Health (Hospital) (15%)],"Not Found", 0,1)</f>
        <v>217</v>
      </c>
      <c r="F42" s="428">
        <f>_xlfn.XLOOKUP(E$2,Table9[Name],Table9[Health (Hospital) Score],"Not Found", 0,1)</f>
        <v>4</v>
      </c>
      <c r="G42" s="433">
        <f>_xlfn.XLOOKUP(G$2,Table9[Name],Table9[Health (Hospital) (15%)],"Not Found", 0,1)</f>
        <v>69</v>
      </c>
      <c r="H42" s="428">
        <f>_xlfn.XLOOKUP(G$2,Table9[Name],Table9[Health (Hospital) Score],"Not Found", 0,1)</f>
        <v>4</v>
      </c>
      <c r="I42" s="433">
        <f>_xlfn.XLOOKUP(I$2,Table9[Name],Table9[Health (Hospital) (15%)],"Not Found", 0,1)</f>
        <v>100</v>
      </c>
      <c r="J42" s="428">
        <f>_xlfn.XLOOKUP(I$2,Table9[Name],Table9[Health (Hospital) Score],"Not Found", 0,1)</f>
        <v>4</v>
      </c>
      <c r="K42" s="433">
        <f>_xlfn.XLOOKUP(K$2,Table9[Name],Table9[Health (Hospital) (15%)],"Not Found", 0,1)</f>
        <v>68</v>
      </c>
      <c r="L42" s="428">
        <f>_xlfn.XLOOKUP(K$2,Table9[Name],Table9[Health (Hospital) Score],"Not Found", 0,1)</f>
        <v>4</v>
      </c>
      <c r="M42" s="65"/>
    </row>
    <row r="43" spans="2:13" ht="33" customHeight="1" x14ac:dyDescent="0.35">
      <c r="B43" s="392" t="s">
        <v>289</v>
      </c>
      <c r="C43" s="434">
        <f>_xlfn.XLOOKUP(C$2,Table9[Name],Table9[University/ Technical &amp; Vocational Institutions (15%)],"Not Found", 0,1)</f>
        <v>193</v>
      </c>
      <c r="D43" s="430">
        <f>_xlfn.XLOOKUP(C$2,Table9[Name],Table9[University/ Technical &amp; Vocational Institutions Score],"Not Found", 0,1)</f>
        <v>4</v>
      </c>
      <c r="E43" s="434">
        <f>_xlfn.XLOOKUP(E$2,Table9[Name],Table9[University/ Technical &amp; Vocational Institutions (15%)],"Not Found", 0,1)</f>
        <v>34</v>
      </c>
      <c r="F43" s="430">
        <f>_xlfn.XLOOKUP(E$2,Table9[Name],Table9[University/ Technical &amp; Vocational Institutions Score],"Not Found", 0,1)</f>
        <v>4</v>
      </c>
      <c r="G43" s="434">
        <f>_xlfn.XLOOKUP(G$2,Table9[Name],Table9[University/ Technical &amp; Vocational Institutions (15%)],"Not Found", 0,1)</f>
        <v>78</v>
      </c>
      <c r="H43" s="430">
        <f>_xlfn.XLOOKUP(G$2,Table9[Name],Table9[University/ Technical &amp; Vocational Institutions Score],"Not Found", 0,1)</f>
        <v>4</v>
      </c>
      <c r="I43" s="434">
        <f>_xlfn.XLOOKUP(I$2,Table9[Name],Table9[University/ Technical &amp; Vocational Institutions (15%)],"Not Found", 0,1)</f>
        <v>9</v>
      </c>
      <c r="J43" s="430">
        <f>_xlfn.XLOOKUP(I$2,Table9[Name],Table9[University/ Technical &amp; Vocational Institutions Score],"Not Found", 0,1)</f>
        <v>4</v>
      </c>
      <c r="K43" s="434">
        <f>_xlfn.XLOOKUP(K$2,Table9[Name],Table9[University/ Technical &amp; Vocational Institutions (15%)],"Not Found", 0,1)</f>
        <v>9</v>
      </c>
      <c r="L43" s="430">
        <f>_xlfn.XLOOKUP(K$2,Table9[Name],Table9[University/ Technical &amp; Vocational Institutions Score],"Not Found", 0,1)</f>
        <v>4</v>
      </c>
      <c r="M43" s="65"/>
    </row>
    <row r="44" spans="2:13" ht="33" customHeight="1" x14ac:dyDescent="0.35">
      <c r="B44" s="390" t="s">
        <v>264</v>
      </c>
      <c r="C44" s="788">
        <f>_xlfn.XLOOKUP(C$2,Table9[Name],Table9[2.6. Environment (6% weightage)],"Not Found", 0,1)</f>
        <v>0.10800000000000001</v>
      </c>
      <c r="D44" s="789"/>
      <c r="E44" s="788">
        <f>_xlfn.XLOOKUP(E$2,Table9[Name],Table9[2.6. Environment (6% weightage)],"Not Found", 0,1)</f>
        <v>0.06</v>
      </c>
      <c r="F44" s="789"/>
      <c r="G44" s="788">
        <f>_xlfn.XLOOKUP(G$2,Table9[Name],Table9[2.6. Environment (6% weightage)],"Not Found", 0,1)</f>
        <v>7.1999999999999995E-2</v>
      </c>
      <c r="H44" s="789"/>
      <c r="I44" s="788">
        <f>_xlfn.XLOOKUP(I$2,Table9[Name],Table9[2.6. Environment (6% weightage)],"Not Found", 0,1)</f>
        <v>0.13199999999999998</v>
      </c>
      <c r="J44" s="789"/>
      <c r="K44" s="788">
        <f>_xlfn.XLOOKUP(K$2,Table9[Name],Table9[2.6. Environment (6% weightage)],"Not Found", 0,1)</f>
        <v>0.19199999999999998</v>
      </c>
      <c r="L44" s="790"/>
      <c r="M44" s="65"/>
    </row>
    <row r="45" spans="2:13" ht="33" customHeight="1" x14ac:dyDescent="0.35">
      <c r="B45" s="391" t="s">
        <v>290</v>
      </c>
      <c r="C45" s="427" t="str">
        <f>_xlfn.XLOOKUP(C$2,Table9[Name],Table9[Environment compliance (30%)],"Not Found", 0,1)</f>
        <v>No</v>
      </c>
      <c r="D45" s="431">
        <f>_xlfn.XLOOKUP(C$2,Table9[Name],Table9[Environment compliance Score],"Not Found", 0,1)</f>
        <v>0</v>
      </c>
      <c r="E45" s="427" t="str">
        <f>_xlfn.XLOOKUP(E$2,Table9[Name],Table9[Environment compliance (30%)],"Not Found", 0,1)</f>
        <v>No</v>
      </c>
      <c r="F45" s="431">
        <f>_xlfn.XLOOKUP(E$2,Table9[Name],Table9[Environment compliance Score],"Not Found", 0,1)</f>
        <v>0</v>
      </c>
      <c r="G45" s="427" t="str">
        <f>_xlfn.XLOOKUP(G$2,Table9[Name],Table9[Environment compliance (30%)],"Not Found", 0,1)</f>
        <v>No</v>
      </c>
      <c r="H45" s="431">
        <f>_xlfn.XLOOKUP(G$2,Table9[Name],Table9[Environment compliance Score],"Not Found", 0,1)</f>
        <v>0</v>
      </c>
      <c r="I45" s="427" t="str">
        <f>_xlfn.XLOOKUP(I$2,Table9[Name],Table9[Environment compliance (30%)],"Not Found", 0,1)</f>
        <v>No</v>
      </c>
      <c r="J45" s="431">
        <f>_xlfn.XLOOKUP(I$2,Table9[Name],Table9[Environment compliance Score],"Not Found", 0,1)</f>
        <v>0</v>
      </c>
      <c r="K45" s="427" t="str">
        <f>_xlfn.XLOOKUP(K$2,Table9[Name],Table9[Environment compliance (30%)],"Not Found", 0,1)</f>
        <v>Yes</v>
      </c>
      <c r="L45" s="431">
        <f>_xlfn.XLOOKUP(K$2,Table9[Name],Table9[Environment compliance Score],"Not Found", 0,1)</f>
        <v>4</v>
      </c>
      <c r="M45" s="65"/>
    </row>
    <row r="46" spans="2:13" ht="33" customHeight="1" x14ac:dyDescent="0.35">
      <c r="B46" s="392" t="s">
        <v>291</v>
      </c>
      <c r="C46" s="429" t="str">
        <f>_xlfn.XLOOKUP(C$2,Table9[Name],Table9[Flood Risk Index (30%)],"Not Found", 0,1)</f>
        <v>Moderate &amp; Low</v>
      </c>
      <c r="D46" s="432">
        <f>_xlfn.XLOOKUP(C$2,Table9[Name],Table9[Flood Risk Index Score],"Not Found", 0,1)</f>
        <v>2</v>
      </c>
      <c r="E46" s="429" t="str">
        <f>_xlfn.XLOOKUP(E$2,Table9[Name],Table9[Flood Risk Index (30%)],"Not Found", 0,1)</f>
        <v>Moderate &amp; Low</v>
      </c>
      <c r="F46" s="432">
        <f>_xlfn.XLOOKUP(E$2,Table9[Name],Table9[Flood Risk Index Score],"Not Found", 0,1)</f>
        <v>2</v>
      </c>
      <c r="G46" s="429" t="str">
        <f>_xlfn.XLOOKUP(G$2,Table9[Name],Table9[Flood Risk Index (30%)],"Not Found", 0,1)</f>
        <v>Moderate &amp; Low</v>
      </c>
      <c r="H46" s="432">
        <f>_xlfn.XLOOKUP(G$2,Table9[Name],Table9[Flood Risk Index Score],"Not Found", 0,1)</f>
        <v>2</v>
      </c>
      <c r="I46" s="429" t="str">
        <f>_xlfn.XLOOKUP(I$2,Table9[Name],Table9[Flood Risk Index (30%)],"Not Found", 0,1)</f>
        <v>Very Low</v>
      </c>
      <c r="J46" s="432">
        <f>_xlfn.XLOOKUP(I$2,Table9[Name],Table9[Flood Risk Index Score],"Not Found", 0,1)</f>
        <v>4</v>
      </c>
      <c r="K46" s="429" t="str">
        <f>_xlfn.XLOOKUP(K$2,Table9[Name],Table9[Flood Risk Index (30%)],"Not Found", 0,1)</f>
        <v>Moderate &amp; Low</v>
      </c>
      <c r="L46" s="432">
        <f>_xlfn.XLOOKUP(K$2,Table9[Name],Table9[Flood Risk Index Score],"Not Found", 0,1)</f>
        <v>2</v>
      </c>
      <c r="M46" s="65"/>
    </row>
    <row r="47" spans="2:13" ht="33" customHeight="1" x14ac:dyDescent="0.35">
      <c r="B47" s="391" t="s">
        <v>292</v>
      </c>
      <c r="C47" s="427" t="str">
        <f>_xlfn.XLOOKUP(C$2,Table9[Name],Table9[Earth Quake Risk Index (10%)],"Not Found", 0,1)</f>
        <v>Moderate &amp; Low</v>
      </c>
      <c r="D47" s="431">
        <f>_xlfn.XLOOKUP(C$2,Table9[Name],Table9[Earth Quake Risk Index Score],"Not Found", 0,1)</f>
        <v>2</v>
      </c>
      <c r="E47" s="427" t="str">
        <f>_xlfn.XLOOKUP(E$2,Table9[Name],Table9[Earth Quake Risk Index (10%)],"Not Found", 0,1)</f>
        <v>Moderate &amp; Low</v>
      </c>
      <c r="F47" s="431">
        <f>_xlfn.XLOOKUP(E$2,Table9[Name],Table9[Earth Quake Risk Index Score],"Not Found", 0,1)</f>
        <v>2</v>
      </c>
      <c r="G47" s="427" t="str">
        <f>_xlfn.XLOOKUP(G$2,Table9[Name],Table9[Earth Quake Risk Index (10%)],"Not Found", 0,1)</f>
        <v>Moderate &amp; Low</v>
      </c>
      <c r="H47" s="431">
        <f>_xlfn.XLOOKUP(G$2,Table9[Name],Table9[Earth Quake Risk Index Score],"Not Found", 0,1)</f>
        <v>2</v>
      </c>
      <c r="I47" s="427" t="str">
        <f>_xlfn.XLOOKUP(I$2,Table9[Name],Table9[Earth Quake Risk Index (10%)],"Not Found", 0,1)</f>
        <v>Moderate &amp; Low</v>
      </c>
      <c r="J47" s="431">
        <f>_xlfn.XLOOKUP(I$2,Table9[Name],Table9[Earth Quake Risk Index Score],"Not Found", 0,1)</f>
        <v>2</v>
      </c>
      <c r="K47" s="427" t="str">
        <f>_xlfn.XLOOKUP(K$2,Table9[Name],Table9[Earth Quake Risk Index (10%)],"Not Found", 0,1)</f>
        <v>Moderate &amp; Low</v>
      </c>
      <c r="L47" s="431">
        <f>_xlfn.XLOOKUP(K$2,Table9[Name],Table9[Earth Quake Risk Index Score],"Not Found", 0,1)</f>
        <v>2</v>
      </c>
      <c r="M47" s="65"/>
    </row>
    <row r="48" spans="2:13" ht="33" customHeight="1" x14ac:dyDescent="0.35">
      <c r="B48" s="392" t="s">
        <v>293</v>
      </c>
      <c r="C48" s="429" t="str">
        <f>_xlfn.XLOOKUP(C$2,Table9[Name],Table9[Sea Level Rise Risk Index (10%)],"Not Found", 0,1)</f>
        <v>Very Low</v>
      </c>
      <c r="D48" s="432">
        <f>_xlfn.XLOOKUP(C$2,Table9[Name],Table9[Sea Level Rise  Risk Index Score],"Not Found", 0,1)</f>
        <v>4</v>
      </c>
      <c r="E48" s="429" t="str">
        <f>_xlfn.XLOOKUP(E$2,Table9[Name],Table9[Sea Level Rise Risk Index (10%)],"Not Found", 0,1)</f>
        <v>Moderate &amp; Low</v>
      </c>
      <c r="F48" s="432">
        <f>_xlfn.XLOOKUP(E$2,Table9[Name],Table9[Sea Level Rise  Risk Index Score],"Not Found", 0,1)</f>
        <v>2</v>
      </c>
      <c r="G48" s="429" t="str">
        <f>_xlfn.XLOOKUP(G$2,Table9[Name],Table9[Sea Level Rise Risk Index (10%)],"Not Found", 0,1)</f>
        <v>Moderate &amp; Low</v>
      </c>
      <c r="H48" s="432">
        <f>_xlfn.XLOOKUP(G$2,Table9[Name],Table9[Sea Level Rise  Risk Index Score],"Not Found", 0,1)</f>
        <v>2</v>
      </c>
      <c r="I48" s="429" t="str">
        <f>_xlfn.XLOOKUP(I$2,Table9[Name],Table9[Sea Level Rise Risk Index (10%)],"Not Found", 0,1)</f>
        <v>Very Low</v>
      </c>
      <c r="J48" s="432">
        <f>_xlfn.XLOOKUP(I$2,Table9[Name],Table9[Sea Level Rise  Risk Index Score],"Not Found", 0,1)</f>
        <v>4</v>
      </c>
      <c r="K48" s="429" t="str">
        <f>_xlfn.XLOOKUP(K$2,Table9[Name],Table9[Sea Level Rise Risk Index (10%)],"Not Found", 0,1)</f>
        <v>Very Low</v>
      </c>
      <c r="L48" s="432">
        <f>_xlfn.XLOOKUP(K$2,Table9[Name],Table9[Sea Level Rise  Risk Index Score],"Not Found", 0,1)</f>
        <v>4</v>
      </c>
      <c r="M48" s="65"/>
    </row>
    <row r="49" spans="2:13" ht="33" customHeight="1" x14ac:dyDescent="0.35">
      <c r="B49" s="391" t="s">
        <v>294</v>
      </c>
      <c r="C49" s="427" t="str">
        <f>_xlfn.XLOOKUP(C$2,Table9[Name],Table9[Cyclone Risk Index (10%)],"Not Found", 0,1)</f>
        <v>Moderate &amp; Low</v>
      </c>
      <c r="D49" s="431">
        <f>_xlfn.XLOOKUP(C$2,Table9[Name],Table9[Cyclone Risk Index Score],"Not Found", 0,1)</f>
        <v>2</v>
      </c>
      <c r="E49" s="427" t="str">
        <f>_xlfn.XLOOKUP(E$2,Table9[Name],Table9[Cyclone Risk Index (10%)],"Not Found", 0,1)</f>
        <v>High &amp; Very High</v>
      </c>
      <c r="F49" s="431">
        <f>_xlfn.XLOOKUP(E$2,Table9[Name],Table9[Cyclone Risk Index Score],"Not Found", 0,1)</f>
        <v>0</v>
      </c>
      <c r="G49" s="427" t="str">
        <f>_xlfn.XLOOKUP(G$2,Table9[Name],Table9[Cyclone Risk Index (10%)],"Not Found", 0,1)</f>
        <v>High &amp; Very High</v>
      </c>
      <c r="H49" s="431">
        <f>_xlfn.XLOOKUP(G$2,Table9[Name],Table9[Cyclone Risk Index Score],"Not Found", 0,1)</f>
        <v>0</v>
      </c>
      <c r="I49" s="427" t="str">
        <f>_xlfn.XLOOKUP(I$2,Table9[Name],Table9[Cyclone Risk Index (10%)],"Not Found", 0,1)</f>
        <v>High &amp; Very High</v>
      </c>
      <c r="J49" s="431">
        <f>_xlfn.XLOOKUP(I$2,Table9[Name],Table9[Cyclone Risk Index Score],"Not Found", 0,1)</f>
        <v>0</v>
      </c>
      <c r="K49" s="427" t="str">
        <f>_xlfn.XLOOKUP(K$2,Table9[Name],Table9[Cyclone Risk Index (10%)],"Not Found", 0,1)</f>
        <v>Very Low</v>
      </c>
      <c r="L49" s="431">
        <f>_xlfn.XLOOKUP(K$2,Table9[Name],Table9[Cyclone Risk Index Score],"Not Found", 0,1)</f>
        <v>4</v>
      </c>
      <c r="M49" s="65"/>
    </row>
    <row r="50" spans="2:13" ht="33" customHeight="1" x14ac:dyDescent="0.35">
      <c r="B50" s="392" t="s">
        <v>295</v>
      </c>
      <c r="C50" s="429" t="str">
        <f>_xlfn.XLOOKUP(C$2,Table9[Name],Table9[Storm Surge Risk Index (10%)],"Not Found", 0,1)</f>
        <v>Very Low</v>
      </c>
      <c r="D50" s="432">
        <f>_xlfn.XLOOKUP(C$2,Table9[Name],Table9[Storm Surge Risk Index Score],"Not Found", 0,1)</f>
        <v>4</v>
      </c>
      <c r="E50" s="429" t="str">
        <f>_xlfn.XLOOKUP(E$2,Table9[Name],Table9[Storm Surge Risk Index (10%)],"Not Found", 0,1)</f>
        <v>Very High &amp; High</v>
      </c>
      <c r="F50" s="432">
        <f>_xlfn.XLOOKUP(E$2,Table9[Name],Table9[Storm Surge Risk Index Score],"Not Found", 0,1)</f>
        <v>0</v>
      </c>
      <c r="G50" s="429" t="str">
        <f>_xlfn.XLOOKUP(G$2,Table9[Name],Table9[Storm Surge Risk Index (10%)],"Not Found", 0,1)</f>
        <v>Moderate &amp; Low</v>
      </c>
      <c r="H50" s="432">
        <f>_xlfn.XLOOKUP(G$2,Table9[Name],Table9[Storm Surge Risk Index Score],"Not Found", 0,1)</f>
        <v>2</v>
      </c>
      <c r="I50" s="429" t="str">
        <f>_xlfn.XLOOKUP(I$2,Table9[Name],Table9[Storm Surge Risk Index (10%)],"Not Found", 0,1)</f>
        <v>Very Low</v>
      </c>
      <c r="J50" s="432">
        <f>_xlfn.XLOOKUP(I$2,Table9[Name],Table9[Storm Surge Risk Index Score],"Not Found", 0,1)</f>
        <v>4</v>
      </c>
      <c r="K50" s="429" t="str">
        <f>_xlfn.XLOOKUP(K$2,Table9[Name],Table9[Storm Surge Risk Index (10%)],"Not Found", 0,1)</f>
        <v>Very Low</v>
      </c>
      <c r="L50" s="432">
        <f>_xlfn.XLOOKUP(K$2,Table9[Name],Table9[Storm Surge Risk Index Score],"Not Found", 0,1)</f>
        <v>4</v>
      </c>
      <c r="M50" s="65"/>
    </row>
    <row r="51" spans="2:13" ht="33" customHeight="1" x14ac:dyDescent="0.35">
      <c r="B51" s="387" t="s">
        <v>296</v>
      </c>
      <c r="C51" s="793">
        <f>_xlfn.XLOOKUP(C$2,Table9[Name],Table9[Level 1 Score],"Not Found", 0,1)</f>
        <v>1.2</v>
      </c>
      <c r="D51" s="794"/>
      <c r="E51" s="793">
        <f>_xlfn.XLOOKUP(E$2,Table9[Name],Table9[Level 1 Score],"Not Found", 0,1)</f>
        <v>1.5200000000000002</v>
      </c>
      <c r="F51" s="794"/>
      <c r="G51" s="793">
        <f>_xlfn.XLOOKUP(G$2,Table9[Name],Table9[Level 1 Score],"Not Found", 0,1)</f>
        <v>0.85</v>
      </c>
      <c r="H51" s="794"/>
      <c r="I51" s="793">
        <f>_xlfn.XLOOKUP(I$2,Table9[Name],Table9[Level 1 Score],"Not Found", 0,1)</f>
        <v>1.24</v>
      </c>
      <c r="J51" s="794"/>
      <c r="K51" s="793">
        <f>_xlfn.XLOOKUP(K$2,Table9[Name],Table9[Level 1 Score],"Not Found", 0,1)</f>
        <v>1.39</v>
      </c>
      <c r="L51" s="795"/>
    </row>
    <row r="52" spans="2:13" ht="33" customHeight="1" x14ac:dyDescent="0.35">
      <c r="B52" s="387" t="s">
        <v>14</v>
      </c>
      <c r="C52" s="791">
        <f>_xlfn.XLOOKUP(C$2,Table9[Name],Table9[Level 1 Score Rank],"Not Found", 0,1)</f>
        <v>17</v>
      </c>
      <c r="D52" s="792"/>
      <c r="E52" s="791">
        <f>_xlfn.XLOOKUP(E$2,Table9[Name],Table9[Level 1 Score Rank],"Not Found", 0,1)</f>
        <v>7</v>
      </c>
      <c r="F52" s="792"/>
      <c r="G52" s="791">
        <f>_xlfn.XLOOKUP(G$2,Table9[Name],Table9[Level 1 Score Rank],"Not Found", 0,1)</f>
        <v>30</v>
      </c>
      <c r="H52" s="792"/>
      <c r="I52" s="791">
        <f>_xlfn.XLOOKUP(I$2,Table9[Name],Table9[Level 1 Score Rank],"Not Found", 0,1)</f>
        <v>15</v>
      </c>
      <c r="J52" s="792"/>
      <c r="K52" s="791">
        <f>_xlfn.XLOOKUP(K$2,Table9[Name],Table9[Level 1 Score Rank],"Not Found", 0,1)</f>
        <v>10</v>
      </c>
      <c r="L52" s="796"/>
    </row>
    <row r="53" spans="2:13" ht="33" customHeight="1" x14ac:dyDescent="0.35">
      <c r="B53" s="387" t="s">
        <v>297</v>
      </c>
      <c r="C53" s="793">
        <f>_xlfn.XLOOKUP(C$2,Table9[Name],Table9[Level 2 Score],"Not Found", 0,1)</f>
        <v>1.6160000000000001</v>
      </c>
      <c r="D53" s="794"/>
      <c r="E53" s="793">
        <f>_xlfn.XLOOKUP(E$2,Table9[Name],Table9[Level 2 Score],"Not Found", 0,1)</f>
        <v>1.4680000000000002</v>
      </c>
      <c r="F53" s="794"/>
      <c r="G53" s="793">
        <f>_xlfn.XLOOKUP(G$2,Table9[Name],Table9[Level 2 Score],"Not Found", 0,1)</f>
        <v>1.52</v>
      </c>
      <c r="H53" s="794"/>
      <c r="I53" s="793">
        <f>_xlfn.XLOOKUP(I$2,Table9[Name],Table9[Level 2 Score],"Not Found", 0,1)</f>
        <v>1.696</v>
      </c>
      <c r="J53" s="794"/>
      <c r="K53" s="793">
        <f>_xlfn.XLOOKUP(K$2,Table9[Name],Table9[Level 2 Score],"Not Found", 0,1)</f>
        <v>1.6319999999999999</v>
      </c>
      <c r="L53" s="795"/>
    </row>
    <row r="54" spans="2:13" ht="33" customHeight="1" x14ac:dyDescent="0.35">
      <c r="B54" s="387" t="s">
        <v>298</v>
      </c>
      <c r="C54" s="791">
        <f>_xlfn.XLOOKUP(C$2,Table9[Name],Table9[Level 2 Score Rank],"Not Found", 0,1)</f>
        <v>14</v>
      </c>
      <c r="D54" s="792"/>
      <c r="E54" s="791">
        <f>_xlfn.XLOOKUP(E$2,Table9[Name],Table9[Level 2 Score Rank],"Not Found", 0,1)</f>
        <v>32</v>
      </c>
      <c r="F54" s="792"/>
      <c r="G54" s="791">
        <f>_xlfn.XLOOKUP(G$2,Table9[Name],Table9[Level 2 Score Rank],"Not Found", 0,1)</f>
        <v>29</v>
      </c>
      <c r="H54" s="792"/>
      <c r="I54" s="791">
        <f>_xlfn.XLOOKUP(I$2,Table9[Name],Table9[Level 2 Score Rank],"Not Found", 0,1)</f>
        <v>6</v>
      </c>
      <c r="J54" s="792"/>
      <c r="K54" s="791">
        <f>_xlfn.XLOOKUP(K$2,Table9[Name],Table9[Level 2 Score Rank],"Not Found", 0,1)</f>
        <v>11</v>
      </c>
      <c r="L54" s="796"/>
    </row>
    <row r="55" spans="2:13" ht="33" customHeight="1" x14ac:dyDescent="0.35">
      <c r="B55" s="387" t="s">
        <v>299</v>
      </c>
      <c r="C55" s="793">
        <f>_xlfn.XLOOKUP(C$2,Table9[Name],Table9[Total Score],"Not Found", 0,1)</f>
        <v>2.8159999999999998</v>
      </c>
      <c r="D55" s="794"/>
      <c r="E55" s="793">
        <f>_xlfn.XLOOKUP(E$2,Table9[Name],Table9[Total Score],"Not Found", 0,1)</f>
        <v>2.9880000000000004</v>
      </c>
      <c r="F55" s="794"/>
      <c r="G55" s="793">
        <f>_xlfn.XLOOKUP(G$2,Table9[Name],Table9[Total Score],"Not Found", 0,1)</f>
        <v>2.37</v>
      </c>
      <c r="H55" s="794"/>
      <c r="I55" s="793">
        <f>_xlfn.XLOOKUP(I$2,Table9[Name],Table9[Total Score],"Not Found", 0,1)</f>
        <v>2.9359999999999999</v>
      </c>
      <c r="J55" s="794"/>
      <c r="K55" s="793">
        <f>_xlfn.XLOOKUP(K$2,Table9[Name],Table9[Total Score],"Not Found", 0,1)</f>
        <v>3.0219999999999998</v>
      </c>
      <c r="L55" s="795"/>
    </row>
    <row r="56" spans="2:13" ht="33" customHeight="1" x14ac:dyDescent="0.35">
      <c r="B56" s="387" t="s">
        <v>16</v>
      </c>
      <c r="C56" s="791">
        <f>_xlfn.XLOOKUP(C$2,Table9[Name],Table9[Total Score Rank],"Not Found", 0,1)</f>
        <v>13</v>
      </c>
      <c r="D56" s="792"/>
      <c r="E56" s="791">
        <f>_xlfn.XLOOKUP(E$2,Table9[Name],Table9[Total Score Rank],"Not Found", 0,1)</f>
        <v>10</v>
      </c>
      <c r="F56" s="792"/>
      <c r="G56" s="791">
        <f>_xlfn.XLOOKUP(G$2,Table9[Name],Table9[Total Score Rank],"Not Found", 0,1)</f>
        <v>26</v>
      </c>
      <c r="H56" s="792"/>
      <c r="I56" s="791">
        <f>_xlfn.XLOOKUP(I$2,Table9[Name],Table9[Total Score Rank],"Not Found", 0,1)</f>
        <v>12</v>
      </c>
      <c r="J56" s="792"/>
      <c r="K56" s="791">
        <f>_xlfn.XLOOKUP(K$2,Table9[Name],Table9[Total Score Rank],"Not Found", 0,1)</f>
        <v>8</v>
      </c>
      <c r="L56" s="796"/>
    </row>
    <row r="57" spans="2:13" ht="33" customHeight="1" x14ac:dyDescent="0.35">
      <c r="C57"/>
    </row>
    <row r="58" spans="2:13" ht="33" customHeight="1" x14ac:dyDescent="0.35">
      <c r="C58"/>
    </row>
    <row r="59" spans="2:13" ht="33" customHeight="1" outlineLevel="1" x14ac:dyDescent="0.35"/>
    <row r="60" spans="2:13" ht="33" customHeight="1" outlineLevel="1" x14ac:dyDescent="0.35"/>
    <row r="61" spans="2:13" ht="33" customHeight="1" outlineLevel="1" x14ac:dyDescent="0.35"/>
    <row r="62" spans="2:13" ht="33" customHeight="1" outlineLevel="1" x14ac:dyDescent="0.35"/>
    <row r="63" spans="2:13" ht="33" customHeight="1" outlineLevel="1" x14ac:dyDescent="0.35"/>
    <row r="64" spans="2:13" ht="33" customHeight="1" outlineLevel="1" x14ac:dyDescent="0.35"/>
    <row r="65" ht="33" customHeight="1" outlineLevel="1" x14ac:dyDescent="0.35"/>
    <row r="66" ht="33" customHeight="1" outlineLevel="1" x14ac:dyDescent="0.35"/>
    <row r="67" ht="33" customHeight="1" outlineLevel="1" x14ac:dyDescent="0.35"/>
    <row r="68" ht="33" customHeight="1" outlineLevel="1" x14ac:dyDescent="0.35"/>
  </sheetData>
  <mergeCells count="106">
    <mergeCell ref="N2:U2"/>
    <mergeCell ref="C2:D2"/>
    <mergeCell ref="E2:F2"/>
    <mergeCell ref="G2:H2"/>
    <mergeCell ref="I2:J2"/>
    <mergeCell ref="K2:L2"/>
    <mergeCell ref="C3:D3"/>
    <mergeCell ref="K6:L6"/>
    <mergeCell ref="K5:L5"/>
    <mergeCell ref="K4:L4"/>
    <mergeCell ref="K3:L3"/>
    <mergeCell ref="I3:J3"/>
    <mergeCell ref="I4:J4"/>
    <mergeCell ref="I5:J5"/>
    <mergeCell ref="I6:J6"/>
    <mergeCell ref="E3:F3"/>
    <mergeCell ref="G3:H3"/>
    <mergeCell ref="I8:J8"/>
    <mergeCell ref="K8:L8"/>
    <mergeCell ref="K7:L7"/>
    <mergeCell ref="I7:J7"/>
    <mergeCell ref="G7:H7"/>
    <mergeCell ref="C4:D4"/>
    <mergeCell ref="C5:D5"/>
    <mergeCell ref="C6:D6"/>
    <mergeCell ref="C7:D7"/>
    <mergeCell ref="E4:F4"/>
    <mergeCell ref="E5:F5"/>
    <mergeCell ref="E6:F6"/>
    <mergeCell ref="G6:H6"/>
    <mergeCell ref="G5:H5"/>
    <mergeCell ref="G4:H4"/>
    <mergeCell ref="E7:F7"/>
    <mergeCell ref="C8:D8"/>
    <mergeCell ref="E8:F8"/>
    <mergeCell ref="G8:H8"/>
    <mergeCell ref="G13:H13"/>
    <mergeCell ref="G30:H30"/>
    <mergeCell ref="C38:D38"/>
    <mergeCell ref="E38:F38"/>
    <mergeCell ref="G38:H38"/>
    <mergeCell ref="C35:D35"/>
    <mergeCell ref="C16:D16"/>
    <mergeCell ref="E16:F16"/>
    <mergeCell ref="G16:H16"/>
    <mergeCell ref="K44:L44"/>
    <mergeCell ref="I44:J44"/>
    <mergeCell ref="G44:H44"/>
    <mergeCell ref="E44:F44"/>
    <mergeCell ref="C44:D44"/>
    <mergeCell ref="C30:D30"/>
    <mergeCell ref="E30:F30"/>
    <mergeCell ref="E56:F56"/>
    <mergeCell ref="I51:J51"/>
    <mergeCell ref="K51:L51"/>
    <mergeCell ref="K52:L52"/>
    <mergeCell ref="I52:J52"/>
    <mergeCell ref="G52:H52"/>
    <mergeCell ref="E52:F52"/>
    <mergeCell ref="K53:L53"/>
    <mergeCell ref="K54:L54"/>
    <mergeCell ref="K55:L55"/>
    <mergeCell ref="K56:L56"/>
    <mergeCell ref="C51:D51"/>
    <mergeCell ref="E51:F51"/>
    <mergeCell ref="G51:H51"/>
    <mergeCell ref="G53:H53"/>
    <mergeCell ref="G54:H54"/>
    <mergeCell ref="G55:H55"/>
    <mergeCell ref="G56:H56"/>
    <mergeCell ref="I53:J53"/>
    <mergeCell ref="I54:J54"/>
    <mergeCell ref="I55:J55"/>
    <mergeCell ref="I56:J56"/>
    <mergeCell ref="C52:D52"/>
    <mergeCell ref="C53:D53"/>
    <mergeCell ref="C54:D54"/>
    <mergeCell ref="C55:D55"/>
    <mergeCell ref="C56:D56"/>
    <mergeCell ref="E53:F53"/>
    <mergeCell ref="E54:F54"/>
    <mergeCell ref="E55:F55"/>
    <mergeCell ref="I16:J16"/>
    <mergeCell ref="K16:L16"/>
    <mergeCell ref="I13:J13"/>
    <mergeCell ref="K13:L13"/>
    <mergeCell ref="C19:D19"/>
    <mergeCell ref="E19:F19"/>
    <mergeCell ref="G19:H19"/>
    <mergeCell ref="C26:D26"/>
    <mergeCell ref="I38:J38"/>
    <mergeCell ref="K38:L38"/>
    <mergeCell ref="I19:J19"/>
    <mergeCell ref="K19:L19"/>
    <mergeCell ref="K26:L26"/>
    <mergeCell ref="I26:J26"/>
    <mergeCell ref="G26:H26"/>
    <mergeCell ref="E26:F26"/>
    <mergeCell ref="I30:J30"/>
    <mergeCell ref="K30:L30"/>
    <mergeCell ref="K35:L35"/>
    <mergeCell ref="I35:J35"/>
    <mergeCell ref="G35:H35"/>
    <mergeCell ref="E35:F35"/>
    <mergeCell ref="C13:D13"/>
    <mergeCell ref="E13:F13"/>
  </mergeCells>
  <pageMargins left="0.7" right="0.7" top="0.75" bottom="0.75" header="0.3" footer="0.3"/>
  <pageSetup orientation="portrait" r:id="rId1"/>
  <ignoredErrors>
    <ignoredError sqref="C9:D60 E9:L63" 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A2D42CC-567C-4BCF-A9D3-F94363367319}">
          <x14:formula1>
            <xm:f>'EZ Names V2'!$C$3:$C$103</xm:f>
          </x14:formula1>
          <xm:sqref>C2 I2 G2 K2 E2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CAD56-1FDC-48BE-83A1-93747CF840E8}">
  <dimension ref="B1:AL89"/>
  <sheetViews>
    <sheetView workbookViewId="0"/>
  </sheetViews>
  <sheetFormatPr defaultColWidth="20.08984375" defaultRowHeight="14.5" x14ac:dyDescent="0.35"/>
  <cols>
    <col min="1" max="1" width="3.453125" style="562" customWidth="1"/>
    <col min="2" max="2" width="47.1796875" style="562" customWidth="1"/>
    <col min="3" max="3" width="20.6328125" style="562" customWidth="1"/>
    <col min="4" max="13" width="20.08984375" style="562"/>
    <col min="14" max="14" width="19.81640625" style="562" customWidth="1"/>
    <col min="15" max="16384" width="20.08984375" style="562"/>
  </cols>
  <sheetData>
    <row r="1" spans="2:16" ht="16.5" customHeight="1" x14ac:dyDescent="0.35"/>
    <row r="2" spans="2:16" customFormat="1" ht="45" x14ac:dyDescent="0.35">
      <c r="B2" s="387" t="s">
        <v>5</v>
      </c>
      <c r="C2" s="558" t="s">
        <v>17</v>
      </c>
      <c r="D2" s="558" t="s">
        <v>19</v>
      </c>
      <c r="E2" s="558" t="s">
        <v>18</v>
      </c>
      <c r="F2" s="558" t="s">
        <v>20</v>
      </c>
      <c r="G2" s="558" t="s">
        <v>21</v>
      </c>
      <c r="H2" s="567" t="s">
        <v>22</v>
      </c>
      <c r="I2" s="558" t="s">
        <v>23</v>
      </c>
      <c r="J2" s="558" t="s">
        <v>24</v>
      </c>
      <c r="K2" s="558" t="s">
        <v>25</v>
      </c>
      <c r="L2" s="558" t="s">
        <v>36</v>
      </c>
      <c r="M2" s="567" t="s">
        <v>43</v>
      </c>
      <c r="N2" s="558" t="s">
        <v>49</v>
      </c>
      <c r="O2" s="567" t="s">
        <v>53</v>
      </c>
      <c r="P2" s="558" t="s">
        <v>55</v>
      </c>
    </row>
    <row r="3" spans="2:16" customFormat="1" ht="15" x14ac:dyDescent="0.35">
      <c r="B3" s="388" t="s">
        <v>4</v>
      </c>
      <c r="C3" s="563">
        <v>27</v>
      </c>
      <c r="D3" s="563">
        <v>60</v>
      </c>
      <c r="E3" s="563">
        <v>16</v>
      </c>
      <c r="F3" s="563">
        <v>52</v>
      </c>
      <c r="G3" s="563">
        <v>66</v>
      </c>
      <c r="H3" s="568">
        <v>42</v>
      </c>
      <c r="I3" s="563">
        <v>65</v>
      </c>
      <c r="J3" s="563">
        <v>18</v>
      </c>
      <c r="K3" s="563">
        <v>67</v>
      </c>
      <c r="L3" s="563">
        <v>58</v>
      </c>
      <c r="M3" s="568">
        <v>21</v>
      </c>
      <c r="N3" s="563">
        <v>7</v>
      </c>
      <c r="O3" s="563">
        <v>1</v>
      </c>
      <c r="P3" s="563">
        <v>48</v>
      </c>
    </row>
    <row r="4" spans="2:16" customFormat="1" ht="15" x14ac:dyDescent="0.35">
      <c r="B4" s="389" t="s">
        <v>6</v>
      </c>
      <c r="C4" s="564" t="s">
        <v>68</v>
      </c>
      <c r="D4" s="564" t="s">
        <v>68</v>
      </c>
      <c r="E4" s="564" t="s">
        <v>68</v>
      </c>
      <c r="F4" s="564" t="s">
        <v>68</v>
      </c>
      <c r="G4" s="564" t="s">
        <v>76</v>
      </c>
      <c r="H4" s="569" t="s">
        <v>76</v>
      </c>
      <c r="I4" s="564" t="s">
        <v>68</v>
      </c>
      <c r="J4" s="564" t="s">
        <v>76</v>
      </c>
      <c r="K4" s="564" t="s">
        <v>84</v>
      </c>
      <c r="L4" s="564" t="s">
        <v>94</v>
      </c>
      <c r="M4" s="569" t="s">
        <v>104</v>
      </c>
      <c r="N4" s="564" t="s">
        <v>113</v>
      </c>
      <c r="O4" s="564" t="s">
        <v>119</v>
      </c>
      <c r="P4" s="564" t="s">
        <v>121</v>
      </c>
    </row>
    <row r="5" spans="2:16" customFormat="1" ht="15" x14ac:dyDescent="0.35">
      <c r="B5" s="388" t="s">
        <v>7</v>
      </c>
      <c r="C5" s="563" t="s">
        <v>68</v>
      </c>
      <c r="D5" s="563" t="s">
        <v>68</v>
      </c>
      <c r="E5" s="563" t="s">
        <v>72</v>
      </c>
      <c r="F5" s="563" t="s">
        <v>74</v>
      </c>
      <c r="G5" s="563" t="s">
        <v>77</v>
      </c>
      <c r="H5" s="568" t="s">
        <v>76</v>
      </c>
      <c r="I5" s="563" t="s">
        <v>68</v>
      </c>
      <c r="J5" s="563" t="s">
        <v>82</v>
      </c>
      <c r="K5" s="563" t="s">
        <v>85</v>
      </c>
      <c r="L5" s="563" t="s">
        <v>95</v>
      </c>
      <c r="M5" s="568" t="s">
        <v>105</v>
      </c>
      <c r="N5" s="563" t="s">
        <v>114</v>
      </c>
      <c r="O5" s="563" t="s">
        <v>119</v>
      </c>
      <c r="P5" s="563" t="s">
        <v>122</v>
      </c>
    </row>
    <row r="6" spans="2:16" customFormat="1" ht="30" x14ac:dyDescent="0.35">
      <c r="B6" s="389" t="s">
        <v>8</v>
      </c>
      <c r="C6" s="564" t="s">
        <v>71</v>
      </c>
      <c r="D6" s="564" t="s">
        <v>69</v>
      </c>
      <c r="E6" s="564" t="s">
        <v>73</v>
      </c>
      <c r="F6" s="564" t="s">
        <v>75</v>
      </c>
      <c r="G6" s="564" t="s">
        <v>78</v>
      </c>
      <c r="H6" s="569" t="s">
        <v>80</v>
      </c>
      <c r="I6" s="564" t="s">
        <v>81</v>
      </c>
      <c r="J6" s="564" t="s">
        <v>83</v>
      </c>
      <c r="K6" s="564" t="s">
        <v>86</v>
      </c>
      <c r="L6" s="564" t="s">
        <v>96</v>
      </c>
      <c r="M6" s="569" t="s">
        <v>106</v>
      </c>
      <c r="N6" s="564" t="s">
        <v>115</v>
      </c>
      <c r="O6" s="564" t="s">
        <v>120</v>
      </c>
      <c r="P6" s="564" t="s">
        <v>123</v>
      </c>
    </row>
    <row r="7" spans="2:16" customFormat="1" ht="27.5" customHeight="1" x14ac:dyDescent="0.35">
      <c r="B7" s="388" t="s">
        <v>9</v>
      </c>
      <c r="C7" s="563" t="s">
        <v>70</v>
      </c>
      <c r="D7" s="563" t="s">
        <v>70</v>
      </c>
      <c r="E7" s="563" t="s">
        <v>70</v>
      </c>
      <c r="F7" s="563" t="s">
        <v>70</v>
      </c>
      <c r="G7" s="563" t="s">
        <v>79</v>
      </c>
      <c r="H7" s="568" t="s">
        <v>70</v>
      </c>
      <c r="I7" s="563" t="s">
        <v>79</v>
      </c>
      <c r="J7" s="563" t="s">
        <v>70</v>
      </c>
      <c r="K7" s="563" t="s">
        <v>79</v>
      </c>
      <c r="L7" s="563" t="s">
        <v>70</v>
      </c>
      <c r="M7" s="568" t="s">
        <v>70</v>
      </c>
      <c r="N7" s="563" t="s">
        <v>70</v>
      </c>
      <c r="O7" s="563" t="s">
        <v>70</v>
      </c>
      <c r="P7" s="563" t="s">
        <v>70</v>
      </c>
    </row>
    <row r="8" spans="2:16" customFormat="1" ht="15" x14ac:dyDescent="0.35">
      <c r="B8" s="390" t="s">
        <v>253</v>
      </c>
      <c r="C8" s="561">
        <v>0.8</v>
      </c>
      <c r="D8" s="561">
        <v>0.8</v>
      </c>
      <c r="E8" s="561">
        <v>0.8</v>
      </c>
      <c r="F8" s="561">
        <v>0.70000000000000007</v>
      </c>
      <c r="G8" s="561">
        <v>0.8</v>
      </c>
      <c r="H8" s="570">
        <v>0.70000000000000007</v>
      </c>
      <c r="I8" s="561">
        <v>0.62000000000000011</v>
      </c>
      <c r="J8" s="561">
        <v>0.60000000000000009</v>
      </c>
      <c r="K8" s="561">
        <v>0.64</v>
      </c>
      <c r="L8" s="561">
        <v>0.64</v>
      </c>
      <c r="M8" s="570">
        <v>0.60000000000000009</v>
      </c>
      <c r="N8" s="561">
        <v>0.16000000000000003</v>
      </c>
      <c r="O8" s="561">
        <v>0.06</v>
      </c>
      <c r="P8" s="561">
        <v>0.5</v>
      </c>
    </row>
    <row r="9" spans="2:16" customFormat="1" ht="15" x14ac:dyDescent="0.35">
      <c r="B9" s="391" t="s">
        <v>259</v>
      </c>
      <c r="C9" s="428">
        <v>4</v>
      </c>
      <c r="D9" s="428">
        <v>4</v>
      </c>
      <c r="E9" s="428">
        <v>4</v>
      </c>
      <c r="F9" s="428">
        <v>4</v>
      </c>
      <c r="G9" s="428">
        <v>4</v>
      </c>
      <c r="H9" s="428">
        <v>4</v>
      </c>
      <c r="I9" s="428">
        <v>4</v>
      </c>
      <c r="J9" s="428">
        <v>4</v>
      </c>
      <c r="K9" s="428">
        <v>4</v>
      </c>
      <c r="L9" s="428">
        <v>4</v>
      </c>
      <c r="M9" s="428">
        <v>4</v>
      </c>
      <c r="N9" s="428">
        <v>0</v>
      </c>
      <c r="O9" s="428">
        <v>0</v>
      </c>
      <c r="P9" s="428">
        <v>2</v>
      </c>
    </row>
    <row r="10" spans="2:16" customFormat="1" ht="15" x14ac:dyDescent="0.35">
      <c r="B10" s="392" t="s">
        <v>261</v>
      </c>
      <c r="C10" s="430">
        <v>4</v>
      </c>
      <c r="D10" s="430">
        <v>4</v>
      </c>
      <c r="E10" s="430">
        <v>4</v>
      </c>
      <c r="F10" s="430">
        <v>4</v>
      </c>
      <c r="G10" s="430">
        <v>4</v>
      </c>
      <c r="H10" s="430">
        <v>4</v>
      </c>
      <c r="I10" s="430">
        <v>4</v>
      </c>
      <c r="J10" s="430">
        <v>2</v>
      </c>
      <c r="K10" s="430">
        <v>2</v>
      </c>
      <c r="L10" s="430">
        <v>2</v>
      </c>
      <c r="M10" s="430">
        <v>2</v>
      </c>
      <c r="N10" s="430">
        <v>2</v>
      </c>
      <c r="O10" s="430">
        <v>2</v>
      </c>
      <c r="P10" s="430">
        <v>4</v>
      </c>
    </row>
    <row r="11" spans="2:16" customFormat="1" ht="15" x14ac:dyDescent="0.35">
      <c r="B11" s="391" t="s">
        <v>263</v>
      </c>
      <c r="C11" s="428">
        <v>4</v>
      </c>
      <c r="D11" s="428">
        <v>4</v>
      </c>
      <c r="E11" s="428">
        <v>4</v>
      </c>
      <c r="F11" s="428">
        <v>2</v>
      </c>
      <c r="G11" s="428">
        <v>4</v>
      </c>
      <c r="H11" s="428">
        <v>2</v>
      </c>
      <c r="I11" s="428">
        <v>2</v>
      </c>
      <c r="J11" s="428">
        <v>2</v>
      </c>
      <c r="K11" s="428">
        <v>2</v>
      </c>
      <c r="L11" s="428">
        <v>2</v>
      </c>
      <c r="M11" s="428">
        <v>2</v>
      </c>
      <c r="N11" s="428">
        <v>2</v>
      </c>
      <c r="O11" s="428">
        <v>0</v>
      </c>
      <c r="P11" s="428">
        <v>2</v>
      </c>
    </row>
    <row r="12" spans="2:16" customFormat="1" ht="45" x14ac:dyDescent="0.35">
      <c r="B12" s="392" t="s">
        <v>265</v>
      </c>
      <c r="C12" s="430">
        <v>4</v>
      </c>
      <c r="D12" s="430">
        <v>4</v>
      </c>
      <c r="E12" s="430">
        <v>4</v>
      </c>
      <c r="F12" s="430">
        <v>4</v>
      </c>
      <c r="G12" s="430">
        <v>4</v>
      </c>
      <c r="H12" s="430">
        <v>4</v>
      </c>
      <c r="I12" s="430">
        <v>0</v>
      </c>
      <c r="J12" s="430">
        <v>2</v>
      </c>
      <c r="K12" s="430">
        <v>4</v>
      </c>
      <c r="L12" s="430">
        <v>4</v>
      </c>
      <c r="M12" s="430">
        <v>2</v>
      </c>
      <c r="N12" s="430">
        <v>0</v>
      </c>
      <c r="O12" s="430">
        <v>0</v>
      </c>
      <c r="P12" s="430">
        <v>4</v>
      </c>
    </row>
    <row r="13" spans="2:16" customFormat="1" ht="30" x14ac:dyDescent="0.35">
      <c r="B13" s="390" t="s">
        <v>254</v>
      </c>
      <c r="C13" s="561">
        <v>0.6</v>
      </c>
      <c r="D13" s="561">
        <v>0.6</v>
      </c>
      <c r="E13" s="561">
        <v>0.6</v>
      </c>
      <c r="F13" s="561">
        <v>0.6</v>
      </c>
      <c r="G13" s="561">
        <v>0.6</v>
      </c>
      <c r="H13" s="570">
        <v>0.6</v>
      </c>
      <c r="I13" s="561">
        <v>0.6</v>
      </c>
      <c r="J13" s="561">
        <v>0.6</v>
      </c>
      <c r="K13" s="561">
        <v>0.6</v>
      </c>
      <c r="L13" s="561">
        <v>0.6</v>
      </c>
      <c r="M13" s="570">
        <v>0.6</v>
      </c>
      <c r="N13" s="561">
        <v>0.6</v>
      </c>
      <c r="O13" s="561">
        <v>0.36</v>
      </c>
      <c r="P13" s="561">
        <v>0.6</v>
      </c>
    </row>
    <row r="14" spans="2:16" customFormat="1" ht="15" x14ac:dyDescent="0.35">
      <c r="B14" s="391" t="s">
        <v>12</v>
      </c>
      <c r="C14" s="428">
        <v>4</v>
      </c>
      <c r="D14" s="428">
        <v>4</v>
      </c>
      <c r="E14" s="428">
        <v>4</v>
      </c>
      <c r="F14" s="428">
        <v>4</v>
      </c>
      <c r="G14" s="428">
        <v>4</v>
      </c>
      <c r="H14" s="428">
        <v>4</v>
      </c>
      <c r="I14" s="428">
        <v>4</v>
      </c>
      <c r="J14" s="428">
        <v>4</v>
      </c>
      <c r="K14" s="428">
        <v>4</v>
      </c>
      <c r="L14" s="428">
        <v>4</v>
      </c>
      <c r="M14" s="428">
        <v>4</v>
      </c>
      <c r="N14" s="428">
        <v>4</v>
      </c>
      <c r="O14" s="428">
        <v>0</v>
      </c>
      <c r="P14" s="428">
        <v>4</v>
      </c>
    </row>
    <row r="15" spans="2:16" customFormat="1" ht="15" x14ac:dyDescent="0.35">
      <c r="B15" s="392" t="s">
        <v>266</v>
      </c>
      <c r="C15" s="430">
        <v>4</v>
      </c>
      <c r="D15" s="430">
        <v>4</v>
      </c>
      <c r="E15" s="430">
        <v>4</v>
      </c>
      <c r="F15" s="430">
        <v>4</v>
      </c>
      <c r="G15" s="430">
        <v>4</v>
      </c>
      <c r="H15" s="430">
        <v>4</v>
      </c>
      <c r="I15" s="430">
        <v>4</v>
      </c>
      <c r="J15" s="430">
        <v>4</v>
      </c>
      <c r="K15" s="430">
        <v>4</v>
      </c>
      <c r="L15" s="430">
        <v>4</v>
      </c>
      <c r="M15" s="430">
        <v>4</v>
      </c>
      <c r="N15" s="430">
        <v>4</v>
      </c>
      <c r="O15" s="430">
        <v>4</v>
      </c>
      <c r="P15" s="430">
        <v>4</v>
      </c>
    </row>
    <row r="16" spans="2:16" customFormat="1" ht="30" x14ac:dyDescent="0.35">
      <c r="B16" s="390" t="s">
        <v>255</v>
      </c>
      <c r="C16" s="561">
        <v>0.3</v>
      </c>
      <c r="D16" s="561">
        <v>0.3</v>
      </c>
      <c r="E16" s="561">
        <v>0.3</v>
      </c>
      <c r="F16" s="561">
        <v>0.15</v>
      </c>
      <c r="G16" s="561">
        <v>0.3</v>
      </c>
      <c r="H16" s="570">
        <v>0.3</v>
      </c>
      <c r="I16" s="561">
        <v>0.3</v>
      </c>
      <c r="J16" s="561">
        <v>0.15</v>
      </c>
      <c r="K16" s="561">
        <v>0</v>
      </c>
      <c r="L16" s="561">
        <v>0</v>
      </c>
      <c r="M16" s="570">
        <v>0.15</v>
      </c>
      <c r="N16" s="561">
        <v>0.15</v>
      </c>
      <c r="O16" s="561">
        <v>0.3</v>
      </c>
      <c r="P16" s="561">
        <v>0</v>
      </c>
    </row>
    <row r="17" spans="2:16" customFormat="1" ht="15" x14ac:dyDescent="0.35">
      <c r="B17" s="391" t="s">
        <v>267</v>
      </c>
      <c r="C17" s="428">
        <v>4</v>
      </c>
      <c r="D17" s="428">
        <v>4</v>
      </c>
      <c r="E17" s="428">
        <v>4</v>
      </c>
      <c r="F17" s="428">
        <v>0</v>
      </c>
      <c r="G17" s="428">
        <v>4</v>
      </c>
      <c r="H17" s="428">
        <v>4</v>
      </c>
      <c r="I17" s="428">
        <v>4</v>
      </c>
      <c r="J17" s="428">
        <v>0</v>
      </c>
      <c r="K17" s="428">
        <v>0</v>
      </c>
      <c r="L17" s="428">
        <v>0</v>
      </c>
      <c r="M17" s="428">
        <v>0</v>
      </c>
      <c r="N17" s="428">
        <v>0</v>
      </c>
      <c r="O17" s="428">
        <v>0</v>
      </c>
      <c r="P17" s="428">
        <v>0</v>
      </c>
    </row>
    <row r="18" spans="2:16" customFormat="1" ht="15" x14ac:dyDescent="0.35">
      <c r="B18" s="392" t="s">
        <v>268</v>
      </c>
      <c r="C18" s="430">
        <v>0</v>
      </c>
      <c r="D18" s="430">
        <v>0</v>
      </c>
      <c r="E18" s="430">
        <v>0</v>
      </c>
      <c r="F18" s="430">
        <v>2</v>
      </c>
      <c r="G18" s="430">
        <v>0</v>
      </c>
      <c r="H18" s="430">
        <v>0</v>
      </c>
      <c r="I18" s="430">
        <v>0</v>
      </c>
      <c r="J18" s="430">
        <v>2</v>
      </c>
      <c r="K18" s="430">
        <v>0</v>
      </c>
      <c r="L18" s="430">
        <v>0</v>
      </c>
      <c r="M18" s="430">
        <v>2</v>
      </c>
      <c r="N18" s="430">
        <v>2</v>
      </c>
      <c r="O18" s="430">
        <v>4</v>
      </c>
      <c r="P18" s="430">
        <v>0</v>
      </c>
    </row>
    <row r="19" spans="2:16" customFormat="1" ht="30" x14ac:dyDescent="0.35">
      <c r="B19" s="390" t="s">
        <v>256</v>
      </c>
      <c r="C19" s="561">
        <v>0.4</v>
      </c>
      <c r="D19" s="561">
        <v>0.4</v>
      </c>
      <c r="E19" s="561">
        <v>0.4</v>
      </c>
      <c r="F19" s="561">
        <v>0.4</v>
      </c>
      <c r="G19" s="561">
        <v>0.26999999999999996</v>
      </c>
      <c r="H19" s="570">
        <v>0.33999999999999997</v>
      </c>
      <c r="I19" s="561">
        <v>0.33999999999999997</v>
      </c>
      <c r="J19" s="561">
        <v>0.36</v>
      </c>
      <c r="K19" s="561">
        <v>0.34</v>
      </c>
      <c r="L19" s="561">
        <v>0.2</v>
      </c>
      <c r="M19" s="570">
        <v>0.24</v>
      </c>
      <c r="N19" s="561">
        <v>0.27999999999999997</v>
      </c>
      <c r="O19" s="561">
        <v>0.38</v>
      </c>
      <c r="P19" s="561">
        <v>0.15000000000000002</v>
      </c>
    </row>
    <row r="20" spans="2:16" customFormat="1" ht="15" x14ac:dyDescent="0.35">
      <c r="B20" s="391" t="s">
        <v>269</v>
      </c>
      <c r="C20" s="428">
        <v>4</v>
      </c>
      <c r="D20" s="428">
        <v>4</v>
      </c>
      <c r="E20" s="428">
        <v>4</v>
      </c>
      <c r="F20" s="428">
        <v>4</v>
      </c>
      <c r="G20" s="428">
        <v>2</v>
      </c>
      <c r="H20" s="428">
        <v>4</v>
      </c>
      <c r="I20" s="428">
        <v>4</v>
      </c>
      <c r="J20" s="428">
        <v>4</v>
      </c>
      <c r="K20" s="428">
        <v>4</v>
      </c>
      <c r="L20" s="428">
        <v>4</v>
      </c>
      <c r="M20" s="428">
        <v>4</v>
      </c>
      <c r="N20" s="428">
        <v>4</v>
      </c>
      <c r="O20" s="428">
        <v>4</v>
      </c>
      <c r="P20" s="428">
        <v>2</v>
      </c>
    </row>
    <row r="21" spans="2:16" customFormat="1" ht="15" x14ac:dyDescent="0.35">
      <c r="B21" s="392" t="s">
        <v>270</v>
      </c>
      <c r="C21" s="430">
        <v>4</v>
      </c>
      <c r="D21" s="430">
        <v>4</v>
      </c>
      <c r="E21" s="430">
        <v>4</v>
      </c>
      <c r="F21" s="430">
        <v>4</v>
      </c>
      <c r="G21" s="430">
        <v>4</v>
      </c>
      <c r="H21" s="430">
        <v>4</v>
      </c>
      <c r="I21" s="430">
        <v>0</v>
      </c>
      <c r="J21" s="430">
        <v>4</v>
      </c>
      <c r="K21" s="430">
        <v>4</v>
      </c>
      <c r="L21" s="430">
        <v>4</v>
      </c>
      <c r="M21" s="430">
        <v>4</v>
      </c>
      <c r="N21" s="430">
        <v>4</v>
      </c>
      <c r="O21" s="430">
        <v>4</v>
      </c>
      <c r="P21" s="430">
        <v>0</v>
      </c>
    </row>
    <row r="22" spans="2:16" customFormat="1" ht="15" x14ac:dyDescent="0.35">
      <c r="B22" s="391" t="s">
        <v>271</v>
      </c>
      <c r="C22" s="428">
        <v>4</v>
      </c>
      <c r="D22" s="428">
        <v>4</v>
      </c>
      <c r="E22" s="428">
        <v>4</v>
      </c>
      <c r="F22" s="428">
        <v>4</v>
      </c>
      <c r="G22" s="428">
        <v>2</v>
      </c>
      <c r="H22" s="428">
        <v>2</v>
      </c>
      <c r="I22" s="428">
        <v>4</v>
      </c>
      <c r="J22" s="428">
        <v>4</v>
      </c>
      <c r="K22" s="428">
        <v>4</v>
      </c>
      <c r="L22" s="428">
        <v>0</v>
      </c>
      <c r="M22" s="428">
        <v>2</v>
      </c>
      <c r="N22" s="428">
        <v>2</v>
      </c>
      <c r="O22" s="428">
        <v>4</v>
      </c>
      <c r="P22" s="428">
        <v>0</v>
      </c>
    </row>
    <row r="23" spans="2:16" customFormat="1" ht="15" x14ac:dyDescent="0.35">
      <c r="B23" s="392" t="s">
        <v>272</v>
      </c>
      <c r="C23" s="430">
        <v>4</v>
      </c>
      <c r="D23" s="430">
        <v>4</v>
      </c>
      <c r="E23" s="430">
        <v>4</v>
      </c>
      <c r="F23" s="430">
        <v>4</v>
      </c>
      <c r="G23" s="430">
        <v>4</v>
      </c>
      <c r="H23" s="430">
        <v>4</v>
      </c>
      <c r="I23" s="430">
        <v>4</v>
      </c>
      <c r="J23" s="430">
        <v>4</v>
      </c>
      <c r="K23" s="430">
        <v>2</v>
      </c>
      <c r="L23" s="430">
        <v>4</v>
      </c>
      <c r="M23" s="430">
        <v>2</v>
      </c>
      <c r="N23" s="430">
        <v>2</v>
      </c>
      <c r="O23" s="430">
        <v>4</v>
      </c>
      <c r="P23" s="430">
        <v>4</v>
      </c>
    </row>
    <row r="24" spans="2:16" customFormat="1" ht="15" x14ac:dyDescent="0.35">
      <c r="B24" s="391" t="s">
        <v>273</v>
      </c>
      <c r="C24" s="428">
        <v>4</v>
      </c>
      <c r="D24" s="428">
        <v>4</v>
      </c>
      <c r="E24" s="428">
        <v>4</v>
      </c>
      <c r="F24" s="428">
        <v>4</v>
      </c>
      <c r="G24" s="428">
        <v>4</v>
      </c>
      <c r="H24" s="428">
        <v>4</v>
      </c>
      <c r="I24" s="428">
        <v>4</v>
      </c>
      <c r="J24" s="428">
        <v>4</v>
      </c>
      <c r="K24" s="428">
        <v>4</v>
      </c>
      <c r="L24" s="428">
        <v>4</v>
      </c>
      <c r="M24" s="428">
        <v>4</v>
      </c>
      <c r="N24" s="428">
        <v>4</v>
      </c>
      <c r="O24" s="428">
        <v>2</v>
      </c>
      <c r="P24" s="428">
        <v>4</v>
      </c>
    </row>
    <row r="25" spans="2:16" customFormat="1" ht="15" x14ac:dyDescent="0.35">
      <c r="B25" s="392" t="s">
        <v>274</v>
      </c>
      <c r="C25" s="430">
        <v>4</v>
      </c>
      <c r="D25" s="430">
        <v>4</v>
      </c>
      <c r="E25" s="430">
        <v>4</v>
      </c>
      <c r="F25" s="430">
        <v>4</v>
      </c>
      <c r="G25" s="430">
        <v>2</v>
      </c>
      <c r="H25" s="430">
        <v>4</v>
      </c>
      <c r="I25" s="430">
        <v>4</v>
      </c>
      <c r="J25" s="430">
        <v>2</v>
      </c>
      <c r="K25" s="430">
        <v>2</v>
      </c>
      <c r="L25" s="430">
        <v>0</v>
      </c>
      <c r="M25" s="430">
        <v>0</v>
      </c>
      <c r="N25" s="430">
        <v>2</v>
      </c>
      <c r="O25" s="430">
        <v>4</v>
      </c>
      <c r="P25" s="430">
        <v>2</v>
      </c>
    </row>
    <row r="26" spans="2:16" customFormat="1" ht="15" x14ac:dyDescent="0.35">
      <c r="B26" s="390" t="s">
        <v>257</v>
      </c>
      <c r="C26" s="561">
        <v>0.48</v>
      </c>
      <c r="D26" s="561">
        <v>0.48</v>
      </c>
      <c r="E26" s="561">
        <v>0.48</v>
      </c>
      <c r="F26" s="561">
        <v>0.48</v>
      </c>
      <c r="G26" s="561">
        <v>0.48</v>
      </c>
      <c r="H26" s="570">
        <v>0.48</v>
      </c>
      <c r="I26" s="561">
        <v>0.28800000000000003</v>
      </c>
      <c r="J26" s="561">
        <v>0.38400000000000001</v>
      </c>
      <c r="K26" s="561">
        <v>0.38400000000000001</v>
      </c>
      <c r="L26" s="561">
        <v>0.28800000000000003</v>
      </c>
      <c r="M26" s="570">
        <v>0.28800000000000003</v>
      </c>
      <c r="N26" s="561">
        <v>0.48</v>
      </c>
      <c r="O26" s="561">
        <v>0.432</v>
      </c>
      <c r="P26" s="561">
        <v>0.38400000000000001</v>
      </c>
    </row>
    <row r="27" spans="2:16" customFormat="1" ht="15" x14ac:dyDescent="0.35">
      <c r="B27" s="393" t="s">
        <v>275</v>
      </c>
      <c r="C27" s="428">
        <v>4</v>
      </c>
      <c r="D27" s="428">
        <v>4</v>
      </c>
      <c r="E27" s="428">
        <v>4</v>
      </c>
      <c r="F27" s="428">
        <v>4</v>
      </c>
      <c r="G27" s="428">
        <v>2</v>
      </c>
      <c r="H27" s="428">
        <v>2</v>
      </c>
      <c r="I27" s="428">
        <v>4</v>
      </c>
      <c r="J27" s="428">
        <v>4</v>
      </c>
      <c r="K27" s="428">
        <v>4</v>
      </c>
      <c r="L27" s="428">
        <v>0</v>
      </c>
      <c r="M27" s="428">
        <v>2</v>
      </c>
      <c r="N27" s="428">
        <v>2</v>
      </c>
      <c r="O27" s="428">
        <v>4</v>
      </c>
      <c r="P27" s="428">
        <v>0</v>
      </c>
    </row>
    <row r="28" spans="2:16" customFormat="1" ht="15" x14ac:dyDescent="0.35">
      <c r="B28" s="400" t="s">
        <v>276</v>
      </c>
      <c r="C28" s="430">
        <v>4</v>
      </c>
      <c r="D28" s="430">
        <v>4</v>
      </c>
      <c r="E28" s="430">
        <v>4</v>
      </c>
      <c r="F28" s="430">
        <v>4</v>
      </c>
      <c r="G28" s="430">
        <v>4</v>
      </c>
      <c r="H28" s="430">
        <v>4</v>
      </c>
      <c r="I28" s="430">
        <v>4</v>
      </c>
      <c r="J28" s="430">
        <v>0</v>
      </c>
      <c r="K28" s="430">
        <v>0</v>
      </c>
      <c r="L28" s="430">
        <v>4</v>
      </c>
      <c r="M28" s="430">
        <v>0</v>
      </c>
      <c r="N28" s="430">
        <v>4</v>
      </c>
      <c r="O28" s="430">
        <v>2</v>
      </c>
      <c r="P28" s="430">
        <v>0</v>
      </c>
    </row>
    <row r="29" spans="2:16" customFormat="1" ht="15" x14ac:dyDescent="0.35">
      <c r="B29" s="393" t="s">
        <v>277</v>
      </c>
      <c r="C29" s="428">
        <v>4</v>
      </c>
      <c r="D29" s="428">
        <v>4</v>
      </c>
      <c r="E29" s="428">
        <v>4</v>
      </c>
      <c r="F29" s="428">
        <v>4</v>
      </c>
      <c r="G29" s="428">
        <v>4</v>
      </c>
      <c r="H29" s="428">
        <v>4</v>
      </c>
      <c r="I29" s="428">
        <v>0</v>
      </c>
      <c r="J29" s="428">
        <v>4</v>
      </c>
      <c r="K29" s="428">
        <v>4</v>
      </c>
      <c r="L29" s="428">
        <v>4</v>
      </c>
      <c r="M29" s="428">
        <v>2</v>
      </c>
      <c r="N29" s="428">
        <v>4</v>
      </c>
      <c r="O29" s="428">
        <v>4</v>
      </c>
      <c r="P29" s="428">
        <v>4</v>
      </c>
    </row>
    <row r="30" spans="2:16" customFormat="1" ht="30" x14ac:dyDescent="0.35">
      <c r="B30" s="390" t="s">
        <v>278</v>
      </c>
      <c r="C30" s="561">
        <v>0.4</v>
      </c>
      <c r="D30" s="561">
        <v>0.4</v>
      </c>
      <c r="E30" s="561">
        <v>0.4</v>
      </c>
      <c r="F30" s="561">
        <v>0.32000000000000006</v>
      </c>
      <c r="G30" s="561">
        <v>0.4</v>
      </c>
      <c r="H30" s="570">
        <v>0.4</v>
      </c>
      <c r="I30" s="561">
        <v>0.4</v>
      </c>
      <c r="J30" s="561">
        <v>0.32000000000000006</v>
      </c>
      <c r="K30" s="561">
        <v>0.28000000000000003</v>
      </c>
      <c r="L30" s="561">
        <v>0.12000000000000002</v>
      </c>
      <c r="M30" s="570">
        <v>0.12000000000000002</v>
      </c>
      <c r="N30" s="561">
        <v>0.32000000000000006</v>
      </c>
      <c r="O30" s="561">
        <v>0.4</v>
      </c>
      <c r="P30" s="561">
        <v>0.24000000000000005</v>
      </c>
    </row>
    <row r="31" spans="2:16" customFormat="1" ht="15" x14ac:dyDescent="0.35">
      <c r="B31" s="392" t="s">
        <v>279</v>
      </c>
      <c r="C31" s="428">
        <v>4</v>
      </c>
      <c r="D31" s="428">
        <v>4</v>
      </c>
      <c r="E31" s="428">
        <v>4</v>
      </c>
      <c r="F31" s="428">
        <v>4</v>
      </c>
      <c r="G31" s="428">
        <v>4</v>
      </c>
      <c r="H31" s="428">
        <v>4</v>
      </c>
      <c r="I31" s="428">
        <v>4</v>
      </c>
      <c r="J31" s="428">
        <v>4</v>
      </c>
      <c r="K31" s="428">
        <v>0</v>
      </c>
      <c r="L31" s="428">
        <v>0</v>
      </c>
      <c r="M31" s="428">
        <v>0</v>
      </c>
      <c r="N31" s="428">
        <v>0</v>
      </c>
      <c r="O31" s="428">
        <v>4</v>
      </c>
      <c r="P31" s="428">
        <v>0</v>
      </c>
    </row>
    <row r="32" spans="2:16" customFormat="1" ht="15" x14ac:dyDescent="0.35">
      <c r="B32" s="391" t="s">
        <v>280</v>
      </c>
      <c r="C32" s="430">
        <v>4</v>
      </c>
      <c r="D32" s="430">
        <v>4</v>
      </c>
      <c r="E32" s="430">
        <v>4</v>
      </c>
      <c r="F32" s="430">
        <v>4</v>
      </c>
      <c r="G32" s="430">
        <v>4</v>
      </c>
      <c r="H32" s="430">
        <v>4</v>
      </c>
      <c r="I32" s="430">
        <v>4</v>
      </c>
      <c r="J32" s="430">
        <v>4</v>
      </c>
      <c r="K32" s="430">
        <v>4</v>
      </c>
      <c r="L32" s="430">
        <v>4</v>
      </c>
      <c r="M32" s="430">
        <v>4</v>
      </c>
      <c r="N32" s="430">
        <v>4</v>
      </c>
      <c r="O32" s="430">
        <v>4</v>
      </c>
      <c r="P32" s="430">
        <v>4</v>
      </c>
    </row>
    <row r="33" spans="2:16" customFormat="1" ht="15" x14ac:dyDescent="0.35">
      <c r="B33" s="392" t="s">
        <v>281</v>
      </c>
      <c r="C33" s="428">
        <v>4</v>
      </c>
      <c r="D33" s="428">
        <v>4</v>
      </c>
      <c r="E33" s="428">
        <v>4</v>
      </c>
      <c r="F33" s="428">
        <v>0</v>
      </c>
      <c r="G33" s="428">
        <v>4</v>
      </c>
      <c r="H33" s="428">
        <v>4</v>
      </c>
      <c r="I33" s="428">
        <v>4</v>
      </c>
      <c r="J33" s="428">
        <v>0</v>
      </c>
      <c r="K33" s="428">
        <v>2</v>
      </c>
      <c r="L33" s="428">
        <v>2</v>
      </c>
      <c r="M33" s="428">
        <v>2</v>
      </c>
      <c r="N33" s="428">
        <v>4</v>
      </c>
      <c r="O33" s="428">
        <v>4</v>
      </c>
      <c r="P33" s="428">
        <v>0</v>
      </c>
    </row>
    <row r="34" spans="2:16" customFormat="1" ht="15" x14ac:dyDescent="0.35">
      <c r="B34" s="391" t="s">
        <v>282</v>
      </c>
      <c r="C34" s="428">
        <v>4</v>
      </c>
      <c r="D34" s="428">
        <v>4</v>
      </c>
      <c r="E34" s="428">
        <v>4</v>
      </c>
      <c r="F34" s="428">
        <v>4</v>
      </c>
      <c r="G34" s="428">
        <v>4</v>
      </c>
      <c r="H34" s="428">
        <v>4</v>
      </c>
      <c r="I34" s="428">
        <v>4</v>
      </c>
      <c r="J34" s="428">
        <v>4</v>
      </c>
      <c r="K34" s="428">
        <v>4</v>
      </c>
      <c r="L34" s="428">
        <v>0</v>
      </c>
      <c r="M34" s="428">
        <v>0</v>
      </c>
      <c r="N34" s="428">
        <v>4</v>
      </c>
      <c r="O34" s="428">
        <v>4</v>
      </c>
      <c r="P34" s="428">
        <v>4</v>
      </c>
    </row>
    <row r="35" spans="2:16" customFormat="1" ht="15" x14ac:dyDescent="0.35">
      <c r="B35" s="390" t="s">
        <v>260</v>
      </c>
      <c r="C35" s="561">
        <v>0</v>
      </c>
      <c r="D35" s="561">
        <v>0</v>
      </c>
      <c r="E35" s="561">
        <v>0</v>
      </c>
      <c r="F35" s="561">
        <v>0.16</v>
      </c>
      <c r="G35" s="561">
        <v>0</v>
      </c>
      <c r="H35" s="570">
        <v>0</v>
      </c>
      <c r="I35" s="561">
        <v>0</v>
      </c>
      <c r="J35" s="561">
        <v>0.16</v>
      </c>
      <c r="K35" s="561">
        <v>0.16</v>
      </c>
      <c r="L35" s="561">
        <v>0.16</v>
      </c>
      <c r="M35" s="570">
        <v>0</v>
      </c>
      <c r="N35" s="561">
        <v>0</v>
      </c>
      <c r="O35" s="561">
        <v>0</v>
      </c>
      <c r="P35" s="561">
        <v>0</v>
      </c>
    </row>
    <row r="36" spans="2:16" customFormat="1" ht="30" x14ac:dyDescent="0.35">
      <c r="B36" s="392" t="s">
        <v>283</v>
      </c>
      <c r="C36" s="430">
        <v>0</v>
      </c>
      <c r="D36" s="430">
        <v>0</v>
      </c>
      <c r="E36" s="430">
        <v>0</v>
      </c>
      <c r="F36" s="430">
        <v>4</v>
      </c>
      <c r="G36" s="430">
        <v>0</v>
      </c>
      <c r="H36" s="430">
        <v>0</v>
      </c>
      <c r="I36" s="430">
        <v>0</v>
      </c>
      <c r="J36" s="430">
        <v>4</v>
      </c>
      <c r="K36" s="430">
        <v>4</v>
      </c>
      <c r="L36" s="430">
        <v>4</v>
      </c>
      <c r="M36" s="430">
        <v>0</v>
      </c>
      <c r="N36" s="430">
        <v>0</v>
      </c>
      <c r="O36" s="430">
        <v>0</v>
      </c>
      <c r="P36" s="430">
        <v>0</v>
      </c>
    </row>
    <row r="37" spans="2:16" customFormat="1" ht="15" x14ac:dyDescent="0.35">
      <c r="B37" s="391" t="s">
        <v>284</v>
      </c>
      <c r="C37" s="428">
        <v>0</v>
      </c>
      <c r="D37" s="428">
        <v>0</v>
      </c>
      <c r="E37" s="428">
        <v>0</v>
      </c>
      <c r="F37" s="428">
        <v>4</v>
      </c>
      <c r="G37" s="428">
        <v>0</v>
      </c>
      <c r="H37" s="428">
        <v>0</v>
      </c>
      <c r="I37" s="428">
        <v>0</v>
      </c>
      <c r="J37" s="428">
        <v>4</v>
      </c>
      <c r="K37" s="428">
        <v>4</v>
      </c>
      <c r="L37" s="428">
        <v>4</v>
      </c>
      <c r="M37" s="428">
        <v>0</v>
      </c>
      <c r="N37" s="428">
        <v>0</v>
      </c>
      <c r="O37" s="428">
        <v>0</v>
      </c>
      <c r="P37" s="428">
        <v>0</v>
      </c>
    </row>
    <row r="38" spans="2:16" customFormat="1" ht="15" x14ac:dyDescent="0.35">
      <c r="B38" s="390" t="s">
        <v>262</v>
      </c>
      <c r="C38" s="561">
        <v>0.32</v>
      </c>
      <c r="D38" s="561">
        <v>0.32</v>
      </c>
      <c r="E38" s="561">
        <v>0.32</v>
      </c>
      <c r="F38" s="561">
        <v>0.32</v>
      </c>
      <c r="G38" s="561">
        <v>0.28800000000000003</v>
      </c>
      <c r="H38" s="561">
        <v>0.28800000000000003</v>
      </c>
      <c r="I38" s="561">
        <v>0.32</v>
      </c>
      <c r="J38" s="561">
        <v>0.22400000000000003</v>
      </c>
      <c r="K38" s="561">
        <v>0.30400000000000005</v>
      </c>
      <c r="L38" s="561">
        <v>0.32</v>
      </c>
      <c r="M38" s="561">
        <v>0.30400000000000005</v>
      </c>
      <c r="N38" s="561">
        <v>0.32</v>
      </c>
      <c r="O38" s="561">
        <v>0.27200000000000002</v>
      </c>
      <c r="P38" s="561">
        <v>0.184</v>
      </c>
    </row>
    <row r="39" spans="2:16" customFormat="1" ht="15" x14ac:dyDescent="0.35">
      <c r="B39" s="392" t="s">
        <v>285</v>
      </c>
      <c r="C39" s="430">
        <v>4</v>
      </c>
      <c r="D39" s="430">
        <v>4</v>
      </c>
      <c r="E39" s="430">
        <v>4</v>
      </c>
      <c r="F39" s="430">
        <v>4</v>
      </c>
      <c r="G39" s="430">
        <v>4</v>
      </c>
      <c r="H39" s="430">
        <v>4</v>
      </c>
      <c r="I39" s="430">
        <v>4</v>
      </c>
      <c r="J39" s="430">
        <v>2</v>
      </c>
      <c r="K39" s="430">
        <v>4</v>
      </c>
      <c r="L39" s="430">
        <v>4</v>
      </c>
      <c r="M39" s="430">
        <v>4</v>
      </c>
      <c r="N39" s="430">
        <v>4</v>
      </c>
      <c r="O39" s="430">
        <v>4</v>
      </c>
      <c r="P39" s="430">
        <v>2</v>
      </c>
    </row>
    <row r="40" spans="2:16" customFormat="1" ht="15" x14ac:dyDescent="0.35">
      <c r="B40" s="391" t="s">
        <v>286</v>
      </c>
      <c r="C40" s="428">
        <v>4</v>
      </c>
      <c r="D40" s="428">
        <v>4</v>
      </c>
      <c r="E40" s="428">
        <v>4</v>
      </c>
      <c r="F40" s="428">
        <v>4</v>
      </c>
      <c r="G40" s="428">
        <v>2</v>
      </c>
      <c r="H40" s="428">
        <v>2</v>
      </c>
      <c r="I40" s="428">
        <v>4</v>
      </c>
      <c r="J40" s="428">
        <v>4</v>
      </c>
      <c r="K40" s="428">
        <v>4</v>
      </c>
      <c r="L40" s="428">
        <v>4</v>
      </c>
      <c r="M40" s="428">
        <v>4</v>
      </c>
      <c r="N40" s="428">
        <v>4</v>
      </c>
      <c r="O40" s="428">
        <v>2</v>
      </c>
      <c r="P40" s="428">
        <v>2</v>
      </c>
    </row>
    <row r="41" spans="2:16" customFormat="1" ht="15" x14ac:dyDescent="0.35">
      <c r="B41" s="392" t="s">
        <v>287</v>
      </c>
      <c r="C41" s="430">
        <v>4</v>
      </c>
      <c r="D41" s="430">
        <v>4</v>
      </c>
      <c r="E41" s="430">
        <v>4</v>
      </c>
      <c r="F41" s="430">
        <v>4</v>
      </c>
      <c r="G41" s="430">
        <v>4</v>
      </c>
      <c r="H41" s="430">
        <v>4</v>
      </c>
      <c r="I41" s="430">
        <v>4</v>
      </c>
      <c r="J41" s="430">
        <v>0</v>
      </c>
      <c r="K41" s="430">
        <v>2</v>
      </c>
      <c r="L41" s="430">
        <v>4</v>
      </c>
      <c r="M41" s="430">
        <v>2</v>
      </c>
      <c r="N41" s="430">
        <v>4</v>
      </c>
      <c r="O41" s="430">
        <v>2</v>
      </c>
      <c r="P41" s="430">
        <v>2</v>
      </c>
    </row>
    <row r="42" spans="2:16" customFormat="1" ht="15" x14ac:dyDescent="0.35">
      <c r="B42" s="391" t="s">
        <v>288</v>
      </c>
      <c r="C42" s="428">
        <v>4</v>
      </c>
      <c r="D42" s="428">
        <v>4</v>
      </c>
      <c r="E42" s="428">
        <v>4</v>
      </c>
      <c r="F42" s="428">
        <v>4</v>
      </c>
      <c r="G42" s="428">
        <v>4</v>
      </c>
      <c r="H42" s="428">
        <v>4</v>
      </c>
      <c r="I42" s="428">
        <v>4</v>
      </c>
      <c r="J42" s="428">
        <v>4</v>
      </c>
      <c r="K42" s="428">
        <v>4</v>
      </c>
      <c r="L42" s="428">
        <v>4</v>
      </c>
      <c r="M42" s="428">
        <v>4</v>
      </c>
      <c r="N42" s="428">
        <v>4</v>
      </c>
      <c r="O42" s="428">
        <v>4</v>
      </c>
      <c r="P42" s="428">
        <v>4</v>
      </c>
    </row>
    <row r="43" spans="2:16" customFormat="1" ht="30" x14ac:dyDescent="0.35">
      <c r="B43" s="392" t="s">
        <v>289</v>
      </c>
      <c r="C43" s="430">
        <v>4</v>
      </c>
      <c r="D43" s="430">
        <v>4</v>
      </c>
      <c r="E43" s="430">
        <v>4</v>
      </c>
      <c r="F43" s="430">
        <v>4</v>
      </c>
      <c r="G43" s="430">
        <v>4</v>
      </c>
      <c r="H43" s="430">
        <v>4</v>
      </c>
      <c r="I43" s="430">
        <v>4</v>
      </c>
      <c r="J43" s="430">
        <v>4</v>
      </c>
      <c r="K43" s="430">
        <v>4</v>
      </c>
      <c r="L43" s="430">
        <v>4</v>
      </c>
      <c r="M43" s="430">
        <v>4</v>
      </c>
      <c r="N43" s="430">
        <v>4</v>
      </c>
      <c r="O43" s="430">
        <v>4</v>
      </c>
      <c r="P43" s="430">
        <v>2</v>
      </c>
    </row>
    <row r="44" spans="2:16" customFormat="1" ht="15" x14ac:dyDescent="0.35">
      <c r="B44" s="390" t="s">
        <v>264</v>
      </c>
      <c r="C44" s="561">
        <v>0.13199999999999998</v>
      </c>
      <c r="D44" s="561">
        <v>0.13199999999999998</v>
      </c>
      <c r="E44" s="561">
        <v>0.13199999999999998</v>
      </c>
      <c r="F44" s="561">
        <v>0.14399999999999999</v>
      </c>
      <c r="G44" s="561">
        <v>0.12</v>
      </c>
      <c r="H44" s="570">
        <v>0.10800000000000001</v>
      </c>
      <c r="I44" s="561">
        <v>0.06</v>
      </c>
      <c r="J44" s="561">
        <v>7.1999999999999995E-2</v>
      </c>
      <c r="K44" s="561">
        <v>0.13199999999999998</v>
      </c>
      <c r="L44" s="561">
        <v>0.19199999999999998</v>
      </c>
      <c r="M44" s="570">
        <v>0.13200000000000001</v>
      </c>
      <c r="N44" s="561">
        <v>0.06</v>
      </c>
      <c r="O44" s="561">
        <v>0.06</v>
      </c>
      <c r="P44" s="561">
        <v>0.12</v>
      </c>
    </row>
    <row r="45" spans="2:16" customFormat="1" ht="15" x14ac:dyDescent="0.35">
      <c r="B45" s="391" t="s">
        <v>290</v>
      </c>
      <c r="C45" s="428">
        <v>4</v>
      </c>
      <c r="D45" s="428">
        <v>4</v>
      </c>
      <c r="E45" s="428">
        <v>4</v>
      </c>
      <c r="F45" s="428">
        <v>4</v>
      </c>
      <c r="G45" s="428">
        <v>4</v>
      </c>
      <c r="H45" s="428">
        <v>0</v>
      </c>
      <c r="I45" s="428">
        <v>0</v>
      </c>
      <c r="J45" s="428">
        <v>0</v>
      </c>
      <c r="K45" s="428">
        <v>0</v>
      </c>
      <c r="L45" s="428">
        <v>4</v>
      </c>
      <c r="M45" s="428">
        <v>4</v>
      </c>
      <c r="N45" s="428">
        <v>0</v>
      </c>
      <c r="O45" s="428">
        <v>0</v>
      </c>
      <c r="P45" s="428">
        <v>0</v>
      </c>
    </row>
    <row r="46" spans="2:16" customFormat="1" ht="15" x14ac:dyDescent="0.35">
      <c r="B46" s="392" t="s">
        <v>291</v>
      </c>
      <c r="C46" s="430">
        <v>2</v>
      </c>
      <c r="D46" s="430">
        <v>2</v>
      </c>
      <c r="E46" s="430">
        <v>2</v>
      </c>
      <c r="F46" s="430">
        <v>2</v>
      </c>
      <c r="G46" s="430">
        <v>0</v>
      </c>
      <c r="H46" s="430">
        <v>2</v>
      </c>
      <c r="I46" s="430">
        <v>2</v>
      </c>
      <c r="J46" s="430">
        <v>2</v>
      </c>
      <c r="K46" s="430">
        <v>4</v>
      </c>
      <c r="L46" s="430">
        <v>2</v>
      </c>
      <c r="M46" s="430">
        <v>0</v>
      </c>
      <c r="N46" s="430">
        <v>0</v>
      </c>
      <c r="O46" s="430">
        <v>2</v>
      </c>
      <c r="P46" s="430">
        <v>2</v>
      </c>
    </row>
    <row r="47" spans="2:16" customFormat="1" ht="15" x14ac:dyDescent="0.35">
      <c r="B47" s="391" t="s">
        <v>292</v>
      </c>
      <c r="C47" s="428">
        <v>2</v>
      </c>
      <c r="D47" s="428">
        <v>2</v>
      </c>
      <c r="E47" s="428">
        <v>2</v>
      </c>
      <c r="F47" s="428">
        <v>2</v>
      </c>
      <c r="G47" s="428">
        <v>0</v>
      </c>
      <c r="H47" s="428">
        <v>2</v>
      </c>
      <c r="I47" s="428">
        <v>2</v>
      </c>
      <c r="J47" s="428">
        <v>2</v>
      </c>
      <c r="K47" s="428">
        <v>2</v>
      </c>
      <c r="L47" s="428">
        <v>2</v>
      </c>
      <c r="M47" s="428">
        <v>0</v>
      </c>
      <c r="N47" s="428">
        <v>0</v>
      </c>
      <c r="O47" s="428">
        <v>2</v>
      </c>
      <c r="P47" s="428">
        <v>2</v>
      </c>
    </row>
    <row r="48" spans="2:16" customFormat="1" ht="15" x14ac:dyDescent="0.35">
      <c r="B48" s="392" t="s">
        <v>293</v>
      </c>
      <c r="C48" s="430">
        <v>2</v>
      </c>
      <c r="D48" s="430">
        <v>2</v>
      </c>
      <c r="E48" s="430">
        <v>2</v>
      </c>
      <c r="F48" s="430">
        <v>2</v>
      </c>
      <c r="G48" s="430">
        <v>4</v>
      </c>
      <c r="H48" s="430">
        <v>4</v>
      </c>
      <c r="I48" s="430">
        <v>2</v>
      </c>
      <c r="J48" s="430">
        <v>2</v>
      </c>
      <c r="K48" s="430">
        <v>4</v>
      </c>
      <c r="L48" s="430">
        <v>4</v>
      </c>
      <c r="M48" s="430">
        <v>4</v>
      </c>
      <c r="N48" s="430">
        <v>4</v>
      </c>
      <c r="O48" s="430">
        <v>0</v>
      </c>
      <c r="P48" s="430">
        <v>4</v>
      </c>
    </row>
    <row r="49" spans="2:16" customFormat="1" ht="15" x14ac:dyDescent="0.35">
      <c r="B49" s="391" t="s">
        <v>294</v>
      </c>
      <c r="C49" s="428">
        <v>0</v>
      </c>
      <c r="D49" s="428">
        <v>0</v>
      </c>
      <c r="E49" s="428">
        <v>0</v>
      </c>
      <c r="F49" s="428">
        <v>0</v>
      </c>
      <c r="G49" s="428">
        <v>0</v>
      </c>
      <c r="H49" s="428">
        <v>2</v>
      </c>
      <c r="I49" s="428">
        <v>0</v>
      </c>
      <c r="J49" s="428">
        <v>0</v>
      </c>
      <c r="K49" s="428">
        <v>0</v>
      </c>
      <c r="L49" s="428">
        <v>4</v>
      </c>
      <c r="M49" s="428">
        <v>2</v>
      </c>
      <c r="N49" s="428">
        <v>2</v>
      </c>
      <c r="O49" s="428">
        <v>0</v>
      </c>
      <c r="P49" s="428">
        <v>4</v>
      </c>
    </row>
    <row r="50" spans="2:16" customFormat="1" ht="15" x14ac:dyDescent="0.35">
      <c r="B50" s="392" t="s">
        <v>295</v>
      </c>
      <c r="C50" s="430">
        <v>0</v>
      </c>
      <c r="D50" s="430">
        <v>0</v>
      </c>
      <c r="E50" s="430">
        <v>0</v>
      </c>
      <c r="F50" s="430">
        <v>2</v>
      </c>
      <c r="G50" s="430">
        <v>4</v>
      </c>
      <c r="H50" s="430">
        <v>4</v>
      </c>
      <c r="I50" s="430">
        <v>0</v>
      </c>
      <c r="J50" s="430">
        <v>2</v>
      </c>
      <c r="K50" s="430">
        <v>4</v>
      </c>
      <c r="L50" s="430">
        <v>4</v>
      </c>
      <c r="M50" s="430">
        <v>4</v>
      </c>
      <c r="N50" s="430">
        <v>4</v>
      </c>
      <c r="O50" s="430">
        <v>2</v>
      </c>
      <c r="P50" s="430">
        <v>4</v>
      </c>
    </row>
    <row r="51" spans="2:16" customFormat="1" ht="15" x14ac:dyDescent="0.35">
      <c r="B51" s="387" t="s">
        <v>296</v>
      </c>
      <c r="C51" s="565">
        <v>1.7</v>
      </c>
      <c r="D51" s="565">
        <v>1.7</v>
      </c>
      <c r="E51" s="565">
        <v>1.7</v>
      </c>
      <c r="F51" s="565">
        <v>1.45</v>
      </c>
      <c r="G51" s="565">
        <v>1.7</v>
      </c>
      <c r="H51" s="571">
        <v>1.6</v>
      </c>
      <c r="I51" s="565">
        <v>1.5200000000000002</v>
      </c>
      <c r="J51" s="565">
        <v>1.35</v>
      </c>
      <c r="K51" s="565">
        <v>1.24</v>
      </c>
      <c r="L51" s="565">
        <v>1.24</v>
      </c>
      <c r="M51" s="571">
        <v>1.35</v>
      </c>
      <c r="N51" s="565">
        <v>0.91</v>
      </c>
      <c r="O51" s="565">
        <v>0.72</v>
      </c>
      <c r="P51" s="565">
        <v>1.1000000000000001</v>
      </c>
    </row>
    <row r="52" spans="2:16" customFormat="1" ht="15" x14ac:dyDescent="0.35">
      <c r="B52" s="387" t="s">
        <v>14</v>
      </c>
      <c r="C52" s="566">
        <v>1</v>
      </c>
      <c r="D52" s="566">
        <v>1</v>
      </c>
      <c r="E52" s="566">
        <v>1</v>
      </c>
      <c r="F52" s="566">
        <v>7</v>
      </c>
      <c r="G52" s="566">
        <v>1</v>
      </c>
      <c r="H52" s="572">
        <v>5</v>
      </c>
      <c r="I52" s="566">
        <v>6</v>
      </c>
      <c r="J52" s="566">
        <v>9</v>
      </c>
      <c r="K52" s="566">
        <v>13</v>
      </c>
      <c r="L52" s="566">
        <v>13</v>
      </c>
      <c r="M52" s="572">
        <v>9</v>
      </c>
      <c r="N52" s="566">
        <v>31</v>
      </c>
      <c r="O52" s="566">
        <v>48</v>
      </c>
      <c r="P52" s="566">
        <v>16</v>
      </c>
    </row>
    <row r="53" spans="2:16" customFormat="1" ht="15" x14ac:dyDescent="0.35">
      <c r="B53" s="387" t="s">
        <v>297</v>
      </c>
      <c r="C53" s="565">
        <v>1.732</v>
      </c>
      <c r="D53" s="565">
        <v>1.732</v>
      </c>
      <c r="E53" s="565">
        <v>1.732</v>
      </c>
      <c r="F53" s="565">
        <v>1.8240000000000001</v>
      </c>
      <c r="G53" s="565">
        <v>1.5579999999999998</v>
      </c>
      <c r="H53" s="571">
        <v>1.6160000000000001</v>
      </c>
      <c r="I53" s="565">
        <v>1.4080000000000001</v>
      </c>
      <c r="J53" s="565">
        <v>1.52</v>
      </c>
      <c r="K53" s="565">
        <v>1.5999999999999999</v>
      </c>
      <c r="L53" s="565">
        <v>1.28</v>
      </c>
      <c r="M53" s="571">
        <v>1.0840000000000001</v>
      </c>
      <c r="N53" s="565">
        <v>1.4600000000000002</v>
      </c>
      <c r="O53" s="565">
        <v>1.5440000000000003</v>
      </c>
      <c r="P53" s="565">
        <v>1.0779999999999998</v>
      </c>
    </row>
    <row r="54" spans="2:16" customFormat="1" ht="15" x14ac:dyDescent="0.35">
      <c r="B54" s="387" t="s">
        <v>298</v>
      </c>
      <c r="C54" s="566">
        <v>2</v>
      </c>
      <c r="D54" s="566">
        <v>2</v>
      </c>
      <c r="E54" s="566">
        <v>2</v>
      </c>
      <c r="F54" s="566">
        <v>1</v>
      </c>
      <c r="G54" s="566">
        <v>19</v>
      </c>
      <c r="H54" s="572">
        <v>10</v>
      </c>
      <c r="I54" s="566">
        <v>36</v>
      </c>
      <c r="J54" s="566">
        <v>25</v>
      </c>
      <c r="K54" s="566">
        <v>13</v>
      </c>
      <c r="L54" s="566">
        <v>41</v>
      </c>
      <c r="M54" s="572">
        <v>46</v>
      </c>
      <c r="N54" s="566">
        <v>29</v>
      </c>
      <c r="O54" s="566">
        <v>24</v>
      </c>
      <c r="P54" s="566">
        <v>47</v>
      </c>
    </row>
    <row r="55" spans="2:16" customFormat="1" ht="15" x14ac:dyDescent="0.35">
      <c r="B55" s="387" t="s">
        <v>299</v>
      </c>
      <c r="C55" s="565">
        <v>3.4319999999999999</v>
      </c>
      <c r="D55" s="565">
        <v>3.4319999999999999</v>
      </c>
      <c r="E55" s="565">
        <v>3.4319999999999999</v>
      </c>
      <c r="F55" s="565">
        <v>3.274</v>
      </c>
      <c r="G55" s="565">
        <v>3.258</v>
      </c>
      <c r="H55" s="571">
        <v>3.2160000000000002</v>
      </c>
      <c r="I55" s="565">
        <v>2.9280000000000004</v>
      </c>
      <c r="J55" s="565">
        <v>2.87</v>
      </c>
      <c r="K55" s="565">
        <v>2.84</v>
      </c>
      <c r="L55" s="565">
        <v>2.52</v>
      </c>
      <c r="M55" s="571">
        <v>2.4340000000000002</v>
      </c>
      <c r="N55" s="565">
        <v>2.37</v>
      </c>
      <c r="O55" s="565">
        <v>2.2640000000000002</v>
      </c>
      <c r="P55" s="565">
        <v>2.1779999999999999</v>
      </c>
    </row>
    <row r="56" spans="2:16" customFormat="1" ht="15" x14ac:dyDescent="0.35">
      <c r="B56" s="387" t="s">
        <v>16</v>
      </c>
      <c r="C56" s="566">
        <v>1</v>
      </c>
      <c r="D56" s="566">
        <v>1</v>
      </c>
      <c r="E56" s="566">
        <v>1</v>
      </c>
      <c r="F56" s="566">
        <v>4</v>
      </c>
      <c r="G56" s="566">
        <v>5</v>
      </c>
      <c r="H56" s="572">
        <v>6</v>
      </c>
      <c r="I56" s="566">
        <v>7</v>
      </c>
      <c r="J56" s="566">
        <v>8</v>
      </c>
      <c r="K56" s="566">
        <v>9</v>
      </c>
      <c r="L56" s="566">
        <v>20</v>
      </c>
      <c r="M56" s="572">
        <v>27</v>
      </c>
      <c r="N56" s="566">
        <v>33</v>
      </c>
      <c r="O56" s="566">
        <v>37</v>
      </c>
      <c r="P56" s="566">
        <v>39</v>
      </c>
    </row>
    <row r="59" spans="2:16" ht="107.5" customHeight="1" x14ac:dyDescent="0.35">
      <c r="B59" s="560" t="s">
        <v>4</v>
      </c>
      <c r="C59" s="559" t="s">
        <v>5</v>
      </c>
      <c r="D59" s="559" t="s">
        <v>300</v>
      </c>
      <c r="E59" s="559" t="s">
        <v>1427</v>
      </c>
      <c r="F59" s="559" t="s">
        <v>1079</v>
      </c>
      <c r="G59" s="559" t="s">
        <v>1428</v>
      </c>
      <c r="H59" s="559" t="s">
        <v>756</v>
      </c>
      <c r="I59" s="559" t="s">
        <v>1429</v>
      </c>
      <c r="J59" s="559" t="s">
        <v>1086</v>
      </c>
      <c r="K59" s="559" t="s">
        <v>1430</v>
      </c>
      <c r="L59" s="559" t="s">
        <v>1431</v>
      </c>
      <c r="M59" s="559" t="s">
        <v>299</v>
      </c>
      <c r="N59" s="559" t="s">
        <v>16</v>
      </c>
    </row>
    <row r="60" spans="2:16" ht="30" x14ac:dyDescent="0.35">
      <c r="B60" s="577">
        <v>1</v>
      </c>
      <c r="C60" s="428" t="s">
        <v>17</v>
      </c>
      <c r="D60" s="428">
        <v>0.8</v>
      </c>
      <c r="E60" s="428">
        <v>0.6</v>
      </c>
      <c r="F60" s="428">
        <v>0.3</v>
      </c>
      <c r="G60" s="428">
        <v>0.4</v>
      </c>
      <c r="H60" s="428">
        <v>0.48</v>
      </c>
      <c r="I60" s="428">
        <v>0.4</v>
      </c>
      <c r="J60" s="428">
        <v>0</v>
      </c>
      <c r="K60" s="428">
        <v>0.32</v>
      </c>
      <c r="L60" s="428">
        <v>0.13199999999999998</v>
      </c>
      <c r="M60" s="573">
        <v>3.4319999999999999</v>
      </c>
      <c r="N60" s="579">
        <v>1</v>
      </c>
    </row>
    <row r="61" spans="2:16" ht="30" x14ac:dyDescent="0.35">
      <c r="B61" s="578">
        <v>2</v>
      </c>
      <c r="C61" s="430" t="s">
        <v>19</v>
      </c>
      <c r="D61" s="430">
        <v>0.8</v>
      </c>
      <c r="E61" s="430">
        <v>0.6</v>
      </c>
      <c r="F61" s="430">
        <v>0.3</v>
      </c>
      <c r="G61" s="430">
        <v>0.4</v>
      </c>
      <c r="H61" s="430">
        <v>0.48</v>
      </c>
      <c r="I61" s="430">
        <v>0.4</v>
      </c>
      <c r="J61" s="430">
        <v>0</v>
      </c>
      <c r="K61" s="430">
        <v>0.32</v>
      </c>
      <c r="L61" s="430">
        <v>0.13199999999999998</v>
      </c>
      <c r="M61" s="574">
        <v>3.4319999999999999</v>
      </c>
      <c r="N61" s="579">
        <v>1</v>
      </c>
    </row>
    <row r="62" spans="2:16" ht="30" x14ac:dyDescent="0.35">
      <c r="B62" s="577">
        <v>3</v>
      </c>
      <c r="C62" s="428" t="s">
        <v>18</v>
      </c>
      <c r="D62" s="428">
        <v>0.8</v>
      </c>
      <c r="E62" s="428">
        <v>0.6</v>
      </c>
      <c r="F62" s="428">
        <v>0.3</v>
      </c>
      <c r="G62" s="428">
        <v>0.4</v>
      </c>
      <c r="H62" s="428">
        <v>0.48</v>
      </c>
      <c r="I62" s="428">
        <v>0.4</v>
      </c>
      <c r="J62" s="428">
        <v>0</v>
      </c>
      <c r="K62" s="428">
        <v>0.32</v>
      </c>
      <c r="L62" s="428">
        <v>0.13199999999999998</v>
      </c>
      <c r="M62" s="573">
        <v>3.4319999999999999</v>
      </c>
      <c r="N62" s="579">
        <v>1</v>
      </c>
    </row>
    <row r="63" spans="2:16" ht="30" x14ac:dyDescent="0.35">
      <c r="B63" s="578">
        <v>4</v>
      </c>
      <c r="C63" s="430" t="s">
        <v>20</v>
      </c>
      <c r="D63" s="430">
        <v>0.70000000000000007</v>
      </c>
      <c r="E63" s="430">
        <v>0.6</v>
      </c>
      <c r="F63" s="430">
        <v>0.15</v>
      </c>
      <c r="G63" s="430">
        <v>0.4</v>
      </c>
      <c r="H63" s="430">
        <v>0.48</v>
      </c>
      <c r="I63" s="430">
        <v>0.32000000000000006</v>
      </c>
      <c r="J63" s="430">
        <v>0.16</v>
      </c>
      <c r="K63" s="430">
        <v>0.32</v>
      </c>
      <c r="L63" s="430">
        <v>0.14399999999999999</v>
      </c>
      <c r="M63" s="574">
        <v>3.274</v>
      </c>
      <c r="N63" s="579">
        <v>4</v>
      </c>
    </row>
    <row r="64" spans="2:16" ht="30" x14ac:dyDescent="0.35">
      <c r="B64" s="577">
        <v>5</v>
      </c>
      <c r="C64" s="428" t="s">
        <v>21</v>
      </c>
      <c r="D64" s="428">
        <v>0.8</v>
      </c>
      <c r="E64" s="428">
        <v>0.6</v>
      </c>
      <c r="F64" s="428">
        <v>0.3</v>
      </c>
      <c r="G64" s="428">
        <v>0.26999999999999996</v>
      </c>
      <c r="H64" s="428">
        <v>0.48</v>
      </c>
      <c r="I64" s="428">
        <v>0.4</v>
      </c>
      <c r="J64" s="428">
        <v>0</v>
      </c>
      <c r="K64" s="428">
        <v>0.28800000000000003</v>
      </c>
      <c r="L64" s="428">
        <v>0.12</v>
      </c>
      <c r="M64" s="573">
        <v>3.258</v>
      </c>
      <c r="N64" s="579">
        <v>5</v>
      </c>
    </row>
    <row r="65" spans="2:38" ht="30" x14ac:dyDescent="0.35">
      <c r="B65" s="578">
        <v>6</v>
      </c>
      <c r="C65" s="430" t="s">
        <v>22</v>
      </c>
      <c r="D65" s="430">
        <v>0.70000000000000007</v>
      </c>
      <c r="E65" s="430">
        <v>0.6</v>
      </c>
      <c r="F65" s="430">
        <v>0.3</v>
      </c>
      <c r="G65" s="430">
        <v>0.33999999999999997</v>
      </c>
      <c r="H65" s="430">
        <v>0.48</v>
      </c>
      <c r="I65" s="430">
        <v>0.4</v>
      </c>
      <c r="J65" s="430">
        <v>0</v>
      </c>
      <c r="K65" s="430">
        <v>0.28800000000000003</v>
      </c>
      <c r="L65" s="430">
        <v>0.10800000000000001</v>
      </c>
      <c r="M65" s="574">
        <v>3.2160000000000002</v>
      </c>
      <c r="N65" s="579">
        <v>6</v>
      </c>
    </row>
    <row r="66" spans="2:38" ht="45" x14ac:dyDescent="0.35">
      <c r="B66" s="577">
        <v>7</v>
      </c>
      <c r="C66" s="428" t="s">
        <v>23</v>
      </c>
      <c r="D66" s="428">
        <v>0.62000000000000011</v>
      </c>
      <c r="E66" s="428">
        <v>0.6</v>
      </c>
      <c r="F66" s="428">
        <v>0.3</v>
      </c>
      <c r="G66" s="428">
        <v>0.33999999999999997</v>
      </c>
      <c r="H66" s="428">
        <v>0.28800000000000003</v>
      </c>
      <c r="I66" s="428">
        <v>0.4</v>
      </c>
      <c r="J66" s="428">
        <v>0</v>
      </c>
      <c r="K66" s="428">
        <v>0.32</v>
      </c>
      <c r="L66" s="428">
        <v>0.06</v>
      </c>
      <c r="M66" s="573">
        <v>2.9280000000000004</v>
      </c>
      <c r="N66" s="579">
        <v>7</v>
      </c>
    </row>
    <row r="67" spans="2:38" ht="30" x14ac:dyDescent="0.35">
      <c r="B67" s="578">
        <v>8</v>
      </c>
      <c r="C67" s="430" t="s">
        <v>24</v>
      </c>
      <c r="D67" s="430">
        <v>0.60000000000000009</v>
      </c>
      <c r="E67" s="430">
        <v>0.6</v>
      </c>
      <c r="F67" s="430">
        <v>0.15</v>
      </c>
      <c r="G67" s="430">
        <v>0.36</v>
      </c>
      <c r="H67" s="430">
        <v>0.38400000000000001</v>
      </c>
      <c r="I67" s="430">
        <v>0.32000000000000006</v>
      </c>
      <c r="J67" s="430">
        <v>0.16</v>
      </c>
      <c r="K67" s="430">
        <v>0.22400000000000003</v>
      </c>
      <c r="L67" s="430">
        <v>7.1999999999999995E-2</v>
      </c>
      <c r="M67" s="574">
        <v>2.87</v>
      </c>
      <c r="N67" s="579">
        <v>8</v>
      </c>
    </row>
    <row r="68" spans="2:38" ht="30" x14ac:dyDescent="0.35">
      <c r="B68" s="577">
        <v>9</v>
      </c>
      <c r="C68" s="428" t="s">
        <v>25</v>
      </c>
      <c r="D68" s="428">
        <v>0.64</v>
      </c>
      <c r="E68" s="428">
        <v>0.6</v>
      </c>
      <c r="F68" s="428">
        <v>0</v>
      </c>
      <c r="G68" s="428">
        <v>0.34</v>
      </c>
      <c r="H68" s="428">
        <v>0.38400000000000001</v>
      </c>
      <c r="I68" s="428">
        <v>0.28000000000000003</v>
      </c>
      <c r="J68" s="428">
        <v>0.16</v>
      </c>
      <c r="K68" s="428">
        <v>0.30400000000000005</v>
      </c>
      <c r="L68" s="428">
        <v>0.13199999999999998</v>
      </c>
      <c r="M68" s="573">
        <v>2.84</v>
      </c>
      <c r="N68" s="579">
        <v>9</v>
      </c>
    </row>
    <row r="69" spans="2:38" ht="30" x14ac:dyDescent="0.35">
      <c r="B69" s="578">
        <v>10</v>
      </c>
      <c r="C69" s="430" t="s">
        <v>36</v>
      </c>
      <c r="D69" s="430">
        <v>0.64</v>
      </c>
      <c r="E69" s="430">
        <v>0.6</v>
      </c>
      <c r="F69" s="430">
        <v>0</v>
      </c>
      <c r="G69" s="430">
        <v>0.2</v>
      </c>
      <c r="H69" s="430">
        <v>0.28800000000000003</v>
      </c>
      <c r="I69" s="430">
        <v>0.12000000000000002</v>
      </c>
      <c r="J69" s="430">
        <v>0.16</v>
      </c>
      <c r="K69" s="430">
        <v>0.32</v>
      </c>
      <c r="L69" s="430">
        <v>0.19199999999999998</v>
      </c>
      <c r="M69" s="574">
        <v>2.52</v>
      </c>
      <c r="N69" s="580">
        <v>20</v>
      </c>
    </row>
    <row r="70" spans="2:38" ht="30" x14ac:dyDescent="0.35">
      <c r="B70" s="577">
        <v>11</v>
      </c>
      <c r="C70" s="428" t="s">
        <v>43</v>
      </c>
      <c r="D70" s="428">
        <v>0.60000000000000009</v>
      </c>
      <c r="E70" s="428">
        <v>0.6</v>
      </c>
      <c r="F70" s="428">
        <v>0.15</v>
      </c>
      <c r="G70" s="428">
        <v>0.24</v>
      </c>
      <c r="H70" s="428">
        <v>0.28800000000000003</v>
      </c>
      <c r="I70" s="428">
        <v>0.12000000000000002</v>
      </c>
      <c r="J70" s="428">
        <v>0</v>
      </c>
      <c r="K70" s="428">
        <v>0.30400000000000005</v>
      </c>
      <c r="L70" s="428">
        <v>0.13200000000000001</v>
      </c>
      <c r="M70" s="573">
        <v>2.4340000000000002</v>
      </c>
      <c r="N70" s="580">
        <v>27</v>
      </c>
    </row>
    <row r="71" spans="2:38" ht="30" x14ac:dyDescent="0.35">
      <c r="B71" s="578">
        <v>12</v>
      </c>
      <c r="C71" s="430" t="s">
        <v>49</v>
      </c>
      <c r="D71" s="430">
        <v>0.16000000000000003</v>
      </c>
      <c r="E71" s="430">
        <v>0.6</v>
      </c>
      <c r="F71" s="430">
        <v>0.15</v>
      </c>
      <c r="G71" s="430">
        <v>0.27999999999999997</v>
      </c>
      <c r="H71" s="430">
        <v>0.48</v>
      </c>
      <c r="I71" s="430">
        <v>0.32000000000000006</v>
      </c>
      <c r="J71" s="430">
        <v>0</v>
      </c>
      <c r="K71" s="430">
        <v>0.32</v>
      </c>
      <c r="L71" s="430">
        <v>0.06</v>
      </c>
      <c r="M71" s="574">
        <v>2.37</v>
      </c>
      <c r="N71" s="580">
        <v>33</v>
      </c>
    </row>
    <row r="72" spans="2:38" ht="30" x14ac:dyDescent="0.35">
      <c r="B72" s="577">
        <v>13</v>
      </c>
      <c r="C72" s="428" t="s">
        <v>53</v>
      </c>
      <c r="D72" s="428">
        <v>0.06</v>
      </c>
      <c r="E72" s="428">
        <v>0.36</v>
      </c>
      <c r="F72" s="428">
        <v>0.3</v>
      </c>
      <c r="G72" s="428">
        <v>0.38</v>
      </c>
      <c r="H72" s="428">
        <v>0.432</v>
      </c>
      <c r="I72" s="428">
        <v>0.4</v>
      </c>
      <c r="J72" s="428">
        <v>0</v>
      </c>
      <c r="K72" s="428">
        <v>0.27200000000000002</v>
      </c>
      <c r="L72" s="428">
        <v>0.06</v>
      </c>
      <c r="M72" s="573">
        <v>2.2640000000000002</v>
      </c>
      <c r="N72" s="580">
        <v>37</v>
      </c>
    </row>
    <row r="73" spans="2:38" ht="30" x14ac:dyDescent="0.35">
      <c r="B73" s="578">
        <v>14</v>
      </c>
      <c r="C73" s="430" t="s">
        <v>55</v>
      </c>
      <c r="D73" s="430">
        <v>0.5</v>
      </c>
      <c r="E73" s="430">
        <v>0.6</v>
      </c>
      <c r="F73" s="430">
        <v>0</v>
      </c>
      <c r="G73" s="430">
        <v>0.15000000000000002</v>
      </c>
      <c r="H73" s="430">
        <v>0.38400000000000001</v>
      </c>
      <c r="I73" s="430">
        <v>0.24000000000000005</v>
      </c>
      <c r="J73" s="430">
        <v>0</v>
      </c>
      <c r="K73" s="430">
        <v>0.184</v>
      </c>
      <c r="L73" s="430">
        <v>0.12</v>
      </c>
      <c r="M73" s="574">
        <v>2.1779999999999999</v>
      </c>
      <c r="N73" s="580">
        <v>39</v>
      </c>
    </row>
    <row r="75" spans="2:38" ht="75" x14ac:dyDescent="0.35">
      <c r="B75" s="560" t="s">
        <v>4</v>
      </c>
      <c r="C75" s="559" t="s">
        <v>5</v>
      </c>
      <c r="D75" s="559" t="s">
        <v>259</v>
      </c>
      <c r="E75" s="559" t="s">
        <v>261</v>
      </c>
      <c r="F75" s="559" t="s">
        <v>263</v>
      </c>
      <c r="G75" s="559" t="s">
        <v>265</v>
      </c>
      <c r="H75" s="559" t="s">
        <v>12</v>
      </c>
      <c r="I75" s="559" t="s">
        <v>266</v>
      </c>
      <c r="J75" s="560" t="s">
        <v>267</v>
      </c>
      <c r="K75" s="559" t="s">
        <v>268</v>
      </c>
      <c r="L75" s="559" t="s">
        <v>269</v>
      </c>
      <c r="M75" s="559" t="s">
        <v>270</v>
      </c>
      <c r="N75" s="559" t="s">
        <v>271</v>
      </c>
      <c r="O75" s="559" t="s">
        <v>272</v>
      </c>
      <c r="P75" s="559" t="s">
        <v>273</v>
      </c>
      <c r="Q75" s="559" t="s">
        <v>274</v>
      </c>
      <c r="R75" s="559" t="s">
        <v>275</v>
      </c>
      <c r="S75" s="559" t="s">
        <v>276</v>
      </c>
      <c r="T75" s="559" t="s">
        <v>277</v>
      </c>
      <c r="U75" s="559" t="s">
        <v>279</v>
      </c>
      <c r="V75" s="560" t="s">
        <v>280</v>
      </c>
      <c r="W75" s="559" t="s">
        <v>281</v>
      </c>
      <c r="X75" s="559" t="s">
        <v>282</v>
      </c>
      <c r="Y75" s="559" t="s">
        <v>283</v>
      </c>
      <c r="Z75" s="559" t="s">
        <v>285</v>
      </c>
      <c r="AA75" s="559" t="s">
        <v>286</v>
      </c>
      <c r="AB75" s="559" t="s">
        <v>287</v>
      </c>
      <c r="AC75" s="559" t="s">
        <v>288</v>
      </c>
      <c r="AD75" s="559" t="s">
        <v>289</v>
      </c>
      <c r="AE75" s="559" t="s">
        <v>290</v>
      </c>
      <c r="AF75" s="559" t="s">
        <v>291</v>
      </c>
      <c r="AG75" s="560" t="s">
        <v>292</v>
      </c>
      <c r="AH75" s="559" t="s">
        <v>293</v>
      </c>
      <c r="AI75" s="559" t="s">
        <v>294</v>
      </c>
      <c r="AJ75" s="559" t="s">
        <v>295</v>
      </c>
      <c r="AK75" s="559" t="s">
        <v>299</v>
      </c>
      <c r="AL75" s="559" t="s">
        <v>16</v>
      </c>
    </row>
    <row r="76" spans="2:38" ht="30" x14ac:dyDescent="0.35">
      <c r="B76" s="575">
        <v>1</v>
      </c>
      <c r="C76" s="428" t="s">
        <v>17</v>
      </c>
      <c r="D76" s="428">
        <v>4</v>
      </c>
      <c r="E76" s="428">
        <v>4</v>
      </c>
      <c r="F76" s="428">
        <v>4</v>
      </c>
      <c r="G76" s="428">
        <v>4</v>
      </c>
      <c r="H76" s="428">
        <v>4</v>
      </c>
      <c r="I76" s="428">
        <v>4</v>
      </c>
      <c r="J76" s="428">
        <v>4</v>
      </c>
      <c r="K76" s="428">
        <v>0</v>
      </c>
      <c r="L76" s="428">
        <v>4</v>
      </c>
      <c r="M76" s="428">
        <v>4</v>
      </c>
      <c r="N76" s="428">
        <v>4</v>
      </c>
      <c r="O76" s="428">
        <v>4</v>
      </c>
      <c r="P76" s="428">
        <v>4</v>
      </c>
      <c r="Q76" s="428">
        <v>4</v>
      </c>
      <c r="R76" s="428">
        <v>4</v>
      </c>
      <c r="S76" s="428">
        <v>4</v>
      </c>
      <c r="T76" s="428">
        <v>4</v>
      </c>
      <c r="U76" s="428">
        <v>4</v>
      </c>
      <c r="V76" s="428">
        <v>4</v>
      </c>
      <c r="W76" s="428">
        <v>4</v>
      </c>
      <c r="X76" s="428">
        <v>4</v>
      </c>
      <c r="Y76" s="428">
        <v>0</v>
      </c>
      <c r="Z76" s="428">
        <v>4</v>
      </c>
      <c r="AA76" s="428">
        <v>4</v>
      </c>
      <c r="AB76" s="428">
        <v>4</v>
      </c>
      <c r="AC76" s="428">
        <v>4</v>
      </c>
      <c r="AD76" s="428">
        <v>4</v>
      </c>
      <c r="AE76" s="428">
        <v>4</v>
      </c>
      <c r="AF76" s="428">
        <v>2</v>
      </c>
      <c r="AG76" s="428">
        <v>2</v>
      </c>
      <c r="AH76" s="428">
        <v>2</v>
      </c>
      <c r="AI76" s="428">
        <v>0</v>
      </c>
      <c r="AJ76" s="428">
        <v>0</v>
      </c>
      <c r="AK76" s="573">
        <v>3.4319999999999999</v>
      </c>
      <c r="AL76" s="579">
        <v>1</v>
      </c>
    </row>
    <row r="77" spans="2:38" ht="30" x14ac:dyDescent="0.35">
      <c r="B77" s="576">
        <v>2</v>
      </c>
      <c r="C77" s="430" t="s">
        <v>19</v>
      </c>
      <c r="D77" s="430">
        <v>4</v>
      </c>
      <c r="E77" s="430">
        <v>4</v>
      </c>
      <c r="F77" s="430">
        <v>4</v>
      </c>
      <c r="G77" s="430">
        <v>4</v>
      </c>
      <c r="H77" s="430">
        <v>4</v>
      </c>
      <c r="I77" s="430">
        <v>4</v>
      </c>
      <c r="J77" s="430">
        <v>4</v>
      </c>
      <c r="K77" s="430">
        <v>0</v>
      </c>
      <c r="L77" s="430">
        <v>4</v>
      </c>
      <c r="M77" s="430">
        <v>4</v>
      </c>
      <c r="N77" s="430">
        <v>4</v>
      </c>
      <c r="O77" s="430">
        <v>4</v>
      </c>
      <c r="P77" s="430">
        <v>4</v>
      </c>
      <c r="Q77" s="430">
        <v>4</v>
      </c>
      <c r="R77" s="430">
        <v>4</v>
      </c>
      <c r="S77" s="430">
        <v>4</v>
      </c>
      <c r="T77" s="430">
        <v>4</v>
      </c>
      <c r="U77" s="430">
        <v>4</v>
      </c>
      <c r="V77" s="430">
        <v>4</v>
      </c>
      <c r="W77" s="430">
        <v>4</v>
      </c>
      <c r="X77" s="430">
        <v>4</v>
      </c>
      <c r="Y77" s="430">
        <v>0</v>
      </c>
      <c r="Z77" s="430">
        <v>4</v>
      </c>
      <c r="AA77" s="430">
        <v>4</v>
      </c>
      <c r="AB77" s="430">
        <v>4</v>
      </c>
      <c r="AC77" s="430">
        <v>4</v>
      </c>
      <c r="AD77" s="430">
        <v>4</v>
      </c>
      <c r="AE77" s="430">
        <v>4</v>
      </c>
      <c r="AF77" s="430">
        <v>2</v>
      </c>
      <c r="AG77" s="430">
        <v>2</v>
      </c>
      <c r="AH77" s="430">
        <v>2</v>
      </c>
      <c r="AI77" s="430">
        <v>0</v>
      </c>
      <c r="AJ77" s="430">
        <v>0</v>
      </c>
      <c r="AK77" s="574">
        <v>3.4319999999999999</v>
      </c>
      <c r="AL77" s="579">
        <v>1</v>
      </c>
    </row>
    <row r="78" spans="2:38" ht="30" x14ac:dyDescent="0.35">
      <c r="B78" s="575">
        <v>3</v>
      </c>
      <c r="C78" s="428" t="s">
        <v>18</v>
      </c>
      <c r="D78" s="428">
        <v>4</v>
      </c>
      <c r="E78" s="428">
        <v>4</v>
      </c>
      <c r="F78" s="428">
        <v>4</v>
      </c>
      <c r="G78" s="428">
        <v>4</v>
      </c>
      <c r="H78" s="428">
        <v>4</v>
      </c>
      <c r="I78" s="428">
        <v>4</v>
      </c>
      <c r="J78" s="428">
        <v>4</v>
      </c>
      <c r="K78" s="428">
        <v>0</v>
      </c>
      <c r="L78" s="428">
        <v>4</v>
      </c>
      <c r="M78" s="428">
        <v>4</v>
      </c>
      <c r="N78" s="428">
        <v>4</v>
      </c>
      <c r="O78" s="428">
        <v>4</v>
      </c>
      <c r="P78" s="428">
        <v>4</v>
      </c>
      <c r="Q78" s="428">
        <v>4</v>
      </c>
      <c r="R78" s="428">
        <v>4</v>
      </c>
      <c r="S78" s="428">
        <v>4</v>
      </c>
      <c r="T78" s="428">
        <v>4</v>
      </c>
      <c r="U78" s="428">
        <v>4</v>
      </c>
      <c r="V78" s="428">
        <v>4</v>
      </c>
      <c r="W78" s="428">
        <v>4</v>
      </c>
      <c r="X78" s="428">
        <v>4</v>
      </c>
      <c r="Y78" s="428">
        <v>0</v>
      </c>
      <c r="Z78" s="428">
        <v>4</v>
      </c>
      <c r="AA78" s="428">
        <v>4</v>
      </c>
      <c r="AB78" s="428">
        <v>4</v>
      </c>
      <c r="AC78" s="428">
        <v>4</v>
      </c>
      <c r="AD78" s="428">
        <v>4</v>
      </c>
      <c r="AE78" s="428">
        <v>4</v>
      </c>
      <c r="AF78" s="428">
        <v>2</v>
      </c>
      <c r="AG78" s="428">
        <v>2</v>
      </c>
      <c r="AH78" s="428">
        <v>2</v>
      </c>
      <c r="AI78" s="428">
        <v>0</v>
      </c>
      <c r="AJ78" s="428">
        <v>0</v>
      </c>
      <c r="AK78" s="573">
        <v>3.4319999999999999</v>
      </c>
      <c r="AL78" s="579">
        <v>1</v>
      </c>
    </row>
    <row r="79" spans="2:38" ht="30" x14ac:dyDescent="0.35">
      <c r="B79" s="576">
        <v>4</v>
      </c>
      <c r="C79" s="430" t="s">
        <v>20</v>
      </c>
      <c r="D79" s="430">
        <v>4</v>
      </c>
      <c r="E79" s="430">
        <v>4</v>
      </c>
      <c r="F79" s="430">
        <v>2</v>
      </c>
      <c r="G79" s="430">
        <v>4</v>
      </c>
      <c r="H79" s="430">
        <v>4</v>
      </c>
      <c r="I79" s="430">
        <v>4</v>
      </c>
      <c r="J79" s="430">
        <v>0</v>
      </c>
      <c r="K79" s="430">
        <v>2</v>
      </c>
      <c r="L79" s="430">
        <v>4</v>
      </c>
      <c r="M79" s="430">
        <v>4</v>
      </c>
      <c r="N79" s="430">
        <v>4</v>
      </c>
      <c r="O79" s="430">
        <v>4</v>
      </c>
      <c r="P79" s="430">
        <v>4</v>
      </c>
      <c r="Q79" s="430">
        <v>4</v>
      </c>
      <c r="R79" s="430">
        <v>4</v>
      </c>
      <c r="S79" s="430">
        <v>4</v>
      </c>
      <c r="T79" s="430">
        <v>4</v>
      </c>
      <c r="U79" s="430">
        <v>4</v>
      </c>
      <c r="V79" s="430">
        <v>4</v>
      </c>
      <c r="W79" s="430">
        <v>0</v>
      </c>
      <c r="X79" s="430">
        <v>4</v>
      </c>
      <c r="Y79" s="430">
        <v>4</v>
      </c>
      <c r="Z79" s="430">
        <v>4</v>
      </c>
      <c r="AA79" s="430">
        <v>4</v>
      </c>
      <c r="AB79" s="430">
        <v>4</v>
      </c>
      <c r="AC79" s="430">
        <v>4</v>
      </c>
      <c r="AD79" s="430">
        <v>4</v>
      </c>
      <c r="AE79" s="430">
        <v>4</v>
      </c>
      <c r="AF79" s="430">
        <v>2</v>
      </c>
      <c r="AG79" s="430">
        <v>2</v>
      </c>
      <c r="AH79" s="430">
        <v>2</v>
      </c>
      <c r="AI79" s="430">
        <v>0</v>
      </c>
      <c r="AJ79" s="430">
        <v>2</v>
      </c>
      <c r="AK79" s="574">
        <v>3.274</v>
      </c>
      <c r="AL79" s="579">
        <v>4</v>
      </c>
    </row>
    <row r="80" spans="2:38" ht="30" x14ac:dyDescent="0.35">
      <c r="B80" s="575">
        <v>5</v>
      </c>
      <c r="C80" s="428" t="s">
        <v>21</v>
      </c>
      <c r="D80" s="428">
        <v>4</v>
      </c>
      <c r="E80" s="428">
        <v>4</v>
      </c>
      <c r="F80" s="428">
        <v>4</v>
      </c>
      <c r="G80" s="428">
        <v>4</v>
      </c>
      <c r="H80" s="428">
        <v>4</v>
      </c>
      <c r="I80" s="428">
        <v>4</v>
      </c>
      <c r="J80" s="428">
        <v>4</v>
      </c>
      <c r="K80" s="428">
        <v>0</v>
      </c>
      <c r="L80" s="428">
        <v>2</v>
      </c>
      <c r="M80" s="428">
        <v>4</v>
      </c>
      <c r="N80" s="428">
        <v>2</v>
      </c>
      <c r="O80" s="428">
        <v>4</v>
      </c>
      <c r="P80" s="428">
        <v>4</v>
      </c>
      <c r="Q80" s="428">
        <v>2</v>
      </c>
      <c r="R80" s="428">
        <v>2</v>
      </c>
      <c r="S80" s="428">
        <v>4</v>
      </c>
      <c r="T80" s="428">
        <v>4</v>
      </c>
      <c r="U80" s="428">
        <v>4</v>
      </c>
      <c r="V80" s="428">
        <v>4</v>
      </c>
      <c r="W80" s="428">
        <v>4</v>
      </c>
      <c r="X80" s="428">
        <v>4</v>
      </c>
      <c r="Y80" s="428">
        <v>0</v>
      </c>
      <c r="Z80" s="428">
        <v>4</v>
      </c>
      <c r="AA80" s="428">
        <v>2</v>
      </c>
      <c r="AB80" s="428">
        <v>4</v>
      </c>
      <c r="AC80" s="428">
        <v>4</v>
      </c>
      <c r="AD80" s="428">
        <v>4</v>
      </c>
      <c r="AE80" s="428">
        <v>4</v>
      </c>
      <c r="AF80" s="428">
        <v>0</v>
      </c>
      <c r="AG80" s="428">
        <v>0</v>
      </c>
      <c r="AH80" s="428">
        <v>4</v>
      </c>
      <c r="AI80" s="428">
        <v>0</v>
      </c>
      <c r="AJ80" s="428">
        <v>4</v>
      </c>
      <c r="AK80" s="573">
        <v>3.258</v>
      </c>
      <c r="AL80" s="579">
        <v>5</v>
      </c>
    </row>
    <row r="81" spans="2:38" ht="30" x14ac:dyDescent="0.35">
      <c r="B81" s="576">
        <v>6</v>
      </c>
      <c r="C81" s="430" t="s">
        <v>22</v>
      </c>
      <c r="D81" s="430">
        <v>4</v>
      </c>
      <c r="E81" s="430">
        <v>4</v>
      </c>
      <c r="F81" s="430">
        <v>2</v>
      </c>
      <c r="G81" s="430">
        <v>4</v>
      </c>
      <c r="H81" s="430">
        <v>4</v>
      </c>
      <c r="I81" s="430">
        <v>4</v>
      </c>
      <c r="J81" s="430">
        <v>4</v>
      </c>
      <c r="K81" s="430">
        <v>0</v>
      </c>
      <c r="L81" s="430">
        <v>4</v>
      </c>
      <c r="M81" s="430">
        <v>4</v>
      </c>
      <c r="N81" s="430">
        <v>2</v>
      </c>
      <c r="O81" s="430">
        <v>4</v>
      </c>
      <c r="P81" s="430">
        <v>4</v>
      </c>
      <c r="Q81" s="430">
        <v>4</v>
      </c>
      <c r="R81" s="430">
        <v>2</v>
      </c>
      <c r="S81" s="430">
        <v>4</v>
      </c>
      <c r="T81" s="430">
        <v>4</v>
      </c>
      <c r="U81" s="430">
        <v>4</v>
      </c>
      <c r="V81" s="430">
        <v>4</v>
      </c>
      <c r="W81" s="430">
        <v>4</v>
      </c>
      <c r="X81" s="430">
        <v>4</v>
      </c>
      <c r="Y81" s="430">
        <v>0</v>
      </c>
      <c r="Z81" s="430">
        <v>4</v>
      </c>
      <c r="AA81" s="430">
        <v>2</v>
      </c>
      <c r="AB81" s="430">
        <v>4</v>
      </c>
      <c r="AC81" s="430">
        <v>4</v>
      </c>
      <c r="AD81" s="430">
        <v>4</v>
      </c>
      <c r="AE81" s="430">
        <v>0</v>
      </c>
      <c r="AF81" s="430">
        <v>2</v>
      </c>
      <c r="AG81" s="430">
        <v>2</v>
      </c>
      <c r="AH81" s="430">
        <v>4</v>
      </c>
      <c r="AI81" s="430">
        <v>2</v>
      </c>
      <c r="AJ81" s="430">
        <v>4</v>
      </c>
      <c r="AK81" s="574">
        <v>3.2160000000000002</v>
      </c>
      <c r="AL81" s="579">
        <v>6</v>
      </c>
    </row>
    <row r="82" spans="2:38" ht="45" x14ac:dyDescent="0.35">
      <c r="B82" s="575">
        <v>7</v>
      </c>
      <c r="C82" s="428" t="s">
        <v>23</v>
      </c>
      <c r="D82" s="428">
        <v>4</v>
      </c>
      <c r="E82" s="428">
        <v>4</v>
      </c>
      <c r="F82" s="428">
        <v>2</v>
      </c>
      <c r="G82" s="428">
        <v>0</v>
      </c>
      <c r="H82" s="428">
        <v>4</v>
      </c>
      <c r="I82" s="428">
        <v>4</v>
      </c>
      <c r="J82" s="428">
        <v>4</v>
      </c>
      <c r="K82" s="428">
        <v>0</v>
      </c>
      <c r="L82" s="428">
        <v>4</v>
      </c>
      <c r="M82" s="428">
        <v>0</v>
      </c>
      <c r="N82" s="428">
        <v>4</v>
      </c>
      <c r="O82" s="428">
        <v>4</v>
      </c>
      <c r="P82" s="428">
        <v>4</v>
      </c>
      <c r="Q82" s="428">
        <v>4</v>
      </c>
      <c r="R82" s="428">
        <v>4</v>
      </c>
      <c r="S82" s="428">
        <v>4</v>
      </c>
      <c r="T82" s="428">
        <v>0</v>
      </c>
      <c r="U82" s="428">
        <v>4</v>
      </c>
      <c r="V82" s="428">
        <v>4</v>
      </c>
      <c r="W82" s="428">
        <v>4</v>
      </c>
      <c r="X82" s="428">
        <v>4</v>
      </c>
      <c r="Y82" s="428">
        <v>0</v>
      </c>
      <c r="Z82" s="428">
        <v>4</v>
      </c>
      <c r="AA82" s="428">
        <v>4</v>
      </c>
      <c r="AB82" s="428">
        <v>4</v>
      </c>
      <c r="AC82" s="428">
        <v>4</v>
      </c>
      <c r="AD82" s="428">
        <v>4</v>
      </c>
      <c r="AE82" s="428">
        <v>0</v>
      </c>
      <c r="AF82" s="428">
        <v>2</v>
      </c>
      <c r="AG82" s="428">
        <v>2</v>
      </c>
      <c r="AH82" s="428">
        <v>2</v>
      </c>
      <c r="AI82" s="428">
        <v>0</v>
      </c>
      <c r="AJ82" s="428">
        <v>0</v>
      </c>
      <c r="AK82" s="573">
        <v>2.9280000000000004</v>
      </c>
      <c r="AL82" s="579">
        <v>7</v>
      </c>
    </row>
    <row r="83" spans="2:38" ht="30" x14ac:dyDescent="0.35">
      <c r="B83" s="576">
        <v>8</v>
      </c>
      <c r="C83" s="430" t="s">
        <v>24</v>
      </c>
      <c r="D83" s="430">
        <v>4</v>
      </c>
      <c r="E83" s="430">
        <v>2</v>
      </c>
      <c r="F83" s="430">
        <v>2</v>
      </c>
      <c r="G83" s="430">
        <v>2</v>
      </c>
      <c r="H83" s="430">
        <v>4</v>
      </c>
      <c r="I83" s="430">
        <v>4</v>
      </c>
      <c r="J83" s="430">
        <v>0</v>
      </c>
      <c r="K83" s="430">
        <v>2</v>
      </c>
      <c r="L83" s="430">
        <v>4</v>
      </c>
      <c r="M83" s="430">
        <v>4</v>
      </c>
      <c r="N83" s="430">
        <v>4</v>
      </c>
      <c r="O83" s="430">
        <v>4</v>
      </c>
      <c r="P83" s="430">
        <v>4</v>
      </c>
      <c r="Q83" s="430">
        <v>2</v>
      </c>
      <c r="R83" s="430">
        <v>4</v>
      </c>
      <c r="S83" s="430">
        <v>0</v>
      </c>
      <c r="T83" s="430">
        <v>4</v>
      </c>
      <c r="U83" s="430">
        <v>4</v>
      </c>
      <c r="V83" s="430">
        <v>4</v>
      </c>
      <c r="W83" s="430">
        <v>0</v>
      </c>
      <c r="X83" s="430">
        <v>4</v>
      </c>
      <c r="Y83" s="430">
        <v>4</v>
      </c>
      <c r="Z83" s="430">
        <v>2</v>
      </c>
      <c r="AA83" s="430">
        <v>4</v>
      </c>
      <c r="AB83" s="430">
        <v>0</v>
      </c>
      <c r="AC83" s="430">
        <v>4</v>
      </c>
      <c r="AD83" s="430">
        <v>4</v>
      </c>
      <c r="AE83" s="430">
        <v>0</v>
      </c>
      <c r="AF83" s="430">
        <v>2</v>
      </c>
      <c r="AG83" s="430">
        <v>2</v>
      </c>
      <c r="AH83" s="430">
        <v>2</v>
      </c>
      <c r="AI83" s="430">
        <v>0</v>
      </c>
      <c r="AJ83" s="430">
        <v>2</v>
      </c>
      <c r="AK83" s="574">
        <v>2.87</v>
      </c>
      <c r="AL83" s="579">
        <v>8</v>
      </c>
    </row>
    <row r="84" spans="2:38" ht="30" x14ac:dyDescent="0.35">
      <c r="B84" s="575">
        <v>9</v>
      </c>
      <c r="C84" s="428" t="s">
        <v>25</v>
      </c>
      <c r="D84" s="428">
        <v>4</v>
      </c>
      <c r="E84" s="428">
        <v>2</v>
      </c>
      <c r="F84" s="428">
        <v>2</v>
      </c>
      <c r="G84" s="428">
        <v>4</v>
      </c>
      <c r="H84" s="428">
        <v>4</v>
      </c>
      <c r="I84" s="428">
        <v>4</v>
      </c>
      <c r="J84" s="428">
        <v>0</v>
      </c>
      <c r="K84" s="428">
        <v>0</v>
      </c>
      <c r="L84" s="428">
        <v>4</v>
      </c>
      <c r="M84" s="428">
        <v>4</v>
      </c>
      <c r="N84" s="428">
        <v>4</v>
      </c>
      <c r="O84" s="428">
        <v>2</v>
      </c>
      <c r="P84" s="428">
        <v>4</v>
      </c>
      <c r="Q84" s="428">
        <v>2</v>
      </c>
      <c r="R84" s="428">
        <v>4</v>
      </c>
      <c r="S84" s="428">
        <v>0</v>
      </c>
      <c r="T84" s="428">
        <v>4</v>
      </c>
      <c r="U84" s="428">
        <v>0</v>
      </c>
      <c r="V84" s="428">
        <v>4</v>
      </c>
      <c r="W84" s="428">
        <v>2</v>
      </c>
      <c r="X84" s="428">
        <v>4</v>
      </c>
      <c r="Y84" s="428">
        <v>4</v>
      </c>
      <c r="Z84" s="428">
        <v>4</v>
      </c>
      <c r="AA84" s="428">
        <v>4</v>
      </c>
      <c r="AB84" s="428">
        <v>2</v>
      </c>
      <c r="AC84" s="428">
        <v>4</v>
      </c>
      <c r="AD84" s="428">
        <v>4</v>
      </c>
      <c r="AE84" s="428">
        <v>0</v>
      </c>
      <c r="AF84" s="428">
        <v>4</v>
      </c>
      <c r="AG84" s="428">
        <v>2</v>
      </c>
      <c r="AH84" s="428">
        <v>4</v>
      </c>
      <c r="AI84" s="428">
        <v>0</v>
      </c>
      <c r="AJ84" s="428">
        <v>4</v>
      </c>
      <c r="AK84" s="573">
        <v>2.84</v>
      </c>
      <c r="AL84" s="579">
        <v>9</v>
      </c>
    </row>
    <row r="85" spans="2:38" ht="30" x14ac:dyDescent="0.35">
      <c r="B85" s="576">
        <v>10</v>
      </c>
      <c r="C85" s="430" t="s">
        <v>36</v>
      </c>
      <c r="D85" s="430">
        <v>4</v>
      </c>
      <c r="E85" s="430">
        <v>2</v>
      </c>
      <c r="F85" s="430">
        <v>2</v>
      </c>
      <c r="G85" s="430">
        <v>4</v>
      </c>
      <c r="H85" s="430">
        <v>4</v>
      </c>
      <c r="I85" s="430">
        <v>4</v>
      </c>
      <c r="J85" s="430">
        <v>0</v>
      </c>
      <c r="K85" s="430">
        <v>0</v>
      </c>
      <c r="L85" s="430">
        <v>4</v>
      </c>
      <c r="M85" s="430">
        <v>4</v>
      </c>
      <c r="N85" s="430">
        <v>0</v>
      </c>
      <c r="O85" s="430">
        <v>4</v>
      </c>
      <c r="P85" s="430">
        <v>4</v>
      </c>
      <c r="Q85" s="430">
        <v>0</v>
      </c>
      <c r="R85" s="430">
        <v>0</v>
      </c>
      <c r="S85" s="430">
        <v>4</v>
      </c>
      <c r="T85" s="430">
        <v>4</v>
      </c>
      <c r="U85" s="430">
        <v>0</v>
      </c>
      <c r="V85" s="430">
        <v>4</v>
      </c>
      <c r="W85" s="430">
        <v>2</v>
      </c>
      <c r="X85" s="430">
        <v>0</v>
      </c>
      <c r="Y85" s="430">
        <v>4</v>
      </c>
      <c r="Z85" s="430">
        <v>4</v>
      </c>
      <c r="AA85" s="430">
        <v>4</v>
      </c>
      <c r="AB85" s="430">
        <v>4</v>
      </c>
      <c r="AC85" s="430">
        <v>4</v>
      </c>
      <c r="AD85" s="430">
        <v>4</v>
      </c>
      <c r="AE85" s="430">
        <v>4</v>
      </c>
      <c r="AF85" s="430">
        <v>2</v>
      </c>
      <c r="AG85" s="430">
        <v>2</v>
      </c>
      <c r="AH85" s="430">
        <v>4</v>
      </c>
      <c r="AI85" s="430">
        <v>4</v>
      </c>
      <c r="AJ85" s="430">
        <v>4</v>
      </c>
      <c r="AK85" s="574">
        <v>2.52</v>
      </c>
      <c r="AL85" s="580">
        <v>20</v>
      </c>
    </row>
    <row r="86" spans="2:38" ht="30" x14ac:dyDescent="0.35">
      <c r="B86" s="575">
        <v>11</v>
      </c>
      <c r="C86" s="428" t="s">
        <v>43</v>
      </c>
      <c r="D86" s="428">
        <v>4</v>
      </c>
      <c r="E86" s="428">
        <v>2</v>
      </c>
      <c r="F86" s="428">
        <v>2</v>
      </c>
      <c r="G86" s="428">
        <v>2</v>
      </c>
      <c r="H86" s="428">
        <v>4</v>
      </c>
      <c r="I86" s="428">
        <v>4</v>
      </c>
      <c r="J86" s="428">
        <v>0</v>
      </c>
      <c r="K86" s="428">
        <v>2</v>
      </c>
      <c r="L86" s="428">
        <v>4</v>
      </c>
      <c r="M86" s="428">
        <v>4</v>
      </c>
      <c r="N86" s="428">
        <v>2</v>
      </c>
      <c r="O86" s="428">
        <v>2</v>
      </c>
      <c r="P86" s="428">
        <v>4</v>
      </c>
      <c r="Q86" s="428">
        <v>0</v>
      </c>
      <c r="R86" s="428">
        <v>2</v>
      </c>
      <c r="S86" s="428">
        <v>0</v>
      </c>
      <c r="T86" s="428">
        <v>2</v>
      </c>
      <c r="U86" s="428">
        <v>0</v>
      </c>
      <c r="V86" s="428">
        <v>4</v>
      </c>
      <c r="W86" s="428">
        <v>2</v>
      </c>
      <c r="X86" s="428">
        <v>0</v>
      </c>
      <c r="Y86" s="428">
        <v>0</v>
      </c>
      <c r="Z86" s="428">
        <v>4</v>
      </c>
      <c r="AA86" s="428">
        <v>4</v>
      </c>
      <c r="AB86" s="428">
        <v>2</v>
      </c>
      <c r="AC86" s="428">
        <v>4</v>
      </c>
      <c r="AD86" s="428">
        <v>4</v>
      </c>
      <c r="AE86" s="428">
        <v>4</v>
      </c>
      <c r="AF86" s="428">
        <v>0</v>
      </c>
      <c r="AG86" s="428">
        <v>0</v>
      </c>
      <c r="AH86" s="428">
        <v>4</v>
      </c>
      <c r="AI86" s="428">
        <v>2</v>
      </c>
      <c r="AJ86" s="428">
        <v>4</v>
      </c>
      <c r="AK86" s="573">
        <v>2.4340000000000002</v>
      </c>
      <c r="AL86" s="580">
        <v>27</v>
      </c>
    </row>
    <row r="87" spans="2:38" ht="30" x14ac:dyDescent="0.35">
      <c r="B87" s="576">
        <v>12</v>
      </c>
      <c r="C87" s="430" t="s">
        <v>49</v>
      </c>
      <c r="D87" s="430">
        <v>0</v>
      </c>
      <c r="E87" s="430">
        <v>2</v>
      </c>
      <c r="F87" s="430">
        <v>2</v>
      </c>
      <c r="G87" s="430">
        <v>0</v>
      </c>
      <c r="H87" s="430">
        <v>4</v>
      </c>
      <c r="I87" s="430">
        <v>4</v>
      </c>
      <c r="J87" s="430">
        <v>0</v>
      </c>
      <c r="K87" s="430">
        <v>2</v>
      </c>
      <c r="L87" s="430">
        <v>4</v>
      </c>
      <c r="M87" s="430">
        <v>4</v>
      </c>
      <c r="N87" s="430">
        <v>2</v>
      </c>
      <c r="O87" s="430">
        <v>2</v>
      </c>
      <c r="P87" s="430">
        <v>4</v>
      </c>
      <c r="Q87" s="430">
        <v>2</v>
      </c>
      <c r="R87" s="430">
        <v>2</v>
      </c>
      <c r="S87" s="430">
        <v>4</v>
      </c>
      <c r="T87" s="430">
        <v>4</v>
      </c>
      <c r="U87" s="430">
        <v>0</v>
      </c>
      <c r="V87" s="430">
        <v>4</v>
      </c>
      <c r="W87" s="430">
        <v>4</v>
      </c>
      <c r="X87" s="430">
        <v>4</v>
      </c>
      <c r="Y87" s="430">
        <v>0</v>
      </c>
      <c r="Z87" s="430">
        <v>4</v>
      </c>
      <c r="AA87" s="430">
        <v>4</v>
      </c>
      <c r="AB87" s="430">
        <v>4</v>
      </c>
      <c r="AC87" s="430">
        <v>4</v>
      </c>
      <c r="AD87" s="430">
        <v>4</v>
      </c>
      <c r="AE87" s="430">
        <v>0</v>
      </c>
      <c r="AF87" s="430">
        <v>0</v>
      </c>
      <c r="AG87" s="430">
        <v>0</v>
      </c>
      <c r="AH87" s="430">
        <v>4</v>
      </c>
      <c r="AI87" s="430">
        <v>2</v>
      </c>
      <c r="AJ87" s="430">
        <v>4</v>
      </c>
      <c r="AK87" s="574">
        <v>2.37</v>
      </c>
      <c r="AL87" s="580">
        <v>33</v>
      </c>
    </row>
    <row r="88" spans="2:38" ht="30" x14ac:dyDescent="0.35">
      <c r="B88" s="575">
        <v>13</v>
      </c>
      <c r="C88" s="428" t="s">
        <v>53</v>
      </c>
      <c r="D88" s="428">
        <v>0</v>
      </c>
      <c r="E88" s="428">
        <v>2</v>
      </c>
      <c r="F88" s="428">
        <v>0</v>
      </c>
      <c r="G88" s="428">
        <v>0</v>
      </c>
      <c r="H88" s="428">
        <v>0</v>
      </c>
      <c r="I88" s="428">
        <v>4</v>
      </c>
      <c r="J88" s="428">
        <v>0</v>
      </c>
      <c r="K88" s="428">
        <v>4</v>
      </c>
      <c r="L88" s="428">
        <v>4</v>
      </c>
      <c r="M88" s="428">
        <v>4</v>
      </c>
      <c r="N88" s="428">
        <v>4</v>
      </c>
      <c r="O88" s="428">
        <v>4</v>
      </c>
      <c r="P88" s="428">
        <v>2</v>
      </c>
      <c r="Q88" s="428">
        <v>4</v>
      </c>
      <c r="R88" s="428">
        <v>4</v>
      </c>
      <c r="S88" s="428">
        <v>2</v>
      </c>
      <c r="T88" s="428">
        <v>4</v>
      </c>
      <c r="U88" s="428">
        <v>4</v>
      </c>
      <c r="V88" s="428">
        <v>4</v>
      </c>
      <c r="W88" s="428">
        <v>4</v>
      </c>
      <c r="X88" s="428">
        <v>4</v>
      </c>
      <c r="Y88" s="428">
        <v>0</v>
      </c>
      <c r="Z88" s="428">
        <v>4</v>
      </c>
      <c r="AA88" s="428">
        <v>2</v>
      </c>
      <c r="AB88" s="428">
        <v>2</v>
      </c>
      <c r="AC88" s="428">
        <v>4</v>
      </c>
      <c r="AD88" s="428">
        <v>4</v>
      </c>
      <c r="AE88" s="428">
        <v>0</v>
      </c>
      <c r="AF88" s="428">
        <v>2</v>
      </c>
      <c r="AG88" s="428">
        <v>2</v>
      </c>
      <c r="AH88" s="428">
        <v>0</v>
      </c>
      <c r="AI88" s="428">
        <v>0</v>
      </c>
      <c r="AJ88" s="428">
        <v>2</v>
      </c>
      <c r="AK88" s="573">
        <v>2.2640000000000002</v>
      </c>
      <c r="AL88" s="580">
        <v>37</v>
      </c>
    </row>
    <row r="89" spans="2:38" ht="30" x14ac:dyDescent="0.35">
      <c r="B89" s="576">
        <v>14</v>
      </c>
      <c r="C89" s="430" t="s">
        <v>55</v>
      </c>
      <c r="D89" s="430">
        <v>2</v>
      </c>
      <c r="E89" s="430">
        <v>4</v>
      </c>
      <c r="F89" s="430">
        <v>2</v>
      </c>
      <c r="G89" s="430">
        <v>4</v>
      </c>
      <c r="H89" s="430">
        <v>4</v>
      </c>
      <c r="I89" s="430">
        <v>4</v>
      </c>
      <c r="J89" s="430">
        <v>0</v>
      </c>
      <c r="K89" s="430">
        <v>0</v>
      </c>
      <c r="L89" s="430">
        <v>2</v>
      </c>
      <c r="M89" s="430">
        <v>0</v>
      </c>
      <c r="N89" s="430">
        <v>0</v>
      </c>
      <c r="O89" s="430">
        <v>4</v>
      </c>
      <c r="P89" s="430">
        <v>4</v>
      </c>
      <c r="Q89" s="430">
        <v>2</v>
      </c>
      <c r="R89" s="430">
        <v>0</v>
      </c>
      <c r="S89" s="430">
        <v>0</v>
      </c>
      <c r="T89" s="430">
        <v>4</v>
      </c>
      <c r="U89" s="430">
        <v>0</v>
      </c>
      <c r="V89" s="430">
        <v>4</v>
      </c>
      <c r="W89" s="430">
        <v>0</v>
      </c>
      <c r="X89" s="430">
        <v>4</v>
      </c>
      <c r="Y89" s="430">
        <v>0</v>
      </c>
      <c r="Z89" s="430">
        <v>2</v>
      </c>
      <c r="AA89" s="430">
        <v>2</v>
      </c>
      <c r="AB89" s="430">
        <v>2</v>
      </c>
      <c r="AC89" s="430">
        <v>4</v>
      </c>
      <c r="AD89" s="430">
        <v>2</v>
      </c>
      <c r="AE89" s="430">
        <v>0</v>
      </c>
      <c r="AF89" s="430">
        <v>2</v>
      </c>
      <c r="AG89" s="430">
        <v>2</v>
      </c>
      <c r="AH89" s="430">
        <v>4</v>
      </c>
      <c r="AI89" s="430">
        <v>4</v>
      </c>
      <c r="AJ89" s="430">
        <v>4</v>
      </c>
      <c r="AK89" s="574">
        <v>2.1779999999999999</v>
      </c>
      <c r="AL89" s="580">
        <v>39</v>
      </c>
    </row>
  </sheetData>
  <conditionalFormatting sqref="D76:AJ89">
    <cfRule type="colorScale" priority="11">
      <colorScale>
        <cfvo type="num" val="0"/>
        <cfvo type="num" val="2"/>
        <cfvo type="num" val="4"/>
        <color theme="0"/>
        <color rgb="FFFFFFCC"/>
        <color rgb="FF66FFCC"/>
      </colorScale>
    </cfRule>
  </conditionalFormatting>
  <conditionalFormatting sqref="D60:D73">
    <cfRule type="colorScale" priority="9">
      <colorScale>
        <cfvo type="num" val="0"/>
        <cfvo type="percent" val="50"/>
        <cfvo type="num" val="0.8"/>
        <color theme="0"/>
        <color rgb="FFFFFFCC"/>
        <color rgb="FF66FFCC"/>
      </colorScale>
    </cfRule>
  </conditionalFormatting>
  <conditionalFormatting sqref="E60:E73">
    <cfRule type="colorScale" priority="8">
      <colorScale>
        <cfvo type="num" val="0"/>
        <cfvo type="percent" val="50"/>
        <cfvo type="num" val="0.6"/>
        <color theme="0"/>
        <color rgb="FFFFFFCC"/>
        <color rgb="FF66FFCC"/>
      </colorScale>
    </cfRule>
  </conditionalFormatting>
  <conditionalFormatting sqref="F60:F73">
    <cfRule type="colorScale" priority="7">
      <colorScale>
        <cfvo type="num" val="0"/>
        <cfvo type="num" val="0.3"/>
        <cfvo type="num" val="0.6"/>
        <color theme="0"/>
        <color rgb="FFFFFFCC"/>
        <color rgb="FF66FFCC"/>
      </colorScale>
    </cfRule>
  </conditionalFormatting>
  <conditionalFormatting sqref="G60:G73">
    <cfRule type="colorScale" priority="6">
      <colorScale>
        <cfvo type="num" val="0"/>
        <cfvo type="percent" val="50"/>
        <cfvo type="num" val="0.4"/>
        <color theme="0"/>
        <color rgb="FFFFFFCC"/>
        <color rgb="FF66FFCC"/>
      </colorScale>
    </cfRule>
  </conditionalFormatting>
  <conditionalFormatting sqref="H60:H73">
    <cfRule type="colorScale" priority="5">
      <colorScale>
        <cfvo type="num" val="0"/>
        <cfvo type="percent" val="50"/>
        <cfvo type="num" val="0.48"/>
        <color theme="0"/>
        <color rgb="FFFFFFCC"/>
        <color rgb="FF66FFCC"/>
      </colorScale>
    </cfRule>
  </conditionalFormatting>
  <conditionalFormatting sqref="I60:I73">
    <cfRule type="colorScale" priority="4">
      <colorScale>
        <cfvo type="num" val="0"/>
        <cfvo type="percent" val="50"/>
        <cfvo type="num" val="0.4"/>
        <color theme="0"/>
        <color rgb="FFFFFFCC"/>
        <color rgb="FF66FFCC"/>
      </colorScale>
    </cfRule>
  </conditionalFormatting>
  <conditionalFormatting sqref="J60:J73">
    <cfRule type="colorScale" priority="3">
      <colorScale>
        <cfvo type="num" val="0"/>
        <cfvo type="percent" val="50"/>
        <cfvo type="num" val="0.16"/>
        <color theme="0"/>
        <color rgb="FFFFFFCC"/>
        <color rgb="FF66FFCC"/>
      </colorScale>
    </cfRule>
  </conditionalFormatting>
  <conditionalFormatting sqref="K60:K73">
    <cfRule type="colorScale" priority="2">
      <colorScale>
        <cfvo type="num" val="0"/>
        <cfvo type="percent" val="50"/>
        <cfvo type="num" val="0.32"/>
        <color theme="0"/>
        <color rgb="FFFFFFCC"/>
        <color rgb="FF66FFCC"/>
      </colorScale>
    </cfRule>
  </conditionalFormatting>
  <conditionalFormatting sqref="L60:L73">
    <cfRule type="colorScale" priority="1">
      <colorScale>
        <cfvo type="num" val="0"/>
        <cfvo type="percent" val="50"/>
        <cfvo type="num" val="0.24"/>
        <color theme="0"/>
        <color rgb="FFFFFFCC"/>
        <color rgb="FF66FFCC"/>
      </colorScale>
    </cfRule>
  </conditionalFormatting>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F0BA-BBB2-4686-A135-F3C9391F0FAA}">
  <sheetPr>
    <tabColor theme="1" tint="0.499984740745262"/>
  </sheetPr>
  <dimension ref="B2:N103"/>
  <sheetViews>
    <sheetView workbookViewId="0"/>
  </sheetViews>
  <sheetFormatPr defaultRowHeight="14.5" x14ac:dyDescent="0.35"/>
  <cols>
    <col min="1" max="1" width="3.81640625" customWidth="1"/>
    <col min="2" max="2" width="6.54296875" style="63" bestFit="1" customWidth="1"/>
    <col min="3" max="3" width="33.453125" customWidth="1"/>
    <col min="4" max="4" width="19.54296875" style="65" customWidth="1"/>
    <col min="5" max="5" width="18.81640625" style="65" customWidth="1"/>
    <col min="6" max="7" width="14.81640625" style="65" customWidth="1"/>
    <col min="8" max="9" width="17.453125" style="63" customWidth="1"/>
    <col min="10" max="10" width="18" style="63" customWidth="1"/>
    <col min="11" max="12" width="17.453125" style="63" customWidth="1"/>
    <col min="13" max="13" width="19.54296875" style="63" customWidth="1"/>
    <col min="14" max="14" width="17.453125" style="63" customWidth="1"/>
  </cols>
  <sheetData>
    <row r="2" spans="2:14" s="86" customFormat="1" ht="54" customHeight="1" x14ac:dyDescent="0.35">
      <c r="B2" s="468" t="s">
        <v>4</v>
      </c>
      <c r="C2" s="468" t="s">
        <v>5</v>
      </c>
      <c r="D2" s="468" t="s">
        <v>7</v>
      </c>
      <c r="E2" s="468" t="s">
        <v>8</v>
      </c>
      <c r="F2" s="468" t="s">
        <v>9</v>
      </c>
      <c r="G2" s="507" t="s">
        <v>12</v>
      </c>
      <c r="H2" s="520" t="s">
        <v>478</v>
      </c>
      <c r="I2" s="520" t="s">
        <v>479</v>
      </c>
      <c r="J2" s="470" t="s">
        <v>480</v>
      </c>
      <c r="K2" s="520" t="s">
        <v>481</v>
      </c>
      <c r="L2" s="520" t="s">
        <v>482</v>
      </c>
      <c r="M2" s="520" t="s">
        <v>483</v>
      </c>
      <c r="N2" s="521" t="s">
        <v>484</v>
      </c>
    </row>
    <row r="3" spans="2:14" hidden="1" x14ac:dyDescent="0.35">
      <c r="B3" s="459">
        <v>1</v>
      </c>
      <c r="C3" s="453" t="s">
        <v>53</v>
      </c>
      <c r="D3" s="459" t="s">
        <v>119</v>
      </c>
      <c r="E3" s="459" t="s">
        <v>120</v>
      </c>
      <c r="F3" s="459" t="s">
        <v>70</v>
      </c>
      <c r="G3" s="452" t="s">
        <v>436</v>
      </c>
      <c r="H3" s="459" t="s">
        <v>417</v>
      </c>
      <c r="I3" s="459" t="s">
        <v>417</v>
      </c>
      <c r="J3" s="237" t="s">
        <v>417</v>
      </c>
      <c r="K3" s="459" t="s">
        <v>418</v>
      </c>
      <c r="L3" s="459" t="s">
        <v>180</v>
      </c>
      <c r="M3" s="459" t="s">
        <v>180</v>
      </c>
      <c r="N3" s="464" t="s">
        <v>180</v>
      </c>
    </row>
    <row r="4" spans="2:14" ht="27" hidden="1" x14ac:dyDescent="0.35">
      <c r="B4" s="460">
        <v>2</v>
      </c>
      <c r="C4" s="454" t="s">
        <v>220</v>
      </c>
      <c r="D4" s="460" t="s">
        <v>221</v>
      </c>
      <c r="E4" s="460" t="s">
        <v>222</v>
      </c>
      <c r="F4" s="460" t="s">
        <v>70</v>
      </c>
      <c r="G4" s="452" t="s">
        <v>436</v>
      </c>
      <c r="H4" s="460" t="s">
        <v>417</v>
      </c>
      <c r="I4" s="460" t="s">
        <v>417</v>
      </c>
      <c r="J4" s="237" t="s">
        <v>418</v>
      </c>
      <c r="K4" s="460" t="s">
        <v>180</v>
      </c>
      <c r="L4" s="460" t="s">
        <v>180</v>
      </c>
      <c r="M4" s="460" t="s">
        <v>180</v>
      </c>
      <c r="N4" s="465" t="s">
        <v>180</v>
      </c>
    </row>
    <row r="5" spans="2:14" hidden="1" x14ac:dyDescent="0.35">
      <c r="B5" s="459">
        <v>3</v>
      </c>
      <c r="C5" s="455" t="s">
        <v>42</v>
      </c>
      <c r="D5" s="461" t="s">
        <v>68</v>
      </c>
      <c r="E5" s="461" t="s">
        <v>81</v>
      </c>
      <c r="F5" s="461" t="s">
        <v>70</v>
      </c>
      <c r="G5" s="506" t="s">
        <v>436</v>
      </c>
      <c r="H5" s="461" t="s">
        <v>417</v>
      </c>
      <c r="I5" s="461" t="s">
        <v>417</v>
      </c>
      <c r="J5" s="291" t="s">
        <v>418</v>
      </c>
      <c r="K5" s="461" t="s">
        <v>180</v>
      </c>
      <c r="L5" s="461" t="s">
        <v>180</v>
      </c>
      <c r="M5" s="461" t="s">
        <v>180</v>
      </c>
      <c r="N5" s="466" t="s">
        <v>180</v>
      </c>
    </row>
    <row r="6" spans="2:14" x14ac:dyDescent="0.35">
      <c r="B6" s="460">
        <v>4</v>
      </c>
      <c r="C6" s="454" t="s">
        <v>148</v>
      </c>
      <c r="D6" s="460" t="s">
        <v>77</v>
      </c>
      <c r="E6" s="460" t="s">
        <v>78</v>
      </c>
      <c r="F6" s="460" t="s">
        <v>70</v>
      </c>
      <c r="G6" s="452" t="s">
        <v>436</v>
      </c>
      <c r="H6" s="460" t="s">
        <v>417</v>
      </c>
      <c r="I6" s="460" t="s">
        <v>417</v>
      </c>
      <c r="J6" s="237" t="s">
        <v>485</v>
      </c>
      <c r="K6" s="460" t="s">
        <v>180</v>
      </c>
      <c r="L6" s="460" t="s">
        <v>180</v>
      </c>
      <c r="M6" s="460" t="s">
        <v>180</v>
      </c>
      <c r="N6" s="465" t="s">
        <v>180</v>
      </c>
    </row>
    <row r="7" spans="2:14" hidden="1" x14ac:dyDescent="0.35">
      <c r="B7" s="459">
        <v>5</v>
      </c>
      <c r="C7" s="453" t="s">
        <v>242</v>
      </c>
      <c r="D7" s="459" t="s">
        <v>243</v>
      </c>
      <c r="E7" s="459" t="s">
        <v>244</v>
      </c>
      <c r="F7" s="459" t="s">
        <v>70</v>
      </c>
      <c r="G7" s="452" t="s">
        <v>436</v>
      </c>
      <c r="H7" s="459" t="s">
        <v>417</v>
      </c>
      <c r="I7" s="459" t="s">
        <v>417</v>
      </c>
      <c r="J7" s="237" t="s">
        <v>418</v>
      </c>
      <c r="K7" s="459" t="s">
        <v>180</v>
      </c>
      <c r="L7" s="459" t="s">
        <v>180</v>
      </c>
      <c r="M7" s="459" t="s">
        <v>180</v>
      </c>
      <c r="N7" s="464" t="s">
        <v>180</v>
      </c>
    </row>
    <row r="8" spans="2:14" hidden="1" x14ac:dyDescent="0.35">
      <c r="B8" s="460">
        <v>6</v>
      </c>
      <c r="C8" s="454" t="s">
        <v>62</v>
      </c>
      <c r="D8" s="460" t="s">
        <v>134</v>
      </c>
      <c r="E8" s="460" t="s">
        <v>135</v>
      </c>
      <c r="F8" s="460" t="s">
        <v>70</v>
      </c>
      <c r="G8" s="452" t="s">
        <v>436</v>
      </c>
      <c r="H8" s="460" t="s">
        <v>417</v>
      </c>
      <c r="I8" s="460" t="s">
        <v>417</v>
      </c>
      <c r="J8" s="237" t="s">
        <v>418</v>
      </c>
      <c r="K8" s="460" t="s">
        <v>180</v>
      </c>
      <c r="L8" s="460" t="s">
        <v>180</v>
      </c>
      <c r="M8" s="460" t="s">
        <v>180</v>
      </c>
      <c r="N8" s="465" t="s">
        <v>180</v>
      </c>
    </row>
    <row r="9" spans="2:14" hidden="1" x14ac:dyDescent="0.35">
      <c r="B9" s="459">
        <v>7</v>
      </c>
      <c r="C9" s="453" t="s">
        <v>49</v>
      </c>
      <c r="D9" s="459" t="s">
        <v>114</v>
      </c>
      <c r="E9" s="459" t="s">
        <v>115</v>
      </c>
      <c r="F9" s="459" t="s">
        <v>70</v>
      </c>
      <c r="G9" s="452" t="s">
        <v>415</v>
      </c>
      <c r="H9" s="459" t="s">
        <v>417</v>
      </c>
      <c r="I9" s="459" t="s">
        <v>417</v>
      </c>
      <c r="J9" s="237" t="s">
        <v>417</v>
      </c>
      <c r="K9" s="459" t="s">
        <v>418</v>
      </c>
      <c r="L9" s="459" t="s">
        <v>180</v>
      </c>
      <c r="M9" s="459" t="s">
        <v>180</v>
      </c>
      <c r="N9" s="464" t="s">
        <v>180</v>
      </c>
    </row>
    <row r="10" spans="2:14" hidden="1" x14ac:dyDescent="0.35">
      <c r="B10" s="460">
        <v>8</v>
      </c>
      <c r="C10" s="454" t="s">
        <v>31</v>
      </c>
      <c r="D10" s="460" t="s">
        <v>90</v>
      </c>
      <c r="E10" s="460" t="s">
        <v>91</v>
      </c>
      <c r="F10" s="460" t="s">
        <v>70</v>
      </c>
      <c r="G10" s="451" t="s">
        <v>415</v>
      </c>
      <c r="H10" s="460" t="s">
        <v>417</v>
      </c>
      <c r="I10" s="460" t="s">
        <v>417</v>
      </c>
      <c r="J10" s="237" t="s">
        <v>418</v>
      </c>
      <c r="K10" s="460" t="s">
        <v>180</v>
      </c>
      <c r="L10" s="460" t="s">
        <v>180</v>
      </c>
      <c r="M10" s="460" t="s">
        <v>180</v>
      </c>
      <c r="N10" s="465" t="s">
        <v>180</v>
      </c>
    </row>
    <row r="11" spans="2:14" x14ac:dyDescent="0.35">
      <c r="B11" s="459">
        <v>9</v>
      </c>
      <c r="C11" s="453" t="s">
        <v>140</v>
      </c>
      <c r="D11" s="459" t="s">
        <v>90</v>
      </c>
      <c r="E11" s="459" t="s">
        <v>141</v>
      </c>
      <c r="F11" s="459" t="s">
        <v>70</v>
      </c>
      <c r="G11" s="451" t="s">
        <v>415</v>
      </c>
      <c r="H11" s="459" t="s">
        <v>417</v>
      </c>
      <c r="I11" s="459" t="s">
        <v>417</v>
      </c>
      <c r="J11" s="237" t="s">
        <v>485</v>
      </c>
      <c r="K11" s="459" t="s">
        <v>180</v>
      </c>
      <c r="L11" s="459" t="s">
        <v>180</v>
      </c>
      <c r="M11" s="459" t="s">
        <v>180</v>
      </c>
      <c r="N11" s="464" t="s">
        <v>180</v>
      </c>
    </row>
    <row r="12" spans="2:14" hidden="1" x14ac:dyDescent="0.35">
      <c r="B12" s="460">
        <v>10</v>
      </c>
      <c r="C12" s="454" t="s">
        <v>162</v>
      </c>
      <c r="D12" s="460" t="s">
        <v>119</v>
      </c>
      <c r="E12" s="460" t="s">
        <v>163</v>
      </c>
      <c r="F12" s="460" t="s">
        <v>70</v>
      </c>
      <c r="G12" s="452" t="s">
        <v>436</v>
      </c>
      <c r="H12" s="460" t="s">
        <v>417</v>
      </c>
      <c r="I12" s="460" t="s">
        <v>417</v>
      </c>
      <c r="J12" s="237" t="s">
        <v>418</v>
      </c>
      <c r="K12" s="460" t="s">
        <v>180</v>
      </c>
      <c r="L12" s="460" t="s">
        <v>180</v>
      </c>
      <c r="M12" s="460" t="s">
        <v>180</v>
      </c>
      <c r="N12" s="465" t="s">
        <v>180</v>
      </c>
    </row>
    <row r="13" spans="2:14" ht="27" hidden="1" x14ac:dyDescent="0.35">
      <c r="B13" s="459">
        <v>11</v>
      </c>
      <c r="C13" s="453" t="s">
        <v>157</v>
      </c>
      <c r="D13" s="459" t="s">
        <v>74</v>
      </c>
      <c r="E13" s="459" t="s">
        <v>88</v>
      </c>
      <c r="F13" s="459" t="s">
        <v>70</v>
      </c>
      <c r="G13" s="452" t="s">
        <v>436</v>
      </c>
      <c r="H13" s="459" t="s">
        <v>417</v>
      </c>
      <c r="I13" s="459" t="s">
        <v>417</v>
      </c>
      <c r="J13" s="237" t="s">
        <v>418</v>
      </c>
      <c r="K13" s="459" t="s">
        <v>180</v>
      </c>
      <c r="L13" s="459" t="s">
        <v>180</v>
      </c>
      <c r="M13" s="459" t="s">
        <v>180</v>
      </c>
      <c r="N13" s="464" t="s">
        <v>180</v>
      </c>
    </row>
    <row r="14" spans="2:14" hidden="1" x14ac:dyDescent="0.35">
      <c r="B14" s="460">
        <v>12</v>
      </c>
      <c r="C14" s="454" t="s">
        <v>45</v>
      </c>
      <c r="D14" s="460" t="s">
        <v>76</v>
      </c>
      <c r="E14" s="460" t="s">
        <v>109</v>
      </c>
      <c r="F14" s="460" t="s">
        <v>70</v>
      </c>
      <c r="G14" s="452" t="s">
        <v>436</v>
      </c>
      <c r="H14" s="460" t="s">
        <v>417</v>
      </c>
      <c r="I14" s="460" t="s">
        <v>417</v>
      </c>
      <c r="J14" s="237" t="s">
        <v>418</v>
      </c>
      <c r="K14" s="460" t="s">
        <v>180</v>
      </c>
      <c r="L14" s="460" t="s">
        <v>180</v>
      </c>
      <c r="M14" s="460" t="s">
        <v>180</v>
      </c>
      <c r="N14" s="465" t="s">
        <v>180</v>
      </c>
    </row>
    <row r="15" spans="2:14" hidden="1" x14ac:dyDescent="0.35">
      <c r="B15" s="459">
        <v>13</v>
      </c>
      <c r="C15" s="455" t="s">
        <v>26</v>
      </c>
      <c r="D15" s="461" t="s">
        <v>76</v>
      </c>
      <c r="E15" s="461" t="s">
        <v>87</v>
      </c>
      <c r="F15" s="461" t="s">
        <v>70</v>
      </c>
      <c r="G15" s="506" t="s">
        <v>436</v>
      </c>
      <c r="H15" s="461" t="s">
        <v>417</v>
      </c>
      <c r="I15" s="461" t="s">
        <v>417</v>
      </c>
      <c r="J15" s="291" t="s">
        <v>418</v>
      </c>
      <c r="K15" s="461" t="s">
        <v>180</v>
      </c>
      <c r="L15" s="461" t="s">
        <v>180</v>
      </c>
      <c r="M15" s="461" t="s">
        <v>180</v>
      </c>
      <c r="N15" s="466" t="s">
        <v>180</v>
      </c>
    </row>
    <row r="16" spans="2:14" hidden="1" x14ac:dyDescent="0.35">
      <c r="B16" s="460">
        <v>14</v>
      </c>
      <c r="C16" s="454" t="s">
        <v>207</v>
      </c>
      <c r="D16" s="460" t="s">
        <v>208</v>
      </c>
      <c r="E16" s="460" t="s">
        <v>209</v>
      </c>
      <c r="F16" s="460" t="s">
        <v>70</v>
      </c>
      <c r="G16" s="452" t="s">
        <v>436</v>
      </c>
      <c r="H16" s="460" t="s">
        <v>417</v>
      </c>
      <c r="I16" s="460" t="s">
        <v>417</v>
      </c>
      <c r="J16" s="237" t="s">
        <v>418</v>
      </c>
      <c r="K16" s="460" t="s">
        <v>180</v>
      </c>
      <c r="L16" s="460" t="s">
        <v>180</v>
      </c>
      <c r="M16" s="460" t="s">
        <v>180</v>
      </c>
      <c r="N16" s="465" t="s">
        <v>180</v>
      </c>
    </row>
    <row r="17" spans="2:14" hidden="1" x14ac:dyDescent="0.35">
      <c r="B17" s="459">
        <v>15</v>
      </c>
      <c r="C17" s="453" t="s">
        <v>210</v>
      </c>
      <c r="D17" s="459" t="s">
        <v>211</v>
      </c>
      <c r="E17" s="459" t="s">
        <v>212</v>
      </c>
      <c r="F17" s="459" t="s">
        <v>70</v>
      </c>
      <c r="G17" s="452" t="s">
        <v>436</v>
      </c>
      <c r="H17" s="459" t="s">
        <v>417</v>
      </c>
      <c r="I17" s="459" t="s">
        <v>417</v>
      </c>
      <c r="J17" s="237" t="s">
        <v>418</v>
      </c>
      <c r="K17" s="459" t="s">
        <v>180</v>
      </c>
      <c r="L17" s="459" t="s">
        <v>180</v>
      </c>
      <c r="M17" s="459" t="s">
        <v>180</v>
      </c>
      <c r="N17" s="464" t="s">
        <v>180</v>
      </c>
    </row>
    <row r="18" spans="2:14" hidden="1" x14ac:dyDescent="0.35">
      <c r="B18" s="460">
        <v>16</v>
      </c>
      <c r="C18" s="454" t="s">
        <v>18</v>
      </c>
      <c r="D18" s="460" t="s">
        <v>72</v>
      </c>
      <c r="E18" s="460" t="s">
        <v>73</v>
      </c>
      <c r="F18" s="460" t="s">
        <v>70</v>
      </c>
      <c r="G18" s="452">
        <f>$Y$3</f>
        <v>0</v>
      </c>
      <c r="H18" s="460" t="s">
        <v>417</v>
      </c>
      <c r="I18" s="460" t="s">
        <v>417</v>
      </c>
      <c r="J18" s="237" t="s">
        <v>417</v>
      </c>
      <c r="K18" s="460" t="s">
        <v>417</v>
      </c>
      <c r="L18" s="460" t="s">
        <v>417</v>
      </c>
      <c r="M18" s="460" t="s">
        <v>417</v>
      </c>
      <c r="N18" s="465" t="s">
        <v>485</v>
      </c>
    </row>
    <row r="19" spans="2:14" hidden="1" x14ac:dyDescent="0.35">
      <c r="B19" s="459">
        <v>17</v>
      </c>
      <c r="C19" s="453" t="s">
        <v>234</v>
      </c>
      <c r="D19" s="459" t="s">
        <v>117</v>
      </c>
      <c r="E19" s="459" t="s">
        <v>118</v>
      </c>
      <c r="F19" s="459" t="s">
        <v>70</v>
      </c>
      <c r="G19" s="452" t="s">
        <v>436</v>
      </c>
      <c r="H19" s="459" t="s">
        <v>417</v>
      </c>
      <c r="I19" s="459" t="s">
        <v>417</v>
      </c>
      <c r="J19" s="237" t="s">
        <v>418</v>
      </c>
      <c r="K19" s="459" t="s">
        <v>180</v>
      </c>
      <c r="L19" s="459" t="s">
        <v>180</v>
      </c>
      <c r="M19" s="459" t="s">
        <v>180</v>
      </c>
      <c r="N19" s="464" t="s">
        <v>180</v>
      </c>
    </row>
    <row r="20" spans="2:14" hidden="1" x14ac:dyDescent="0.35">
      <c r="B20" s="460">
        <v>18</v>
      </c>
      <c r="C20" s="454" t="s">
        <v>24</v>
      </c>
      <c r="D20" s="460" t="s">
        <v>82</v>
      </c>
      <c r="E20" s="460" t="s">
        <v>83</v>
      </c>
      <c r="F20" s="460" t="s">
        <v>70</v>
      </c>
      <c r="G20" s="452" t="s">
        <v>415</v>
      </c>
      <c r="H20" s="460" t="s">
        <v>417</v>
      </c>
      <c r="I20" s="460" t="s">
        <v>417</v>
      </c>
      <c r="J20" s="237" t="s">
        <v>485</v>
      </c>
      <c r="K20" s="460" t="s">
        <v>180</v>
      </c>
      <c r="L20" s="460" t="s">
        <v>180</v>
      </c>
      <c r="M20" s="460" t="s">
        <v>180</v>
      </c>
      <c r="N20" s="465" t="s">
        <v>180</v>
      </c>
    </row>
    <row r="21" spans="2:14" hidden="1" x14ac:dyDescent="0.35">
      <c r="B21" s="459">
        <v>19</v>
      </c>
      <c r="C21" s="453" t="s">
        <v>218</v>
      </c>
      <c r="D21" s="459" t="s">
        <v>82</v>
      </c>
      <c r="E21" s="459" t="s">
        <v>219</v>
      </c>
      <c r="F21" s="459" t="s">
        <v>70</v>
      </c>
      <c r="G21" s="452" t="s">
        <v>436</v>
      </c>
      <c r="H21" s="459" t="s">
        <v>417</v>
      </c>
      <c r="I21" s="459" t="s">
        <v>417</v>
      </c>
      <c r="J21" s="237" t="s">
        <v>418</v>
      </c>
      <c r="K21" s="459" t="s">
        <v>180</v>
      </c>
      <c r="L21" s="459" t="s">
        <v>180</v>
      </c>
      <c r="M21" s="459" t="s">
        <v>180</v>
      </c>
      <c r="N21" s="464" t="s">
        <v>180</v>
      </c>
    </row>
    <row r="22" spans="2:14" hidden="1" x14ac:dyDescent="0.35">
      <c r="B22" s="460">
        <v>20</v>
      </c>
      <c r="C22" s="454" t="s">
        <v>151</v>
      </c>
      <c r="D22" s="460" t="s">
        <v>152</v>
      </c>
      <c r="E22" s="460" t="s">
        <v>153</v>
      </c>
      <c r="F22" s="460" t="s">
        <v>70</v>
      </c>
      <c r="G22" s="452" t="s">
        <v>436</v>
      </c>
      <c r="H22" s="460" t="s">
        <v>417</v>
      </c>
      <c r="I22" s="460" t="s">
        <v>417</v>
      </c>
      <c r="J22" s="237" t="s">
        <v>418</v>
      </c>
      <c r="K22" s="460" t="s">
        <v>180</v>
      </c>
      <c r="L22" s="460" t="s">
        <v>180</v>
      </c>
      <c r="M22" s="460" t="s">
        <v>180</v>
      </c>
      <c r="N22" s="465" t="s">
        <v>180</v>
      </c>
    </row>
    <row r="23" spans="2:14" hidden="1" x14ac:dyDescent="0.35">
      <c r="B23" s="459">
        <v>21</v>
      </c>
      <c r="C23" s="453" t="s">
        <v>43</v>
      </c>
      <c r="D23" s="459" t="s">
        <v>105</v>
      </c>
      <c r="E23" s="459" t="s">
        <v>106</v>
      </c>
      <c r="F23" s="459" t="s">
        <v>70</v>
      </c>
      <c r="G23" s="452" t="s">
        <v>415</v>
      </c>
      <c r="H23" s="459" t="s">
        <v>417</v>
      </c>
      <c r="I23" s="459" t="s">
        <v>417</v>
      </c>
      <c r="J23" s="237" t="s">
        <v>417</v>
      </c>
      <c r="K23" s="459" t="s">
        <v>417</v>
      </c>
      <c r="L23" s="459" t="s">
        <v>417</v>
      </c>
      <c r="M23" s="459" t="s">
        <v>417</v>
      </c>
      <c r="N23" s="464" t="s">
        <v>485</v>
      </c>
    </row>
    <row r="24" spans="2:14" hidden="1" x14ac:dyDescent="0.35">
      <c r="B24" s="460">
        <v>22</v>
      </c>
      <c r="C24" s="454" t="s">
        <v>149</v>
      </c>
      <c r="D24" s="460" t="s">
        <v>84</v>
      </c>
      <c r="E24" s="460" t="s">
        <v>150</v>
      </c>
      <c r="F24" s="460" t="s">
        <v>70</v>
      </c>
      <c r="G24" s="452" t="s">
        <v>443</v>
      </c>
      <c r="H24" s="460" t="s">
        <v>417</v>
      </c>
      <c r="I24" s="460" t="s">
        <v>417</v>
      </c>
      <c r="J24" s="237" t="s">
        <v>418</v>
      </c>
      <c r="K24" s="460" t="s">
        <v>180</v>
      </c>
      <c r="L24" s="460" t="s">
        <v>180</v>
      </c>
      <c r="M24" s="460" t="s">
        <v>180</v>
      </c>
      <c r="N24" s="465" t="s">
        <v>180</v>
      </c>
    </row>
    <row r="25" spans="2:14" hidden="1" x14ac:dyDescent="0.35">
      <c r="B25" s="459">
        <v>23</v>
      </c>
      <c r="C25" s="453" t="s">
        <v>186</v>
      </c>
      <c r="D25" s="459" t="s">
        <v>84</v>
      </c>
      <c r="E25" s="459" t="s">
        <v>187</v>
      </c>
      <c r="F25" s="459" t="s">
        <v>70</v>
      </c>
      <c r="G25" s="452" t="s">
        <v>436</v>
      </c>
      <c r="H25" s="459" t="s">
        <v>417</v>
      </c>
      <c r="I25" s="459" t="s">
        <v>417</v>
      </c>
      <c r="J25" s="237" t="s">
        <v>418</v>
      </c>
      <c r="K25" s="459" t="s">
        <v>180</v>
      </c>
      <c r="L25" s="459" t="s">
        <v>180</v>
      </c>
      <c r="M25" s="459" t="s">
        <v>180</v>
      </c>
      <c r="N25" s="464" t="s">
        <v>180</v>
      </c>
    </row>
    <row r="26" spans="2:14" hidden="1" x14ac:dyDescent="0.35">
      <c r="B26" s="460">
        <v>24</v>
      </c>
      <c r="C26" s="454" t="s">
        <v>172</v>
      </c>
      <c r="D26" s="460" t="s">
        <v>173</v>
      </c>
      <c r="E26" s="460" t="s">
        <v>174</v>
      </c>
      <c r="F26" s="460" t="s">
        <v>70</v>
      </c>
      <c r="G26" s="451" t="s">
        <v>415</v>
      </c>
      <c r="H26" s="460" t="s">
        <v>417</v>
      </c>
      <c r="I26" s="460" t="s">
        <v>417</v>
      </c>
      <c r="J26" s="237" t="s">
        <v>486</v>
      </c>
      <c r="K26" s="460" t="s">
        <v>180</v>
      </c>
      <c r="L26" s="460" t="s">
        <v>180</v>
      </c>
      <c r="M26" s="460" t="s">
        <v>180</v>
      </c>
      <c r="N26" s="465" t="s">
        <v>180</v>
      </c>
    </row>
    <row r="27" spans="2:14" hidden="1" x14ac:dyDescent="0.35">
      <c r="B27" s="459">
        <v>25</v>
      </c>
      <c r="C27" s="453" t="s">
        <v>204</v>
      </c>
      <c r="D27" s="459" t="s">
        <v>205</v>
      </c>
      <c r="E27" s="459" t="s">
        <v>206</v>
      </c>
      <c r="F27" s="459" t="s">
        <v>70</v>
      </c>
      <c r="G27" s="452" t="s">
        <v>436</v>
      </c>
      <c r="H27" s="459" t="s">
        <v>417</v>
      </c>
      <c r="I27" s="459" t="s">
        <v>417</v>
      </c>
      <c r="J27" s="237" t="s">
        <v>418</v>
      </c>
      <c r="K27" s="459" t="s">
        <v>180</v>
      </c>
      <c r="L27" s="459" t="s">
        <v>180</v>
      </c>
      <c r="M27" s="459" t="s">
        <v>180</v>
      </c>
      <c r="N27" s="464" t="s">
        <v>180</v>
      </c>
    </row>
    <row r="28" spans="2:14" hidden="1" x14ac:dyDescent="0.35">
      <c r="B28" s="460">
        <v>26</v>
      </c>
      <c r="C28" s="454" t="s">
        <v>57</v>
      </c>
      <c r="D28" s="460" t="s">
        <v>124</v>
      </c>
      <c r="E28" s="460" t="s">
        <v>125</v>
      </c>
      <c r="F28" s="460" t="s">
        <v>70</v>
      </c>
      <c r="G28" s="452" t="s">
        <v>436</v>
      </c>
      <c r="H28" s="460" t="s">
        <v>417</v>
      </c>
      <c r="I28" s="460" t="s">
        <v>417</v>
      </c>
      <c r="J28" s="237" t="s">
        <v>418</v>
      </c>
      <c r="K28" s="460" t="s">
        <v>180</v>
      </c>
      <c r="L28" s="460" t="s">
        <v>180</v>
      </c>
      <c r="M28" s="460" t="s">
        <v>180</v>
      </c>
      <c r="N28" s="465" t="s">
        <v>180</v>
      </c>
    </row>
    <row r="29" spans="2:14" hidden="1" x14ac:dyDescent="0.35">
      <c r="B29" s="459">
        <v>27</v>
      </c>
      <c r="C29" s="455" t="s">
        <v>17</v>
      </c>
      <c r="D29" s="459" t="s">
        <v>68</v>
      </c>
      <c r="E29" s="459" t="s">
        <v>71</v>
      </c>
      <c r="F29" s="459" t="s">
        <v>70</v>
      </c>
      <c r="G29" s="452" t="s">
        <v>415</v>
      </c>
      <c r="H29" s="459" t="s">
        <v>417</v>
      </c>
      <c r="I29" s="459" t="s">
        <v>417</v>
      </c>
      <c r="J29" s="237" t="s">
        <v>417</v>
      </c>
      <c r="K29" s="459" t="s">
        <v>417</v>
      </c>
      <c r="L29" s="459" t="s">
        <v>417</v>
      </c>
      <c r="M29" s="459" t="s">
        <v>417</v>
      </c>
      <c r="N29" s="464" t="s">
        <v>485</v>
      </c>
    </row>
    <row r="30" spans="2:14" ht="27" hidden="1" x14ac:dyDescent="0.35">
      <c r="B30" s="460">
        <v>28</v>
      </c>
      <c r="C30" s="454" t="s">
        <v>56</v>
      </c>
      <c r="D30" s="460" t="s">
        <v>74</v>
      </c>
      <c r="E30" s="460" t="s">
        <v>88</v>
      </c>
      <c r="F30" s="460" t="s">
        <v>70</v>
      </c>
      <c r="G30" s="452" t="s">
        <v>436</v>
      </c>
      <c r="H30" s="460" t="s">
        <v>417</v>
      </c>
      <c r="I30" s="460" t="s">
        <v>417</v>
      </c>
      <c r="J30" s="237" t="s">
        <v>418</v>
      </c>
      <c r="K30" s="460" t="s">
        <v>180</v>
      </c>
      <c r="L30" s="460" t="s">
        <v>180</v>
      </c>
      <c r="M30" s="460" t="s">
        <v>180</v>
      </c>
      <c r="N30" s="465" t="s">
        <v>180</v>
      </c>
    </row>
    <row r="31" spans="2:14" ht="27" hidden="1" x14ac:dyDescent="0.35">
      <c r="B31" s="459">
        <v>29</v>
      </c>
      <c r="C31" s="453" t="s">
        <v>215</v>
      </c>
      <c r="D31" s="459" t="s">
        <v>74</v>
      </c>
      <c r="E31" s="459" t="s">
        <v>88</v>
      </c>
      <c r="F31" s="459" t="s">
        <v>70</v>
      </c>
      <c r="G31" s="452" t="s">
        <v>436</v>
      </c>
      <c r="H31" s="459" t="s">
        <v>417</v>
      </c>
      <c r="I31" s="459" t="s">
        <v>417</v>
      </c>
      <c r="J31" s="237" t="s">
        <v>418</v>
      </c>
      <c r="K31" s="459" t="s">
        <v>180</v>
      </c>
      <c r="L31" s="459" t="s">
        <v>180</v>
      </c>
      <c r="M31" s="459" t="s">
        <v>180</v>
      </c>
      <c r="N31" s="464" t="s">
        <v>180</v>
      </c>
    </row>
    <row r="32" spans="2:14" hidden="1" x14ac:dyDescent="0.35">
      <c r="B32" s="460">
        <v>30</v>
      </c>
      <c r="C32" s="456" t="s">
        <v>27</v>
      </c>
      <c r="D32" s="460" t="s">
        <v>74</v>
      </c>
      <c r="E32" s="460" t="s">
        <v>88</v>
      </c>
      <c r="F32" s="460" t="s">
        <v>70</v>
      </c>
      <c r="G32" s="452" t="s">
        <v>415</v>
      </c>
      <c r="H32" s="460" t="s">
        <v>417</v>
      </c>
      <c r="I32" s="460" t="s">
        <v>417</v>
      </c>
      <c r="J32" s="237" t="s">
        <v>417</v>
      </c>
      <c r="K32" s="460" t="s">
        <v>417</v>
      </c>
      <c r="L32" s="460" t="s">
        <v>485</v>
      </c>
      <c r="M32" s="460" t="s">
        <v>180</v>
      </c>
      <c r="N32" s="465" t="s">
        <v>180</v>
      </c>
    </row>
    <row r="33" spans="2:14" ht="27" hidden="1" x14ac:dyDescent="0.35">
      <c r="B33" s="459">
        <v>31</v>
      </c>
      <c r="C33" s="453" t="s">
        <v>216</v>
      </c>
      <c r="D33" s="459" t="s">
        <v>74</v>
      </c>
      <c r="E33" s="459" t="s">
        <v>217</v>
      </c>
      <c r="F33" s="459" t="s">
        <v>70</v>
      </c>
      <c r="G33" s="452" t="s">
        <v>436</v>
      </c>
      <c r="H33" s="459" t="s">
        <v>417</v>
      </c>
      <c r="I33" s="459" t="s">
        <v>417</v>
      </c>
      <c r="J33" s="237" t="s">
        <v>418</v>
      </c>
      <c r="K33" s="459" t="s">
        <v>180</v>
      </c>
      <c r="L33" s="459" t="s">
        <v>180</v>
      </c>
      <c r="M33" s="459" t="s">
        <v>180</v>
      </c>
      <c r="N33" s="464" t="s">
        <v>180</v>
      </c>
    </row>
    <row r="34" spans="2:14" ht="27" hidden="1" x14ac:dyDescent="0.35">
      <c r="B34" s="460">
        <v>32</v>
      </c>
      <c r="C34" s="454" t="s">
        <v>158</v>
      </c>
      <c r="D34" s="460" t="s">
        <v>74</v>
      </c>
      <c r="E34" s="460" t="s">
        <v>88</v>
      </c>
      <c r="F34" s="460" t="s">
        <v>70</v>
      </c>
      <c r="G34" s="452" t="s">
        <v>436</v>
      </c>
      <c r="H34" s="460" t="s">
        <v>417</v>
      </c>
      <c r="I34" s="460" t="s">
        <v>417</v>
      </c>
      <c r="J34" s="237" t="s">
        <v>418</v>
      </c>
      <c r="K34" s="460" t="s">
        <v>180</v>
      </c>
      <c r="L34" s="460" t="s">
        <v>180</v>
      </c>
      <c r="M34" s="460" t="s">
        <v>180</v>
      </c>
      <c r="N34" s="465" t="s">
        <v>180</v>
      </c>
    </row>
    <row r="35" spans="2:14" hidden="1" x14ac:dyDescent="0.35">
      <c r="B35" s="459">
        <v>33</v>
      </c>
      <c r="C35" s="453" t="s">
        <v>30</v>
      </c>
      <c r="D35" s="459" t="s">
        <v>74</v>
      </c>
      <c r="E35" s="459" t="s">
        <v>88</v>
      </c>
      <c r="F35" s="459" t="s">
        <v>70</v>
      </c>
      <c r="G35" s="452" t="s">
        <v>415</v>
      </c>
      <c r="H35" s="459" t="s">
        <v>417</v>
      </c>
      <c r="I35" s="459" t="s">
        <v>417</v>
      </c>
      <c r="J35" s="237" t="s">
        <v>417</v>
      </c>
      <c r="K35" s="459" t="s">
        <v>418</v>
      </c>
      <c r="L35" s="459" t="s">
        <v>180</v>
      </c>
      <c r="M35" s="459" t="s">
        <v>180</v>
      </c>
      <c r="N35" s="464" t="s">
        <v>180</v>
      </c>
    </row>
    <row r="36" spans="2:14" hidden="1" x14ac:dyDescent="0.35">
      <c r="B36" s="460">
        <v>34</v>
      </c>
      <c r="C36" s="454" t="s">
        <v>37</v>
      </c>
      <c r="D36" s="460" t="s">
        <v>97</v>
      </c>
      <c r="E36" s="460" t="s">
        <v>98</v>
      </c>
      <c r="F36" s="460" t="s">
        <v>70</v>
      </c>
      <c r="G36" s="452" t="s">
        <v>415</v>
      </c>
      <c r="H36" s="460" t="s">
        <v>417</v>
      </c>
      <c r="I36" s="460" t="s">
        <v>417</v>
      </c>
      <c r="J36" s="237" t="s">
        <v>418</v>
      </c>
      <c r="K36" s="460" t="s">
        <v>180</v>
      </c>
      <c r="L36" s="460" t="s">
        <v>180</v>
      </c>
      <c r="M36" s="460" t="s">
        <v>180</v>
      </c>
      <c r="N36" s="465" t="s">
        <v>180</v>
      </c>
    </row>
    <row r="37" spans="2:14" ht="27" hidden="1" x14ac:dyDescent="0.35">
      <c r="B37" s="459">
        <v>35</v>
      </c>
      <c r="C37" s="453" t="s">
        <v>167</v>
      </c>
      <c r="D37" s="459" t="s">
        <v>104</v>
      </c>
      <c r="E37" s="459" t="s">
        <v>168</v>
      </c>
      <c r="F37" s="459" t="s">
        <v>70</v>
      </c>
      <c r="G37" s="452" t="s">
        <v>436</v>
      </c>
      <c r="H37" s="459" t="s">
        <v>417</v>
      </c>
      <c r="I37" s="459" t="s">
        <v>417</v>
      </c>
      <c r="J37" s="237" t="s">
        <v>418</v>
      </c>
      <c r="K37" s="459" t="s">
        <v>180</v>
      </c>
      <c r="L37" s="459" t="s">
        <v>180</v>
      </c>
      <c r="M37" s="459" t="s">
        <v>180</v>
      </c>
      <c r="N37" s="464" t="s">
        <v>180</v>
      </c>
    </row>
    <row r="38" spans="2:14" ht="27" hidden="1" x14ac:dyDescent="0.35">
      <c r="B38" s="460">
        <v>36</v>
      </c>
      <c r="C38" s="454" t="s">
        <v>195</v>
      </c>
      <c r="D38" s="460" t="s">
        <v>104</v>
      </c>
      <c r="E38" s="460" t="s">
        <v>196</v>
      </c>
      <c r="F38" s="460" t="s">
        <v>70</v>
      </c>
      <c r="G38" s="452" t="s">
        <v>436</v>
      </c>
      <c r="H38" s="460" t="s">
        <v>417</v>
      </c>
      <c r="I38" s="460" t="s">
        <v>417</v>
      </c>
      <c r="J38" s="237" t="s">
        <v>418</v>
      </c>
      <c r="K38" s="460" t="s">
        <v>180</v>
      </c>
      <c r="L38" s="460" t="s">
        <v>180</v>
      </c>
      <c r="M38" s="460" t="s">
        <v>180</v>
      </c>
      <c r="N38" s="465" t="s">
        <v>180</v>
      </c>
    </row>
    <row r="39" spans="2:14" hidden="1" x14ac:dyDescent="0.35">
      <c r="B39" s="459">
        <v>37</v>
      </c>
      <c r="C39" s="453" t="s">
        <v>28</v>
      </c>
      <c r="D39" s="459" t="s">
        <v>74</v>
      </c>
      <c r="E39" s="459" t="s">
        <v>75</v>
      </c>
      <c r="F39" s="459" t="s">
        <v>70</v>
      </c>
      <c r="G39" s="452" t="s">
        <v>415</v>
      </c>
      <c r="H39" s="459" t="s">
        <v>417</v>
      </c>
      <c r="I39" s="459" t="s">
        <v>417</v>
      </c>
      <c r="J39" s="237" t="s">
        <v>417</v>
      </c>
      <c r="K39" s="459" t="s">
        <v>418</v>
      </c>
      <c r="L39" s="459" t="s">
        <v>180</v>
      </c>
      <c r="M39" s="459" t="s">
        <v>180</v>
      </c>
      <c r="N39" s="464" t="s">
        <v>180</v>
      </c>
    </row>
    <row r="40" spans="2:14" ht="27" hidden="1" x14ac:dyDescent="0.35">
      <c r="B40" s="460">
        <v>38</v>
      </c>
      <c r="C40" s="457" t="s">
        <v>29</v>
      </c>
      <c r="D40" s="462" t="s">
        <v>77</v>
      </c>
      <c r="E40" s="462" t="s">
        <v>89</v>
      </c>
      <c r="F40" s="462" t="s">
        <v>70</v>
      </c>
      <c r="G40" s="506" t="s">
        <v>436</v>
      </c>
      <c r="H40" s="462" t="s">
        <v>417</v>
      </c>
      <c r="I40" s="462" t="s">
        <v>417</v>
      </c>
      <c r="J40" s="291" t="s">
        <v>418</v>
      </c>
      <c r="K40" s="462" t="s">
        <v>180</v>
      </c>
      <c r="L40" s="462" t="s">
        <v>180</v>
      </c>
      <c r="M40" s="462" t="s">
        <v>180</v>
      </c>
      <c r="N40" s="467" t="s">
        <v>180</v>
      </c>
    </row>
    <row r="41" spans="2:14" ht="27" hidden="1" x14ac:dyDescent="0.35">
      <c r="B41" s="459">
        <v>39</v>
      </c>
      <c r="C41" s="453" t="s">
        <v>164</v>
      </c>
      <c r="D41" s="459" t="s">
        <v>77</v>
      </c>
      <c r="E41" s="459" t="s">
        <v>93</v>
      </c>
      <c r="F41" s="459" t="s">
        <v>70</v>
      </c>
      <c r="G41" s="452" t="s">
        <v>436</v>
      </c>
      <c r="H41" s="459" t="s">
        <v>417</v>
      </c>
      <c r="I41" s="459" t="s">
        <v>417</v>
      </c>
      <c r="J41" s="237" t="s">
        <v>418</v>
      </c>
      <c r="K41" s="459" t="s">
        <v>180</v>
      </c>
      <c r="L41" s="459" t="s">
        <v>180</v>
      </c>
      <c r="M41" s="459" t="s">
        <v>180</v>
      </c>
      <c r="N41" s="464" t="s">
        <v>180</v>
      </c>
    </row>
    <row r="42" spans="2:14" hidden="1" x14ac:dyDescent="0.35">
      <c r="B42" s="460">
        <v>40</v>
      </c>
      <c r="C42" s="454" t="s">
        <v>60</v>
      </c>
      <c r="D42" s="460" t="s">
        <v>130</v>
      </c>
      <c r="E42" s="460" t="s">
        <v>131</v>
      </c>
      <c r="F42" s="460" t="s">
        <v>70</v>
      </c>
      <c r="G42" s="452" t="s">
        <v>436</v>
      </c>
      <c r="H42" s="460" t="s">
        <v>417</v>
      </c>
      <c r="I42" s="460" t="s">
        <v>417</v>
      </c>
      <c r="J42" s="237" t="s">
        <v>417</v>
      </c>
      <c r="K42" s="460" t="s">
        <v>418</v>
      </c>
      <c r="L42" s="460" t="s">
        <v>180</v>
      </c>
      <c r="M42" s="460" t="s">
        <v>180</v>
      </c>
      <c r="N42" s="465" t="s">
        <v>180</v>
      </c>
    </row>
    <row r="43" spans="2:14" hidden="1" x14ac:dyDescent="0.35">
      <c r="B43" s="459">
        <v>41</v>
      </c>
      <c r="C43" s="453" t="s">
        <v>182</v>
      </c>
      <c r="D43" s="459" t="s">
        <v>130</v>
      </c>
      <c r="E43" s="459" t="s">
        <v>183</v>
      </c>
      <c r="F43" s="459" t="s">
        <v>70</v>
      </c>
      <c r="G43" s="452" t="s">
        <v>440</v>
      </c>
      <c r="H43" s="459" t="s">
        <v>417</v>
      </c>
      <c r="I43" s="459" t="s">
        <v>417</v>
      </c>
      <c r="J43" s="237" t="s">
        <v>418</v>
      </c>
      <c r="K43" s="459" t="s">
        <v>180</v>
      </c>
      <c r="L43" s="459" t="s">
        <v>180</v>
      </c>
      <c r="M43" s="459" t="s">
        <v>180</v>
      </c>
      <c r="N43" s="464" t="s">
        <v>180</v>
      </c>
    </row>
    <row r="44" spans="2:14" hidden="1" x14ac:dyDescent="0.35">
      <c r="B44" s="460">
        <v>42</v>
      </c>
      <c r="C44" s="454" t="s">
        <v>22</v>
      </c>
      <c r="D44" s="460" t="s">
        <v>76</v>
      </c>
      <c r="E44" s="460" t="s">
        <v>80</v>
      </c>
      <c r="F44" s="460" t="s">
        <v>70</v>
      </c>
      <c r="G44" s="452" t="s">
        <v>415</v>
      </c>
      <c r="H44" s="460" t="s">
        <v>417</v>
      </c>
      <c r="I44" s="460" t="s">
        <v>417</v>
      </c>
      <c r="J44" s="237" t="s">
        <v>485</v>
      </c>
      <c r="K44" s="460" t="s">
        <v>180</v>
      </c>
      <c r="L44" s="460" t="s">
        <v>180</v>
      </c>
      <c r="M44" s="460" t="s">
        <v>180</v>
      </c>
      <c r="N44" s="465" t="s">
        <v>180</v>
      </c>
    </row>
    <row r="45" spans="2:14" hidden="1" x14ac:dyDescent="0.35">
      <c r="B45" s="459">
        <v>43</v>
      </c>
      <c r="C45" s="453" t="s">
        <v>58</v>
      </c>
      <c r="D45" s="459" t="s">
        <v>126</v>
      </c>
      <c r="E45" s="459" t="s">
        <v>127</v>
      </c>
      <c r="F45" s="459" t="s">
        <v>70</v>
      </c>
      <c r="G45" s="452" t="s">
        <v>443</v>
      </c>
      <c r="H45" s="459" t="s">
        <v>417</v>
      </c>
      <c r="I45" s="459" t="s">
        <v>417</v>
      </c>
      <c r="J45" s="237" t="s">
        <v>417</v>
      </c>
      <c r="K45" s="459" t="s">
        <v>417</v>
      </c>
      <c r="L45" s="459" t="s">
        <v>418</v>
      </c>
      <c r="M45" s="459" t="s">
        <v>180</v>
      </c>
      <c r="N45" s="464" t="s">
        <v>180</v>
      </c>
    </row>
    <row r="46" spans="2:14" hidden="1" x14ac:dyDescent="0.35">
      <c r="B46" s="460">
        <v>44</v>
      </c>
      <c r="C46" s="454" t="s">
        <v>59</v>
      </c>
      <c r="D46" s="460" t="s">
        <v>128</v>
      </c>
      <c r="E46" s="460" t="s">
        <v>129</v>
      </c>
      <c r="F46" s="460" t="s">
        <v>70</v>
      </c>
      <c r="G46" s="452" t="s">
        <v>443</v>
      </c>
      <c r="H46" s="460" t="s">
        <v>417</v>
      </c>
      <c r="I46" s="460" t="s">
        <v>417</v>
      </c>
      <c r="J46" s="237" t="s">
        <v>418</v>
      </c>
      <c r="K46" s="460" t="s">
        <v>180</v>
      </c>
      <c r="L46" s="460" t="s">
        <v>180</v>
      </c>
      <c r="M46" s="460" t="s">
        <v>180</v>
      </c>
      <c r="N46" s="465" t="s">
        <v>180</v>
      </c>
    </row>
    <row r="47" spans="2:14" ht="27" hidden="1" x14ac:dyDescent="0.35">
      <c r="B47" s="459">
        <v>45</v>
      </c>
      <c r="C47" s="453" t="s">
        <v>154</v>
      </c>
      <c r="D47" s="459" t="s">
        <v>155</v>
      </c>
      <c r="E47" s="459" t="s">
        <v>156</v>
      </c>
      <c r="F47" s="459" t="s">
        <v>70</v>
      </c>
      <c r="G47" s="452" t="s">
        <v>436</v>
      </c>
      <c r="H47" s="459" t="s">
        <v>417</v>
      </c>
      <c r="I47" s="459" t="s">
        <v>417</v>
      </c>
      <c r="J47" s="237" t="s">
        <v>418</v>
      </c>
      <c r="K47" s="459" t="s">
        <v>180</v>
      </c>
      <c r="L47" s="459" t="s">
        <v>180</v>
      </c>
      <c r="M47" s="459" t="s">
        <v>180</v>
      </c>
      <c r="N47" s="464" t="s">
        <v>180</v>
      </c>
    </row>
    <row r="48" spans="2:14" hidden="1" x14ac:dyDescent="0.35">
      <c r="B48" s="460">
        <v>46</v>
      </c>
      <c r="C48" s="454" t="s">
        <v>232</v>
      </c>
      <c r="D48" s="460" t="s">
        <v>170</v>
      </c>
      <c r="E48" s="460" t="s">
        <v>233</v>
      </c>
      <c r="F48" s="460" t="s">
        <v>70</v>
      </c>
      <c r="G48" s="452" t="s">
        <v>436</v>
      </c>
      <c r="H48" s="460" t="s">
        <v>417</v>
      </c>
      <c r="I48" s="460" t="s">
        <v>417</v>
      </c>
      <c r="J48" s="237" t="s">
        <v>418</v>
      </c>
      <c r="K48" s="460" t="s">
        <v>180</v>
      </c>
      <c r="L48" s="460" t="s">
        <v>180</v>
      </c>
      <c r="M48" s="460" t="s">
        <v>180</v>
      </c>
      <c r="N48" s="465" t="s">
        <v>180</v>
      </c>
    </row>
    <row r="49" spans="2:14" x14ac:dyDescent="0.35">
      <c r="B49" s="459">
        <v>47</v>
      </c>
      <c r="C49" s="453" t="s">
        <v>235</v>
      </c>
      <c r="D49" s="459" t="s">
        <v>236</v>
      </c>
      <c r="E49" s="459" t="s">
        <v>237</v>
      </c>
      <c r="F49" s="459" t="s">
        <v>70</v>
      </c>
      <c r="G49" s="452" t="s">
        <v>436</v>
      </c>
      <c r="H49" s="459" t="s">
        <v>417</v>
      </c>
      <c r="I49" s="459" t="s">
        <v>417</v>
      </c>
      <c r="J49" s="237" t="s">
        <v>485</v>
      </c>
      <c r="K49" s="459" t="s">
        <v>180</v>
      </c>
      <c r="L49" s="459" t="s">
        <v>180</v>
      </c>
      <c r="M49" s="459" t="s">
        <v>180</v>
      </c>
      <c r="N49" s="464" t="s">
        <v>180</v>
      </c>
    </row>
    <row r="50" spans="2:14" hidden="1" x14ac:dyDescent="0.35">
      <c r="B50" s="460">
        <v>48</v>
      </c>
      <c r="C50" s="454" t="s">
        <v>55</v>
      </c>
      <c r="D50" s="460" t="s">
        <v>122</v>
      </c>
      <c r="E50" s="460" t="s">
        <v>123</v>
      </c>
      <c r="F50" s="460" t="s">
        <v>70</v>
      </c>
      <c r="G50" s="451" t="s">
        <v>415</v>
      </c>
      <c r="H50" s="460" t="s">
        <v>417</v>
      </c>
      <c r="I50" s="460" t="s">
        <v>417</v>
      </c>
      <c r="J50" s="237" t="s">
        <v>486</v>
      </c>
      <c r="K50" s="460" t="s">
        <v>180</v>
      </c>
      <c r="L50" s="460" t="s">
        <v>180</v>
      </c>
      <c r="M50" s="460" t="s">
        <v>180</v>
      </c>
      <c r="N50" s="465" t="s">
        <v>180</v>
      </c>
    </row>
    <row r="51" spans="2:14" hidden="1" x14ac:dyDescent="0.35">
      <c r="B51" s="459">
        <v>49</v>
      </c>
      <c r="C51" s="453" t="s">
        <v>199</v>
      </c>
      <c r="D51" s="459" t="s">
        <v>68</v>
      </c>
      <c r="E51" s="459" t="s">
        <v>200</v>
      </c>
      <c r="F51" s="459" t="s">
        <v>70</v>
      </c>
      <c r="G51" s="227" t="s">
        <v>436</v>
      </c>
      <c r="H51" s="459" t="s">
        <v>417</v>
      </c>
      <c r="I51" s="459" t="s">
        <v>417</v>
      </c>
      <c r="J51" s="237" t="s">
        <v>418</v>
      </c>
      <c r="K51" s="459" t="s">
        <v>180</v>
      </c>
      <c r="L51" s="459" t="s">
        <v>180</v>
      </c>
      <c r="M51" s="459" t="s">
        <v>180</v>
      </c>
      <c r="N51" s="464" t="s">
        <v>180</v>
      </c>
    </row>
    <row r="52" spans="2:14" hidden="1" x14ac:dyDescent="0.35">
      <c r="B52" s="460">
        <v>50</v>
      </c>
      <c r="C52" s="454" t="s">
        <v>248</v>
      </c>
      <c r="D52" s="460" t="s">
        <v>113</v>
      </c>
      <c r="E52" s="460" t="s">
        <v>249</v>
      </c>
      <c r="F52" s="460" t="s">
        <v>70</v>
      </c>
      <c r="G52" s="227" t="s">
        <v>436</v>
      </c>
      <c r="H52" s="460" t="s">
        <v>417</v>
      </c>
      <c r="I52" s="460" t="s">
        <v>417</v>
      </c>
      <c r="J52" s="237" t="s">
        <v>418</v>
      </c>
      <c r="K52" s="460" t="s">
        <v>180</v>
      </c>
      <c r="L52" s="460" t="s">
        <v>180</v>
      </c>
      <c r="M52" s="460" t="s">
        <v>180</v>
      </c>
      <c r="N52" s="465" t="s">
        <v>180</v>
      </c>
    </row>
    <row r="53" spans="2:14" hidden="1" x14ac:dyDescent="0.35">
      <c r="B53" s="459">
        <v>51</v>
      </c>
      <c r="C53" s="453" t="s">
        <v>238</v>
      </c>
      <c r="D53" s="459" t="s">
        <v>97</v>
      </c>
      <c r="E53" s="459" t="s">
        <v>214</v>
      </c>
      <c r="F53" s="459" t="s">
        <v>70</v>
      </c>
      <c r="G53" s="227" t="s">
        <v>436</v>
      </c>
      <c r="H53" s="459" t="s">
        <v>417</v>
      </c>
      <c r="I53" s="459" t="s">
        <v>417</v>
      </c>
      <c r="J53" s="237" t="s">
        <v>418</v>
      </c>
      <c r="K53" s="459" t="s">
        <v>180</v>
      </c>
      <c r="L53" s="459" t="s">
        <v>180</v>
      </c>
      <c r="M53" s="459" t="s">
        <v>180</v>
      </c>
      <c r="N53" s="464" t="s">
        <v>180</v>
      </c>
    </row>
    <row r="54" spans="2:14" hidden="1" x14ac:dyDescent="0.35">
      <c r="B54" s="460">
        <v>52</v>
      </c>
      <c r="C54" s="454" t="s">
        <v>20</v>
      </c>
      <c r="D54" s="460" t="s">
        <v>74</v>
      </c>
      <c r="E54" s="460" t="s">
        <v>75</v>
      </c>
      <c r="F54" s="460" t="s">
        <v>70</v>
      </c>
      <c r="G54" s="227" t="s">
        <v>415</v>
      </c>
      <c r="H54" s="460" t="s">
        <v>417</v>
      </c>
      <c r="I54" s="460" t="s">
        <v>417</v>
      </c>
      <c r="J54" s="237" t="s">
        <v>417</v>
      </c>
      <c r="K54" s="460" t="s">
        <v>417</v>
      </c>
      <c r="L54" s="460" t="s">
        <v>418</v>
      </c>
      <c r="M54" s="460" t="s">
        <v>180</v>
      </c>
      <c r="N54" s="460" t="s">
        <v>180</v>
      </c>
    </row>
    <row r="55" spans="2:14" hidden="1" x14ac:dyDescent="0.35">
      <c r="B55" s="459">
        <v>53</v>
      </c>
      <c r="C55" s="453" t="s">
        <v>197</v>
      </c>
      <c r="D55" s="459" t="s">
        <v>68</v>
      </c>
      <c r="E55" s="459" t="s">
        <v>198</v>
      </c>
      <c r="F55" s="459" t="s">
        <v>70</v>
      </c>
      <c r="G55" s="227" t="s">
        <v>436</v>
      </c>
      <c r="H55" s="459" t="s">
        <v>417</v>
      </c>
      <c r="I55" s="459" t="s">
        <v>417</v>
      </c>
      <c r="J55" s="237" t="s">
        <v>418</v>
      </c>
      <c r="K55" s="459" t="s">
        <v>180</v>
      </c>
      <c r="L55" s="459" t="s">
        <v>180</v>
      </c>
      <c r="M55" s="459" t="s">
        <v>180</v>
      </c>
      <c r="N55" s="464" t="s">
        <v>180</v>
      </c>
    </row>
    <row r="56" spans="2:14" ht="27" hidden="1" x14ac:dyDescent="0.35">
      <c r="B56" s="460">
        <v>54</v>
      </c>
      <c r="C56" s="454" t="s">
        <v>239</v>
      </c>
      <c r="D56" s="460" t="s">
        <v>240</v>
      </c>
      <c r="E56" s="460" t="s">
        <v>241</v>
      </c>
      <c r="F56" s="460" t="s">
        <v>70</v>
      </c>
      <c r="G56" s="227" t="s">
        <v>436</v>
      </c>
      <c r="H56" s="460" t="s">
        <v>417</v>
      </c>
      <c r="I56" s="460" t="s">
        <v>417</v>
      </c>
      <c r="J56" s="237" t="s">
        <v>418</v>
      </c>
      <c r="K56" s="460" t="s">
        <v>180</v>
      </c>
      <c r="L56" s="460" t="s">
        <v>180</v>
      </c>
      <c r="M56" s="460" t="s">
        <v>180</v>
      </c>
      <c r="N56" s="465" t="s">
        <v>180</v>
      </c>
    </row>
    <row r="57" spans="2:14" ht="27" hidden="1" x14ac:dyDescent="0.35">
      <c r="B57" s="459">
        <v>55</v>
      </c>
      <c r="C57" s="453" t="s">
        <v>138</v>
      </c>
      <c r="D57" s="459" t="s">
        <v>132</v>
      </c>
      <c r="E57" s="459" t="s">
        <v>139</v>
      </c>
      <c r="F57" s="459" t="s">
        <v>70</v>
      </c>
      <c r="G57" s="451" t="s">
        <v>415</v>
      </c>
      <c r="H57" s="459" t="s">
        <v>417</v>
      </c>
      <c r="I57" s="459" t="s">
        <v>417</v>
      </c>
      <c r="J57" s="237" t="s">
        <v>418</v>
      </c>
      <c r="K57" s="459" t="s">
        <v>180</v>
      </c>
      <c r="L57" s="459" t="s">
        <v>180</v>
      </c>
      <c r="M57" s="459" t="s">
        <v>180</v>
      </c>
      <c r="N57" s="464" t="s">
        <v>180</v>
      </c>
    </row>
    <row r="58" spans="2:14" ht="27" hidden="1" x14ac:dyDescent="0.35">
      <c r="B58" s="460">
        <v>56</v>
      </c>
      <c r="C58" s="454" t="s">
        <v>61</v>
      </c>
      <c r="D58" s="460" t="s">
        <v>132</v>
      </c>
      <c r="E58" s="460" t="s">
        <v>133</v>
      </c>
      <c r="F58" s="460" t="s">
        <v>70</v>
      </c>
      <c r="G58" s="227" t="s">
        <v>436</v>
      </c>
      <c r="H58" s="460" t="s">
        <v>417</v>
      </c>
      <c r="I58" s="460" t="s">
        <v>417</v>
      </c>
      <c r="J58" s="237" t="s">
        <v>418</v>
      </c>
      <c r="K58" s="460" t="s">
        <v>180</v>
      </c>
      <c r="L58" s="460" t="s">
        <v>180</v>
      </c>
      <c r="M58" s="460" t="s">
        <v>180</v>
      </c>
      <c r="N58" s="465" t="s">
        <v>180</v>
      </c>
    </row>
    <row r="59" spans="2:14" hidden="1" x14ac:dyDescent="0.35">
      <c r="B59" s="459">
        <v>57</v>
      </c>
      <c r="C59" s="453" t="s">
        <v>487</v>
      </c>
      <c r="D59" s="459" t="s">
        <v>136</v>
      </c>
      <c r="E59" s="459" t="s">
        <v>137</v>
      </c>
      <c r="F59" s="459" t="s">
        <v>70</v>
      </c>
      <c r="G59" s="227" t="s">
        <v>436</v>
      </c>
      <c r="H59" s="459" t="s">
        <v>417</v>
      </c>
      <c r="I59" s="459" t="s">
        <v>417</v>
      </c>
      <c r="J59" s="237" t="s">
        <v>418</v>
      </c>
      <c r="K59" s="459" t="s">
        <v>180</v>
      </c>
      <c r="L59" s="459" t="s">
        <v>180</v>
      </c>
      <c r="M59" s="459" t="s">
        <v>180</v>
      </c>
      <c r="N59" s="464" t="s">
        <v>180</v>
      </c>
    </row>
    <row r="60" spans="2:14" ht="27" hidden="1" x14ac:dyDescent="0.35">
      <c r="B60" s="460">
        <v>58</v>
      </c>
      <c r="C60" s="454" t="s">
        <v>36</v>
      </c>
      <c r="D60" s="460" t="s">
        <v>95</v>
      </c>
      <c r="E60" s="460" t="s">
        <v>96</v>
      </c>
      <c r="F60" s="460" t="s">
        <v>70</v>
      </c>
      <c r="G60" s="227" t="s">
        <v>415</v>
      </c>
      <c r="H60" s="460" t="s">
        <v>417</v>
      </c>
      <c r="I60" s="460" t="s">
        <v>417</v>
      </c>
      <c r="J60" s="237" t="s">
        <v>417</v>
      </c>
      <c r="K60" s="460" t="s">
        <v>417</v>
      </c>
      <c r="L60" s="460" t="s">
        <v>417</v>
      </c>
      <c r="M60" s="460" t="s">
        <v>417</v>
      </c>
      <c r="N60" s="465" t="s">
        <v>485</v>
      </c>
    </row>
    <row r="61" spans="2:14" hidden="1" x14ac:dyDescent="0.35">
      <c r="B61" s="459">
        <v>59</v>
      </c>
      <c r="C61" s="453" t="s">
        <v>175</v>
      </c>
      <c r="D61" s="459" t="s">
        <v>107</v>
      </c>
      <c r="E61" s="459" t="s">
        <v>176</v>
      </c>
      <c r="F61" s="459" t="s">
        <v>70</v>
      </c>
      <c r="G61" s="227" t="s">
        <v>436</v>
      </c>
      <c r="H61" s="459" t="s">
        <v>417</v>
      </c>
      <c r="I61" s="459" t="s">
        <v>417</v>
      </c>
      <c r="J61" s="237" t="s">
        <v>418</v>
      </c>
      <c r="K61" s="459" t="s">
        <v>180</v>
      </c>
      <c r="L61" s="459"/>
      <c r="M61" s="459"/>
      <c r="N61" s="459"/>
    </row>
    <row r="62" spans="2:14" hidden="1" x14ac:dyDescent="0.35">
      <c r="B62" s="460">
        <v>60</v>
      </c>
      <c r="C62" s="454" t="s">
        <v>19</v>
      </c>
      <c r="D62" s="460" t="s">
        <v>68</v>
      </c>
      <c r="E62" s="460" t="s">
        <v>69</v>
      </c>
      <c r="F62" s="460" t="s">
        <v>70</v>
      </c>
      <c r="G62" s="227">
        <f>$Y$3</f>
        <v>0</v>
      </c>
      <c r="H62" s="460" t="s">
        <v>417</v>
      </c>
      <c r="I62" s="460" t="s">
        <v>417</v>
      </c>
      <c r="J62" s="237" t="s">
        <v>417</v>
      </c>
      <c r="K62" s="460" t="s">
        <v>417</v>
      </c>
      <c r="L62" s="460" t="s">
        <v>417</v>
      </c>
      <c r="M62" s="460" t="s">
        <v>417</v>
      </c>
      <c r="N62" s="464" t="s">
        <v>485</v>
      </c>
    </row>
    <row r="63" spans="2:14" ht="27" hidden="1" x14ac:dyDescent="0.35">
      <c r="B63" s="459">
        <v>61</v>
      </c>
      <c r="C63" s="453" t="s">
        <v>223</v>
      </c>
      <c r="D63" s="459" t="s">
        <v>202</v>
      </c>
      <c r="E63" s="459" t="s">
        <v>224</v>
      </c>
      <c r="F63" s="459" t="s">
        <v>70</v>
      </c>
      <c r="G63" s="227" t="s">
        <v>436</v>
      </c>
      <c r="H63" s="459" t="s">
        <v>417</v>
      </c>
      <c r="I63" s="459" t="s">
        <v>417</v>
      </c>
      <c r="J63" s="237" t="s">
        <v>418</v>
      </c>
      <c r="K63" s="459" t="s">
        <v>180</v>
      </c>
      <c r="L63" s="459" t="s">
        <v>180</v>
      </c>
      <c r="M63" s="459" t="s">
        <v>180</v>
      </c>
      <c r="N63" s="464" t="s">
        <v>180</v>
      </c>
    </row>
    <row r="64" spans="2:14" hidden="1" x14ac:dyDescent="0.35">
      <c r="B64" s="460">
        <v>62</v>
      </c>
      <c r="C64" s="454" t="s">
        <v>227</v>
      </c>
      <c r="D64" s="460" t="s">
        <v>97</v>
      </c>
      <c r="E64" s="460" t="s">
        <v>228</v>
      </c>
      <c r="F64" s="460" t="s">
        <v>70</v>
      </c>
      <c r="G64" s="227" t="s">
        <v>436</v>
      </c>
      <c r="H64" s="460" t="s">
        <v>417</v>
      </c>
      <c r="I64" s="460" t="s">
        <v>417</v>
      </c>
      <c r="J64" s="237" t="s">
        <v>418</v>
      </c>
      <c r="K64" s="460" t="s">
        <v>180</v>
      </c>
      <c r="L64" s="460" t="s">
        <v>180</v>
      </c>
      <c r="M64" s="460" t="s">
        <v>180</v>
      </c>
      <c r="N64" s="465" t="s">
        <v>180</v>
      </c>
    </row>
    <row r="65" spans="2:14" hidden="1" x14ac:dyDescent="0.35">
      <c r="B65" s="459">
        <v>63</v>
      </c>
      <c r="C65" s="453" t="s">
        <v>50</v>
      </c>
      <c r="D65" s="459" t="s">
        <v>94</v>
      </c>
      <c r="E65" s="459" t="s">
        <v>116</v>
      </c>
      <c r="F65" s="459" t="s">
        <v>70</v>
      </c>
      <c r="G65" s="227" t="s">
        <v>443</v>
      </c>
      <c r="H65" s="459" t="s">
        <v>417</v>
      </c>
      <c r="I65" s="459" t="s">
        <v>417</v>
      </c>
      <c r="J65" s="237" t="s">
        <v>486</v>
      </c>
      <c r="K65" s="459" t="s">
        <v>180</v>
      </c>
      <c r="L65" s="459" t="s">
        <v>180</v>
      </c>
      <c r="M65" s="459" t="s">
        <v>180</v>
      </c>
      <c r="N65" s="464" t="s">
        <v>180</v>
      </c>
    </row>
    <row r="66" spans="2:14" hidden="1" x14ac:dyDescent="0.35">
      <c r="B66" s="460">
        <v>64</v>
      </c>
      <c r="C66" s="454" t="s">
        <v>41</v>
      </c>
      <c r="D66" s="460" t="s">
        <v>102</v>
      </c>
      <c r="E66" s="460" t="s">
        <v>103</v>
      </c>
      <c r="F66" s="460" t="s">
        <v>70</v>
      </c>
      <c r="G66" s="227" t="s">
        <v>443</v>
      </c>
      <c r="H66" s="460" t="s">
        <v>417</v>
      </c>
      <c r="I66" s="460" t="s">
        <v>417</v>
      </c>
      <c r="J66" s="237" t="s">
        <v>485</v>
      </c>
      <c r="K66" s="460" t="s">
        <v>180</v>
      </c>
      <c r="L66" s="460" t="s">
        <v>180</v>
      </c>
      <c r="M66" s="460" t="s">
        <v>180</v>
      </c>
      <c r="N66" s="465" t="s">
        <v>180</v>
      </c>
    </row>
    <row r="67" spans="2:14" hidden="1" x14ac:dyDescent="0.35">
      <c r="B67" s="459">
        <v>65</v>
      </c>
      <c r="C67" s="453" t="s">
        <v>23</v>
      </c>
      <c r="D67" s="459" t="s">
        <v>68</v>
      </c>
      <c r="E67" s="459" t="s">
        <v>81</v>
      </c>
      <c r="F67" s="459" t="s">
        <v>79</v>
      </c>
      <c r="G67" s="227" t="s">
        <v>415</v>
      </c>
      <c r="H67" s="459" t="s">
        <v>417</v>
      </c>
      <c r="I67" s="459" t="s">
        <v>417</v>
      </c>
      <c r="J67" s="237" t="s">
        <v>417</v>
      </c>
      <c r="K67" s="459" t="s">
        <v>417</v>
      </c>
      <c r="L67" s="459" t="s">
        <v>418</v>
      </c>
      <c r="M67" s="459" t="s">
        <v>180</v>
      </c>
      <c r="N67" s="464" t="s">
        <v>180</v>
      </c>
    </row>
    <row r="68" spans="2:14" hidden="1" x14ac:dyDescent="0.35">
      <c r="B68" s="460">
        <v>66</v>
      </c>
      <c r="C68" s="454" t="s">
        <v>21</v>
      </c>
      <c r="D68" s="460" t="s">
        <v>77</v>
      </c>
      <c r="E68" s="460" t="s">
        <v>78</v>
      </c>
      <c r="F68" s="460" t="s">
        <v>79</v>
      </c>
      <c r="G68" s="227" t="s">
        <v>415</v>
      </c>
      <c r="H68" s="460" t="s">
        <v>417</v>
      </c>
      <c r="I68" s="460" t="s">
        <v>417</v>
      </c>
      <c r="J68" s="237" t="s">
        <v>485</v>
      </c>
      <c r="K68" s="460" t="s">
        <v>180</v>
      </c>
      <c r="L68" s="460" t="s">
        <v>180</v>
      </c>
      <c r="M68" s="460" t="s">
        <v>180</v>
      </c>
      <c r="N68" s="465" t="s">
        <v>180</v>
      </c>
    </row>
    <row r="69" spans="2:14" hidden="1" x14ac:dyDescent="0.35">
      <c r="B69" s="459">
        <v>67</v>
      </c>
      <c r="C69" s="453" t="s">
        <v>25</v>
      </c>
      <c r="D69" s="459" t="s">
        <v>85</v>
      </c>
      <c r="E69" s="459" t="s">
        <v>86</v>
      </c>
      <c r="F69" s="459" t="s">
        <v>79</v>
      </c>
      <c r="G69" s="451" t="s">
        <v>415</v>
      </c>
      <c r="H69" s="459" t="s">
        <v>417</v>
      </c>
      <c r="I69" s="459" t="s">
        <v>417</v>
      </c>
      <c r="J69" s="237" t="s">
        <v>485</v>
      </c>
      <c r="K69" s="459" t="s">
        <v>180</v>
      </c>
      <c r="L69" s="459" t="s">
        <v>180</v>
      </c>
      <c r="M69" s="459" t="s">
        <v>180</v>
      </c>
      <c r="N69" s="464" t="s">
        <v>180</v>
      </c>
    </row>
    <row r="70" spans="2:14" ht="27" x14ac:dyDescent="0.35">
      <c r="B70" s="460">
        <v>68</v>
      </c>
      <c r="C70" s="454" t="s">
        <v>64</v>
      </c>
      <c r="D70" s="460" t="s">
        <v>97</v>
      </c>
      <c r="E70" s="460" t="s">
        <v>98</v>
      </c>
      <c r="F70" s="460" t="s">
        <v>79</v>
      </c>
      <c r="G70" s="227" t="s">
        <v>415</v>
      </c>
      <c r="H70" s="460" t="s">
        <v>417</v>
      </c>
      <c r="I70" s="460" t="s">
        <v>417</v>
      </c>
      <c r="J70" s="471" t="s">
        <v>417</v>
      </c>
      <c r="K70" s="460" t="s">
        <v>417</v>
      </c>
      <c r="L70" s="460" t="s">
        <v>418</v>
      </c>
      <c r="M70" s="460" t="s">
        <v>180</v>
      </c>
      <c r="N70" s="465" t="s">
        <v>180</v>
      </c>
    </row>
    <row r="71" spans="2:14" ht="27" hidden="1" x14ac:dyDescent="0.35">
      <c r="B71" s="459">
        <v>69</v>
      </c>
      <c r="C71" s="453" t="s">
        <v>191</v>
      </c>
      <c r="D71" s="459" t="s">
        <v>117</v>
      </c>
      <c r="E71" s="459" t="s">
        <v>118</v>
      </c>
      <c r="F71" s="459" t="s">
        <v>92</v>
      </c>
      <c r="G71" s="227" t="s">
        <v>440</v>
      </c>
      <c r="H71" s="459" t="s">
        <v>417</v>
      </c>
      <c r="I71" s="459" t="s">
        <v>417</v>
      </c>
      <c r="J71" s="237" t="s">
        <v>440</v>
      </c>
      <c r="K71" s="459" t="s">
        <v>440</v>
      </c>
      <c r="L71" s="459" t="s">
        <v>440</v>
      </c>
      <c r="M71" s="459" t="s">
        <v>440</v>
      </c>
      <c r="N71" s="464" t="s">
        <v>440</v>
      </c>
    </row>
    <row r="72" spans="2:14" ht="27" hidden="1" x14ac:dyDescent="0.35">
      <c r="B72" s="460">
        <v>70</v>
      </c>
      <c r="C72" s="454" t="s">
        <v>169</v>
      </c>
      <c r="D72" s="460" t="s">
        <v>170</v>
      </c>
      <c r="E72" s="460" t="s">
        <v>171</v>
      </c>
      <c r="F72" s="460" t="s">
        <v>92</v>
      </c>
      <c r="G72" s="227" t="s">
        <v>440</v>
      </c>
      <c r="H72" s="460" t="s">
        <v>417</v>
      </c>
      <c r="I72" s="460" t="s">
        <v>417</v>
      </c>
      <c r="J72" s="237" t="s">
        <v>440</v>
      </c>
      <c r="K72" s="460" t="s">
        <v>440</v>
      </c>
      <c r="L72" s="460" t="s">
        <v>440</v>
      </c>
      <c r="M72" s="460" t="s">
        <v>440</v>
      </c>
      <c r="N72" s="465" t="s">
        <v>440</v>
      </c>
    </row>
    <row r="73" spans="2:14" hidden="1" x14ac:dyDescent="0.35">
      <c r="B73" s="459">
        <v>71</v>
      </c>
      <c r="C73" s="453" t="s">
        <v>52</v>
      </c>
      <c r="D73" s="459" t="s">
        <v>117</v>
      </c>
      <c r="E73" s="459" t="s">
        <v>118</v>
      </c>
      <c r="F73" s="459" t="s">
        <v>92</v>
      </c>
      <c r="G73" s="227" t="s">
        <v>440</v>
      </c>
      <c r="H73" s="459" t="s">
        <v>417</v>
      </c>
      <c r="I73" s="459" t="s">
        <v>417</v>
      </c>
      <c r="J73" s="237" t="s">
        <v>440</v>
      </c>
      <c r="K73" s="459" t="s">
        <v>440</v>
      </c>
      <c r="L73" s="459" t="s">
        <v>440</v>
      </c>
      <c r="M73" s="459" t="s">
        <v>440</v>
      </c>
      <c r="N73" s="464" t="s">
        <v>440</v>
      </c>
    </row>
    <row r="74" spans="2:14" hidden="1" x14ac:dyDescent="0.35">
      <c r="B74" s="460">
        <v>72</v>
      </c>
      <c r="C74" s="454" t="s">
        <v>192</v>
      </c>
      <c r="D74" s="460" t="s">
        <v>117</v>
      </c>
      <c r="E74" s="460" t="s">
        <v>118</v>
      </c>
      <c r="F74" s="460" t="s">
        <v>92</v>
      </c>
      <c r="G74" s="227" t="s">
        <v>440</v>
      </c>
      <c r="H74" s="460" t="s">
        <v>417</v>
      </c>
      <c r="I74" s="460" t="s">
        <v>417</v>
      </c>
      <c r="J74" s="237" t="s">
        <v>440</v>
      </c>
      <c r="K74" s="460" t="s">
        <v>440</v>
      </c>
      <c r="L74" s="460" t="s">
        <v>440</v>
      </c>
      <c r="M74" s="460" t="s">
        <v>440</v>
      </c>
      <c r="N74" s="465" t="s">
        <v>440</v>
      </c>
    </row>
    <row r="75" spans="2:14" hidden="1" x14ac:dyDescent="0.35">
      <c r="B75" s="459">
        <v>73</v>
      </c>
      <c r="C75" s="453" t="s">
        <v>161</v>
      </c>
      <c r="D75" s="459" t="s">
        <v>104</v>
      </c>
      <c r="E75" s="459" t="s">
        <v>110</v>
      </c>
      <c r="F75" s="459" t="s">
        <v>92</v>
      </c>
      <c r="G75" s="227" t="s">
        <v>440</v>
      </c>
      <c r="H75" s="459" t="s">
        <v>417</v>
      </c>
      <c r="I75" s="459" t="s">
        <v>417</v>
      </c>
      <c r="J75" s="237" t="s">
        <v>440</v>
      </c>
      <c r="K75" s="459" t="s">
        <v>440</v>
      </c>
      <c r="L75" s="459" t="s">
        <v>440</v>
      </c>
      <c r="M75" s="459" t="s">
        <v>440</v>
      </c>
      <c r="N75" s="464" t="s">
        <v>440</v>
      </c>
    </row>
    <row r="76" spans="2:14" hidden="1" x14ac:dyDescent="0.35">
      <c r="B76" s="460">
        <v>74</v>
      </c>
      <c r="C76" s="454" t="s">
        <v>193</v>
      </c>
      <c r="D76" s="460" t="s">
        <v>100</v>
      </c>
      <c r="E76" s="460" t="s">
        <v>194</v>
      </c>
      <c r="F76" s="460" t="s">
        <v>92</v>
      </c>
      <c r="G76" s="227" t="s">
        <v>440</v>
      </c>
      <c r="H76" s="460" t="s">
        <v>417</v>
      </c>
      <c r="I76" s="460" t="s">
        <v>417</v>
      </c>
      <c r="J76" s="237" t="s">
        <v>440</v>
      </c>
      <c r="K76" s="460" t="s">
        <v>440</v>
      </c>
      <c r="L76" s="460" t="s">
        <v>440</v>
      </c>
      <c r="M76" s="460" t="s">
        <v>440</v>
      </c>
      <c r="N76" s="465" t="s">
        <v>440</v>
      </c>
    </row>
    <row r="77" spans="2:14" hidden="1" x14ac:dyDescent="0.35">
      <c r="B77" s="459">
        <v>75</v>
      </c>
      <c r="C77" s="453" t="s">
        <v>33</v>
      </c>
      <c r="D77" s="459" t="s">
        <v>77</v>
      </c>
      <c r="E77" s="459" t="s">
        <v>93</v>
      </c>
      <c r="F77" s="459" t="s">
        <v>92</v>
      </c>
      <c r="G77" s="227" t="s">
        <v>440</v>
      </c>
      <c r="H77" s="459" t="s">
        <v>417</v>
      </c>
      <c r="I77" s="459" t="s">
        <v>417</v>
      </c>
      <c r="J77" s="237" t="s">
        <v>440</v>
      </c>
      <c r="K77" s="459" t="s">
        <v>440</v>
      </c>
      <c r="L77" s="459" t="s">
        <v>440</v>
      </c>
      <c r="M77" s="459" t="s">
        <v>440</v>
      </c>
      <c r="N77" s="464" t="s">
        <v>440</v>
      </c>
    </row>
    <row r="78" spans="2:14" hidden="1" x14ac:dyDescent="0.35">
      <c r="B78" s="460">
        <v>76</v>
      </c>
      <c r="C78" s="454" t="s">
        <v>159</v>
      </c>
      <c r="D78" s="460" t="s">
        <v>117</v>
      </c>
      <c r="E78" s="460" t="s">
        <v>118</v>
      </c>
      <c r="F78" s="460" t="s">
        <v>92</v>
      </c>
      <c r="G78" s="227" t="s">
        <v>440</v>
      </c>
      <c r="H78" s="460" t="s">
        <v>417</v>
      </c>
      <c r="I78" s="460" t="s">
        <v>417</v>
      </c>
      <c r="J78" s="237" t="s">
        <v>440</v>
      </c>
      <c r="K78" s="460" t="s">
        <v>440</v>
      </c>
      <c r="L78" s="460" t="s">
        <v>440</v>
      </c>
      <c r="M78" s="460" t="s">
        <v>440</v>
      </c>
      <c r="N78" s="465" t="s">
        <v>440</v>
      </c>
    </row>
    <row r="79" spans="2:14" ht="27" hidden="1" x14ac:dyDescent="0.35">
      <c r="B79" s="459">
        <v>77</v>
      </c>
      <c r="C79" s="453" t="s">
        <v>143</v>
      </c>
      <c r="D79" s="459" t="s">
        <v>76</v>
      </c>
      <c r="E79" s="459" t="s">
        <v>144</v>
      </c>
      <c r="F79" s="459" t="s">
        <v>92</v>
      </c>
      <c r="G79" s="227" t="s">
        <v>440</v>
      </c>
      <c r="H79" s="459" t="s">
        <v>417</v>
      </c>
      <c r="I79" s="459" t="s">
        <v>417</v>
      </c>
      <c r="J79" s="237" t="s">
        <v>440</v>
      </c>
      <c r="K79" s="459" t="s">
        <v>440</v>
      </c>
      <c r="L79" s="459" t="s">
        <v>440</v>
      </c>
      <c r="M79" s="459" t="s">
        <v>440</v>
      </c>
      <c r="N79" s="464" t="s">
        <v>440</v>
      </c>
    </row>
    <row r="80" spans="2:14" hidden="1" x14ac:dyDescent="0.35">
      <c r="B80" s="460">
        <v>78</v>
      </c>
      <c r="C80" s="454" t="s">
        <v>142</v>
      </c>
      <c r="D80" s="460" t="s">
        <v>76</v>
      </c>
      <c r="E80" s="460" t="s">
        <v>87</v>
      </c>
      <c r="F80" s="460" t="s">
        <v>92</v>
      </c>
      <c r="G80" s="227" t="s">
        <v>440</v>
      </c>
      <c r="H80" s="460" t="s">
        <v>417</v>
      </c>
      <c r="I80" s="460" t="s">
        <v>417</v>
      </c>
      <c r="J80" s="237" t="s">
        <v>440</v>
      </c>
      <c r="K80" s="460" t="s">
        <v>440</v>
      </c>
      <c r="L80" s="460" t="s">
        <v>440</v>
      </c>
      <c r="M80" s="460" t="s">
        <v>440</v>
      </c>
      <c r="N80" s="465" t="s">
        <v>440</v>
      </c>
    </row>
    <row r="81" spans="2:14" hidden="1" x14ac:dyDescent="0.35">
      <c r="B81" s="459">
        <v>79</v>
      </c>
      <c r="C81" s="453" t="s">
        <v>44</v>
      </c>
      <c r="D81" s="459" t="s">
        <v>107</v>
      </c>
      <c r="E81" s="459" t="s">
        <v>108</v>
      </c>
      <c r="F81" s="459" t="s">
        <v>92</v>
      </c>
      <c r="G81" s="227" t="s">
        <v>440</v>
      </c>
      <c r="H81" s="459" t="s">
        <v>417</v>
      </c>
      <c r="I81" s="459" t="s">
        <v>417</v>
      </c>
      <c r="J81" s="237" t="s">
        <v>440</v>
      </c>
      <c r="K81" s="459" t="s">
        <v>440</v>
      </c>
      <c r="L81" s="459" t="s">
        <v>440</v>
      </c>
      <c r="M81" s="459" t="s">
        <v>440</v>
      </c>
      <c r="N81" s="464" t="s">
        <v>440</v>
      </c>
    </row>
    <row r="82" spans="2:14" hidden="1" x14ac:dyDescent="0.35">
      <c r="B82" s="460">
        <v>80</v>
      </c>
      <c r="C82" s="454" t="s">
        <v>201</v>
      </c>
      <c r="D82" s="460" t="s">
        <v>202</v>
      </c>
      <c r="E82" s="460" t="s">
        <v>203</v>
      </c>
      <c r="F82" s="460" t="s">
        <v>92</v>
      </c>
      <c r="G82" s="227" t="s">
        <v>440</v>
      </c>
      <c r="H82" s="460" t="s">
        <v>417</v>
      </c>
      <c r="I82" s="460" t="s">
        <v>417</v>
      </c>
      <c r="J82" s="237" t="s">
        <v>440</v>
      </c>
      <c r="K82" s="460" t="s">
        <v>440</v>
      </c>
      <c r="L82" s="460" t="s">
        <v>440</v>
      </c>
      <c r="M82" s="460" t="s">
        <v>440</v>
      </c>
      <c r="N82" s="465" t="s">
        <v>440</v>
      </c>
    </row>
    <row r="83" spans="2:14" hidden="1" x14ac:dyDescent="0.35">
      <c r="B83" s="459">
        <v>81</v>
      </c>
      <c r="C83" s="453" t="s">
        <v>38</v>
      </c>
      <c r="D83" s="459" t="s">
        <v>77</v>
      </c>
      <c r="E83" s="459" t="s">
        <v>99</v>
      </c>
      <c r="F83" s="459" t="s">
        <v>92</v>
      </c>
      <c r="G83" s="227" t="s">
        <v>440</v>
      </c>
      <c r="H83" s="459" t="s">
        <v>417</v>
      </c>
      <c r="I83" s="459" t="s">
        <v>417</v>
      </c>
      <c r="J83" s="237" t="s">
        <v>440</v>
      </c>
      <c r="K83" s="459" t="s">
        <v>440</v>
      </c>
      <c r="L83" s="459" t="s">
        <v>440</v>
      </c>
      <c r="M83" s="459" t="s">
        <v>440</v>
      </c>
      <c r="N83" s="464" t="s">
        <v>440</v>
      </c>
    </row>
    <row r="84" spans="2:14" hidden="1" x14ac:dyDescent="0.35">
      <c r="B84" s="460">
        <v>82</v>
      </c>
      <c r="C84" s="454" t="s">
        <v>48</v>
      </c>
      <c r="D84" s="460" t="s">
        <v>76</v>
      </c>
      <c r="E84" s="460" t="s">
        <v>112</v>
      </c>
      <c r="F84" s="460" t="s">
        <v>92</v>
      </c>
      <c r="G84" s="227" t="s">
        <v>440</v>
      </c>
      <c r="H84" s="460" t="s">
        <v>417</v>
      </c>
      <c r="I84" s="460" t="s">
        <v>417</v>
      </c>
      <c r="J84" s="237" t="s">
        <v>440</v>
      </c>
      <c r="K84" s="460" t="s">
        <v>440</v>
      </c>
      <c r="L84" s="460" t="s">
        <v>440</v>
      </c>
      <c r="M84" s="460" t="s">
        <v>440</v>
      </c>
      <c r="N84" s="465" t="s">
        <v>440</v>
      </c>
    </row>
    <row r="85" spans="2:14" hidden="1" x14ac:dyDescent="0.35">
      <c r="B85" s="459">
        <v>83</v>
      </c>
      <c r="C85" s="453" t="s">
        <v>40</v>
      </c>
      <c r="D85" s="459" t="s">
        <v>100</v>
      </c>
      <c r="E85" s="459" t="s">
        <v>101</v>
      </c>
      <c r="F85" s="459" t="s">
        <v>92</v>
      </c>
      <c r="G85" s="227" t="s">
        <v>440</v>
      </c>
      <c r="H85" s="459" t="s">
        <v>417</v>
      </c>
      <c r="I85" s="459" t="s">
        <v>417</v>
      </c>
      <c r="J85" s="237" t="s">
        <v>440</v>
      </c>
      <c r="K85" s="459" t="s">
        <v>440</v>
      </c>
      <c r="L85" s="459" t="s">
        <v>440</v>
      </c>
      <c r="M85" s="459" t="s">
        <v>440</v>
      </c>
      <c r="N85" s="464" t="s">
        <v>440</v>
      </c>
    </row>
    <row r="86" spans="2:14" ht="27" hidden="1" x14ac:dyDescent="0.35">
      <c r="B86" s="460">
        <v>84</v>
      </c>
      <c r="C86" s="454" t="s">
        <v>184</v>
      </c>
      <c r="D86" s="460" t="s">
        <v>152</v>
      </c>
      <c r="E86" s="460" t="s">
        <v>185</v>
      </c>
      <c r="F86" s="460" t="s">
        <v>92</v>
      </c>
      <c r="G86" s="227" t="s">
        <v>440</v>
      </c>
      <c r="H86" s="460" t="s">
        <v>417</v>
      </c>
      <c r="I86" s="460" t="s">
        <v>417</v>
      </c>
      <c r="J86" s="237" t="s">
        <v>440</v>
      </c>
      <c r="K86" s="460" t="s">
        <v>440</v>
      </c>
      <c r="L86" s="460" t="s">
        <v>440</v>
      </c>
      <c r="M86" s="460" t="s">
        <v>440</v>
      </c>
      <c r="N86" s="465" t="s">
        <v>440</v>
      </c>
    </row>
    <row r="87" spans="2:14" ht="27" hidden="1" x14ac:dyDescent="0.35">
      <c r="B87" s="459">
        <v>85</v>
      </c>
      <c r="C87" s="453" t="s">
        <v>34</v>
      </c>
      <c r="D87" s="459" t="s">
        <v>76</v>
      </c>
      <c r="E87" s="459" t="s">
        <v>87</v>
      </c>
      <c r="F87" s="459" t="s">
        <v>92</v>
      </c>
      <c r="G87" s="227" t="s">
        <v>440</v>
      </c>
      <c r="H87" s="459" t="s">
        <v>417</v>
      </c>
      <c r="I87" s="459" t="s">
        <v>417</v>
      </c>
      <c r="J87" s="237" t="s">
        <v>440</v>
      </c>
      <c r="K87" s="459" t="s">
        <v>440</v>
      </c>
      <c r="L87" s="459" t="s">
        <v>440</v>
      </c>
      <c r="M87" s="459" t="s">
        <v>440</v>
      </c>
      <c r="N87" s="464" t="s">
        <v>440</v>
      </c>
    </row>
    <row r="88" spans="2:14" hidden="1" x14ac:dyDescent="0.35">
      <c r="B88" s="460">
        <v>86</v>
      </c>
      <c r="C88" s="454" t="s">
        <v>213</v>
      </c>
      <c r="D88" s="460" t="s">
        <v>97</v>
      </c>
      <c r="E88" s="460" t="s">
        <v>214</v>
      </c>
      <c r="F88" s="460" t="s">
        <v>92</v>
      </c>
      <c r="G88" s="227" t="s">
        <v>440</v>
      </c>
      <c r="H88" s="460" t="s">
        <v>417</v>
      </c>
      <c r="I88" s="460" t="s">
        <v>417</v>
      </c>
      <c r="J88" s="237" t="s">
        <v>440</v>
      </c>
      <c r="K88" s="460" t="s">
        <v>440</v>
      </c>
      <c r="L88" s="460" t="s">
        <v>440</v>
      </c>
      <c r="M88" s="460" t="s">
        <v>440</v>
      </c>
      <c r="N88" s="465" t="s">
        <v>440</v>
      </c>
    </row>
    <row r="89" spans="2:14" hidden="1" x14ac:dyDescent="0.35">
      <c r="B89" s="459">
        <v>87</v>
      </c>
      <c r="C89" s="453" t="s">
        <v>46</v>
      </c>
      <c r="D89" s="459" t="s">
        <v>104</v>
      </c>
      <c r="E89" s="459" t="s">
        <v>110</v>
      </c>
      <c r="F89" s="459" t="s">
        <v>92</v>
      </c>
      <c r="G89" s="227" t="s">
        <v>440</v>
      </c>
      <c r="H89" s="459" t="s">
        <v>417</v>
      </c>
      <c r="I89" s="459" t="s">
        <v>417</v>
      </c>
      <c r="J89" s="237" t="s">
        <v>440</v>
      </c>
      <c r="K89" s="459" t="s">
        <v>440</v>
      </c>
      <c r="L89" s="459" t="s">
        <v>440</v>
      </c>
      <c r="M89" s="459" t="s">
        <v>440</v>
      </c>
      <c r="N89" s="464" t="s">
        <v>440</v>
      </c>
    </row>
    <row r="90" spans="2:14" hidden="1" x14ac:dyDescent="0.35">
      <c r="B90" s="460">
        <v>88</v>
      </c>
      <c r="C90" s="454" t="s">
        <v>54</v>
      </c>
      <c r="D90" s="460" t="s">
        <v>117</v>
      </c>
      <c r="E90" s="460" t="s">
        <v>118</v>
      </c>
      <c r="F90" s="460" t="s">
        <v>92</v>
      </c>
      <c r="G90" s="227" t="s">
        <v>440</v>
      </c>
      <c r="H90" s="460" t="s">
        <v>417</v>
      </c>
      <c r="I90" s="460" t="s">
        <v>417</v>
      </c>
      <c r="J90" s="237" t="s">
        <v>440</v>
      </c>
      <c r="K90" s="460" t="s">
        <v>440</v>
      </c>
      <c r="L90" s="460" t="s">
        <v>440</v>
      </c>
      <c r="M90" s="460" t="s">
        <v>440</v>
      </c>
      <c r="N90" s="465" t="s">
        <v>440</v>
      </c>
    </row>
    <row r="91" spans="2:14" ht="27" hidden="1" x14ac:dyDescent="0.35">
      <c r="B91" s="459">
        <v>89</v>
      </c>
      <c r="C91" s="453" t="s">
        <v>32</v>
      </c>
      <c r="D91" s="459" t="s">
        <v>68</v>
      </c>
      <c r="E91" s="459" t="s">
        <v>81</v>
      </c>
      <c r="F91" s="459" t="s">
        <v>92</v>
      </c>
      <c r="G91" s="227" t="s">
        <v>440</v>
      </c>
      <c r="H91" s="459" t="s">
        <v>417</v>
      </c>
      <c r="I91" s="459" t="s">
        <v>417</v>
      </c>
      <c r="J91" s="237" t="s">
        <v>440</v>
      </c>
      <c r="K91" s="459" t="s">
        <v>440</v>
      </c>
      <c r="L91" s="459" t="s">
        <v>440</v>
      </c>
      <c r="M91" s="459" t="s">
        <v>440</v>
      </c>
      <c r="N91" s="464" t="s">
        <v>440</v>
      </c>
    </row>
    <row r="92" spans="2:14" hidden="1" x14ac:dyDescent="0.35">
      <c r="B92" s="460">
        <v>90</v>
      </c>
      <c r="C92" s="454" t="s">
        <v>47</v>
      </c>
      <c r="D92" s="460" t="s">
        <v>68</v>
      </c>
      <c r="E92" s="460" t="s">
        <v>111</v>
      </c>
      <c r="F92" s="460" t="s">
        <v>92</v>
      </c>
      <c r="G92" s="227" t="s">
        <v>440</v>
      </c>
      <c r="H92" s="460" t="s">
        <v>417</v>
      </c>
      <c r="I92" s="460" t="s">
        <v>417</v>
      </c>
      <c r="J92" s="237" t="s">
        <v>440</v>
      </c>
      <c r="K92" s="460" t="s">
        <v>440</v>
      </c>
      <c r="L92" s="460" t="s">
        <v>440</v>
      </c>
      <c r="M92" s="460" t="s">
        <v>440</v>
      </c>
      <c r="N92" s="465" t="s">
        <v>440</v>
      </c>
    </row>
    <row r="93" spans="2:14" ht="27" hidden="1" x14ac:dyDescent="0.35">
      <c r="B93" s="459">
        <v>91</v>
      </c>
      <c r="C93" s="453" t="s">
        <v>188</v>
      </c>
      <c r="D93" s="459" t="s">
        <v>189</v>
      </c>
      <c r="E93" s="459" t="s">
        <v>190</v>
      </c>
      <c r="F93" s="459" t="s">
        <v>92</v>
      </c>
      <c r="G93" s="227" t="s">
        <v>440</v>
      </c>
      <c r="H93" s="459" t="s">
        <v>417</v>
      </c>
      <c r="I93" s="459" t="s">
        <v>417</v>
      </c>
      <c r="J93" s="237" t="s">
        <v>440</v>
      </c>
      <c r="K93" s="459" t="s">
        <v>440</v>
      </c>
      <c r="L93" s="459" t="s">
        <v>440</v>
      </c>
      <c r="M93" s="459" t="s">
        <v>440</v>
      </c>
      <c r="N93" s="464" t="s">
        <v>440</v>
      </c>
    </row>
    <row r="94" spans="2:14" hidden="1" x14ac:dyDescent="0.35">
      <c r="B94" s="460">
        <v>92</v>
      </c>
      <c r="C94" s="454" t="s">
        <v>39</v>
      </c>
      <c r="D94" s="460" t="s">
        <v>77</v>
      </c>
      <c r="E94" s="460" t="s">
        <v>93</v>
      </c>
      <c r="F94" s="460" t="s">
        <v>92</v>
      </c>
      <c r="G94" s="227" t="s">
        <v>440</v>
      </c>
      <c r="H94" s="460" t="s">
        <v>417</v>
      </c>
      <c r="I94" s="460" t="s">
        <v>417</v>
      </c>
      <c r="J94" s="237" t="s">
        <v>440</v>
      </c>
      <c r="K94" s="460" t="s">
        <v>440</v>
      </c>
      <c r="L94" s="460" t="s">
        <v>440</v>
      </c>
      <c r="M94" s="460" t="s">
        <v>440</v>
      </c>
      <c r="N94" s="465" t="s">
        <v>440</v>
      </c>
    </row>
    <row r="95" spans="2:14" ht="27" hidden="1" x14ac:dyDescent="0.35">
      <c r="B95" s="459">
        <v>93</v>
      </c>
      <c r="C95" s="453" t="s">
        <v>35</v>
      </c>
      <c r="D95" s="459" t="s">
        <v>77</v>
      </c>
      <c r="E95" s="459" t="s">
        <v>93</v>
      </c>
      <c r="F95" s="459" t="s">
        <v>92</v>
      </c>
      <c r="G95" s="227" t="s">
        <v>440</v>
      </c>
      <c r="H95" s="459" t="s">
        <v>417</v>
      </c>
      <c r="I95" s="459" t="s">
        <v>417</v>
      </c>
      <c r="J95" s="237" t="s">
        <v>440</v>
      </c>
      <c r="K95" s="459" t="s">
        <v>440</v>
      </c>
      <c r="L95" s="459" t="s">
        <v>440</v>
      </c>
      <c r="M95" s="459" t="s">
        <v>440</v>
      </c>
      <c r="N95" s="464" t="s">
        <v>440</v>
      </c>
    </row>
    <row r="96" spans="2:14" ht="27" hidden="1" x14ac:dyDescent="0.35">
      <c r="B96" s="460">
        <v>94</v>
      </c>
      <c r="C96" s="454" t="s">
        <v>145</v>
      </c>
      <c r="D96" s="460" t="s">
        <v>146</v>
      </c>
      <c r="E96" s="460" t="s">
        <v>147</v>
      </c>
      <c r="F96" s="460" t="s">
        <v>92</v>
      </c>
      <c r="G96" s="227" t="s">
        <v>440</v>
      </c>
      <c r="H96" s="460" t="s">
        <v>417</v>
      </c>
      <c r="I96" s="460" t="s">
        <v>417</v>
      </c>
      <c r="J96" s="237" t="s">
        <v>440</v>
      </c>
      <c r="K96" s="460" t="s">
        <v>440</v>
      </c>
      <c r="L96" s="460" t="s">
        <v>440</v>
      </c>
      <c r="M96" s="460" t="s">
        <v>440</v>
      </c>
      <c r="N96" s="465" t="s">
        <v>440</v>
      </c>
    </row>
    <row r="97" spans="2:14" hidden="1" x14ac:dyDescent="0.35">
      <c r="B97" s="459">
        <v>95</v>
      </c>
      <c r="C97" s="453" t="s">
        <v>51</v>
      </c>
      <c r="D97" s="459" t="s">
        <v>77</v>
      </c>
      <c r="E97" s="459" t="s">
        <v>93</v>
      </c>
      <c r="F97" s="459" t="s">
        <v>92</v>
      </c>
      <c r="G97" s="227" t="s">
        <v>440</v>
      </c>
      <c r="H97" s="459" t="s">
        <v>417</v>
      </c>
      <c r="I97" s="459" t="s">
        <v>417</v>
      </c>
      <c r="J97" s="237" t="s">
        <v>440</v>
      </c>
      <c r="K97" s="459" t="s">
        <v>440</v>
      </c>
      <c r="L97" s="459" t="s">
        <v>440</v>
      </c>
      <c r="M97" s="459" t="s">
        <v>440</v>
      </c>
      <c r="N97" s="464" t="s">
        <v>440</v>
      </c>
    </row>
    <row r="98" spans="2:14" hidden="1" x14ac:dyDescent="0.35">
      <c r="B98" s="460">
        <v>96</v>
      </c>
      <c r="C98" s="454" t="s">
        <v>160</v>
      </c>
      <c r="D98" s="460" t="s">
        <v>117</v>
      </c>
      <c r="E98" s="460" t="s">
        <v>118</v>
      </c>
      <c r="F98" s="460" t="s">
        <v>92</v>
      </c>
      <c r="G98" s="227" t="s">
        <v>440</v>
      </c>
      <c r="H98" s="460" t="s">
        <v>417</v>
      </c>
      <c r="I98" s="460" t="s">
        <v>417</v>
      </c>
      <c r="J98" s="237" t="s">
        <v>440</v>
      </c>
      <c r="K98" s="460" t="s">
        <v>440</v>
      </c>
      <c r="L98" s="460" t="s">
        <v>440</v>
      </c>
      <c r="M98" s="460" t="s">
        <v>440</v>
      </c>
      <c r="N98" s="465" t="s">
        <v>440</v>
      </c>
    </row>
    <row r="99" spans="2:14" hidden="1" x14ac:dyDescent="0.35">
      <c r="B99" s="459">
        <v>97</v>
      </c>
      <c r="C99" s="453" t="s">
        <v>165</v>
      </c>
      <c r="D99" s="459" t="s">
        <v>76</v>
      </c>
      <c r="E99" s="459" t="s">
        <v>166</v>
      </c>
      <c r="F99" s="459" t="s">
        <v>92</v>
      </c>
      <c r="G99" s="227" t="s">
        <v>440</v>
      </c>
      <c r="H99" s="459" t="s">
        <v>417</v>
      </c>
      <c r="I99" s="459" t="s">
        <v>417</v>
      </c>
      <c r="J99" s="237" t="s">
        <v>440</v>
      </c>
      <c r="K99" s="459" t="s">
        <v>440</v>
      </c>
      <c r="L99" s="459" t="s">
        <v>440</v>
      </c>
      <c r="M99" s="459" t="s">
        <v>440</v>
      </c>
      <c r="N99" s="464" t="s">
        <v>440</v>
      </c>
    </row>
    <row r="100" spans="2:14" hidden="1" x14ac:dyDescent="0.35">
      <c r="B100" s="508" t="s">
        <v>245</v>
      </c>
      <c r="C100" s="509" t="s">
        <v>246</v>
      </c>
      <c r="D100" s="508" t="s">
        <v>247</v>
      </c>
      <c r="E100" s="510" t="s">
        <v>180</v>
      </c>
      <c r="F100" s="508"/>
      <c r="G100" s="511" t="s">
        <v>443</v>
      </c>
      <c r="H100" s="508" t="s">
        <v>417</v>
      </c>
      <c r="I100" s="508" t="s">
        <v>417</v>
      </c>
      <c r="J100" s="518" t="s">
        <v>440</v>
      </c>
      <c r="K100" s="508" t="s">
        <v>440</v>
      </c>
      <c r="L100" s="508" t="s">
        <v>440</v>
      </c>
      <c r="M100" s="508" t="s">
        <v>440</v>
      </c>
      <c r="N100" s="512" t="s">
        <v>440</v>
      </c>
    </row>
    <row r="101" spans="2:14" hidden="1" x14ac:dyDescent="0.35">
      <c r="B101" s="508" t="s">
        <v>229</v>
      </c>
      <c r="C101" s="509" t="s">
        <v>230</v>
      </c>
      <c r="D101" s="508" t="s">
        <v>231</v>
      </c>
      <c r="E101" s="510" t="s">
        <v>180</v>
      </c>
      <c r="F101" s="508"/>
      <c r="G101" s="511" t="s">
        <v>443</v>
      </c>
      <c r="H101" s="508" t="s">
        <v>417</v>
      </c>
      <c r="I101" s="508" t="s">
        <v>417</v>
      </c>
      <c r="J101" s="518" t="s">
        <v>440</v>
      </c>
      <c r="K101" s="508" t="s">
        <v>440</v>
      </c>
      <c r="L101" s="508" t="s">
        <v>440</v>
      </c>
      <c r="M101" s="508" t="s">
        <v>440</v>
      </c>
      <c r="N101" s="512" t="s">
        <v>440</v>
      </c>
    </row>
    <row r="102" spans="2:14" hidden="1" x14ac:dyDescent="0.35">
      <c r="B102" s="463" t="s">
        <v>177</v>
      </c>
      <c r="C102" s="458" t="s">
        <v>178</v>
      </c>
      <c r="D102" s="463" t="s">
        <v>179</v>
      </c>
      <c r="E102" s="469" t="s">
        <v>180</v>
      </c>
      <c r="F102" s="463"/>
      <c r="G102" s="451" t="s">
        <v>415</v>
      </c>
      <c r="H102" s="463" t="s">
        <v>417</v>
      </c>
      <c r="I102" s="463" t="s">
        <v>417</v>
      </c>
      <c r="J102" s="518" t="s">
        <v>440</v>
      </c>
      <c r="K102" s="508" t="s">
        <v>440</v>
      </c>
      <c r="L102" s="508" t="s">
        <v>440</v>
      </c>
      <c r="M102" s="508" t="s">
        <v>440</v>
      </c>
      <c r="N102" s="512" t="s">
        <v>440</v>
      </c>
    </row>
    <row r="103" spans="2:14" ht="27" hidden="1" x14ac:dyDescent="0.35">
      <c r="B103" s="513" t="s">
        <v>225</v>
      </c>
      <c r="C103" s="514" t="s">
        <v>226</v>
      </c>
      <c r="D103" s="515" t="s">
        <v>180</v>
      </c>
      <c r="E103" s="515" t="s">
        <v>180</v>
      </c>
      <c r="F103" s="513"/>
      <c r="G103" s="516" t="s">
        <v>180</v>
      </c>
      <c r="H103" s="513" t="s">
        <v>417</v>
      </c>
      <c r="I103" s="513" t="s">
        <v>417</v>
      </c>
      <c r="J103" s="519" t="s">
        <v>440</v>
      </c>
      <c r="K103" s="513" t="s">
        <v>440</v>
      </c>
      <c r="L103" s="513" t="s">
        <v>440</v>
      </c>
      <c r="M103" s="513" t="s">
        <v>440</v>
      </c>
      <c r="N103" s="517" t="s">
        <v>440</v>
      </c>
    </row>
  </sheetData>
  <dataValidations count="1">
    <dataValidation type="list" allowBlank="1" showInputMessage="1" showErrorMessage="1" sqref="G3:G101" xr:uid="{EA81D9E7-6454-494F-89F5-BB6CE88B3E41}">
      <formula1>"Priority 1,Priority 2,Priority 3, N/A"</formula1>
    </dataValidation>
  </dataValidations>
  <pageMargins left="0.7" right="0.7" top="0.75" bottom="0.75" header="0.3" footer="0.3"/>
  <pageSetup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7A8BB-56B5-40BC-BD66-D7A5BF571967}">
  <sheetPr>
    <tabColor theme="1" tint="0.499984740745262"/>
  </sheetPr>
  <dimension ref="B2:J103"/>
  <sheetViews>
    <sheetView workbookViewId="0"/>
  </sheetViews>
  <sheetFormatPr defaultColWidth="79.453125" defaultRowHeight="14.5" x14ac:dyDescent="0.35"/>
  <cols>
    <col min="1" max="1" width="2.81640625" customWidth="1"/>
    <col min="2" max="2" width="6.54296875" bestFit="1" customWidth="1"/>
    <col min="3" max="3" width="34.1796875" customWidth="1"/>
    <col min="4" max="4" width="15" bestFit="1" customWidth="1"/>
    <col min="5" max="5" width="17.54296875" customWidth="1"/>
    <col min="6" max="6" width="18.453125" customWidth="1"/>
    <col min="7" max="7" width="14.81640625" bestFit="1" customWidth="1"/>
    <col min="8" max="8" width="29.1796875" customWidth="1"/>
    <col min="9" max="9" width="29.81640625" customWidth="1"/>
    <col min="10" max="10" width="20.54296875" customWidth="1"/>
  </cols>
  <sheetData>
    <row r="2" spans="2:10" ht="54" x14ac:dyDescent="0.35">
      <c r="B2" s="493" t="s">
        <v>4</v>
      </c>
      <c r="C2" s="489" t="s">
        <v>5</v>
      </c>
      <c r="D2" s="489" t="s">
        <v>6</v>
      </c>
      <c r="E2" s="489" t="s">
        <v>7</v>
      </c>
      <c r="F2" s="489" t="s">
        <v>8</v>
      </c>
      <c r="G2" s="489" t="s">
        <v>9</v>
      </c>
      <c r="H2" s="489" t="s">
        <v>301</v>
      </c>
      <c r="I2" s="489" t="s">
        <v>302</v>
      </c>
      <c r="J2" s="522" t="s">
        <v>303</v>
      </c>
    </row>
    <row r="3" spans="2:10" x14ac:dyDescent="0.35">
      <c r="B3" s="494">
        <v>27</v>
      </c>
      <c r="C3" s="473" t="s">
        <v>17</v>
      </c>
      <c r="D3" s="472" t="s">
        <v>68</v>
      </c>
      <c r="E3" s="472" t="s">
        <v>68</v>
      </c>
      <c r="F3" s="472" t="s">
        <v>71</v>
      </c>
      <c r="G3" s="472" t="s">
        <v>70</v>
      </c>
      <c r="H3" s="472" t="s">
        <v>410</v>
      </c>
      <c r="I3" s="474" t="s">
        <v>411</v>
      </c>
      <c r="J3" s="498" t="s">
        <v>412</v>
      </c>
    </row>
    <row r="4" spans="2:10" x14ac:dyDescent="0.35">
      <c r="B4" s="495">
        <v>16</v>
      </c>
      <c r="C4" s="476" t="s">
        <v>18</v>
      </c>
      <c r="D4" s="475" t="s">
        <v>68</v>
      </c>
      <c r="E4" s="475" t="s">
        <v>72</v>
      </c>
      <c r="F4" s="475" t="s">
        <v>73</v>
      </c>
      <c r="G4" s="475" t="s">
        <v>70</v>
      </c>
      <c r="H4" s="475" t="s">
        <v>422</v>
      </c>
      <c r="I4" s="477" t="s">
        <v>423</v>
      </c>
      <c r="J4" s="499" t="s">
        <v>412</v>
      </c>
    </row>
    <row r="5" spans="2:10" x14ac:dyDescent="0.35">
      <c r="B5" s="494">
        <v>60</v>
      </c>
      <c r="C5" s="478" t="s">
        <v>19</v>
      </c>
      <c r="D5" s="472" t="s">
        <v>68</v>
      </c>
      <c r="E5" s="472" t="s">
        <v>68</v>
      </c>
      <c r="F5" s="472" t="s">
        <v>69</v>
      </c>
      <c r="G5" s="472" t="s">
        <v>70</v>
      </c>
      <c r="H5" s="472" t="s">
        <v>422</v>
      </c>
      <c r="I5" s="474" t="s">
        <v>424</v>
      </c>
      <c r="J5" s="499" t="s">
        <v>412</v>
      </c>
    </row>
    <row r="6" spans="2:10" x14ac:dyDescent="0.35">
      <c r="B6" s="495">
        <v>52</v>
      </c>
      <c r="C6" s="476" t="s">
        <v>20</v>
      </c>
      <c r="D6" s="475" t="s">
        <v>68</v>
      </c>
      <c r="E6" s="475" t="s">
        <v>74</v>
      </c>
      <c r="F6" s="475" t="s">
        <v>75</v>
      </c>
      <c r="G6" s="475" t="s">
        <v>70</v>
      </c>
      <c r="H6" s="475" t="s">
        <v>410</v>
      </c>
      <c r="I6" s="477" t="s">
        <v>426</v>
      </c>
      <c r="J6" s="500" t="s">
        <v>412</v>
      </c>
    </row>
    <row r="7" spans="2:10" x14ac:dyDescent="0.35">
      <c r="B7" s="494">
        <v>66</v>
      </c>
      <c r="C7" s="479" t="s">
        <v>21</v>
      </c>
      <c r="D7" s="472" t="s">
        <v>76</v>
      </c>
      <c r="E7" s="472" t="s">
        <v>77</v>
      </c>
      <c r="F7" s="472" t="s">
        <v>78</v>
      </c>
      <c r="G7" s="472" t="s">
        <v>79</v>
      </c>
      <c r="H7" s="472" t="s">
        <v>410</v>
      </c>
      <c r="I7" s="474" t="s">
        <v>426</v>
      </c>
      <c r="J7" s="498" t="s">
        <v>412</v>
      </c>
    </row>
    <row r="8" spans="2:10" x14ac:dyDescent="0.35">
      <c r="B8" s="495">
        <v>42</v>
      </c>
      <c r="C8" s="478" t="s">
        <v>22</v>
      </c>
      <c r="D8" s="475" t="s">
        <v>76</v>
      </c>
      <c r="E8" s="475" t="s">
        <v>76</v>
      </c>
      <c r="F8" s="475" t="s">
        <v>80</v>
      </c>
      <c r="G8" s="475" t="s">
        <v>70</v>
      </c>
      <c r="H8" s="475" t="s">
        <v>422</v>
      </c>
      <c r="I8" s="477" t="s">
        <v>422</v>
      </c>
      <c r="J8" s="500" t="s">
        <v>412</v>
      </c>
    </row>
    <row r="9" spans="2:10" x14ac:dyDescent="0.35">
      <c r="B9" s="494">
        <v>65</v>
      </c>
      <c r="C9" s="479" t="s">
        <v>23</v>
      </c>
      <c r="D9" s="472" t="s">
        <v>68</v>
      </c>
      <c r="E9" s="472" t="s">
        <v>68</v>
      </c>
      <c r="F9" s="472" t="s">
        <v>81</v>
      </c>
      <c r="G9" s="472" t="s">
        <v>79</v>
      </c>
      <c r="H9" s="472" t="s">
        <v>410</v>
      </c>
      <c r="I9" s="474" t="s">
        <v>429</v>
      </c>
      <c r="J9" s="499" t="s">
        <v>412</v>
      </c>
    </row>
    <row r="10" spans="2:10" x14ac:dyDescent="0.35">
      <c r="B10" s="495">
        <v>18</v>
      </c>
      <c r="C10" s="476" t="s">
        <v>24</v>
      </c>
      <c r="D10" s="475" t="s">
        <v>76</v>
      </c>
      <c r="E10" s="475" t="s">
        <v>82</v>
      </c>
      <c r="F10" s="475" t="s">
        <v>83</v>
      </c>
      <c r="G10" s="475" t="s">
        <v>70</v>
      </c>
      <c r="H10" s="475" t="s">
        <v>430</v>
      </c>
      <c r="I10" s="477" t="s">
        <v>422</v>
      </c>
      <c r="J10" s="500" t="s">
        <v>412</v>
      </c>
    </row>
    <row r="11" spans="2:10" x14ac:dyDescent="0.35">
      <c r="B11" s="494">
        <v>67</v>
      </c>
      <c r="C11" s="479" t="s">
        <v>25</v>
      </c>
      <c r="D11" s="472" t="s">
        <v>84</v>
      </c>
      <c r="E11" s="472" t="s">
        <v>85</v>
      </c>
      <c r="F11" s="472" t="s">
        <v>86</v>
      </c>
      <c r="G11" s="472" t="s">
        <v>79</v>
      </c>
      <c r="H11" s="472" t="s">
        <v>431</v>
      </c>
      <c r="I11" s="474" t="s">
        <v>432</v>
      </c>
      <c r="J11" s="499" t="s">
        <v>412</v>
      </c>
    </row>
    <row r="12" spans="2:10" x14ac:dyDescent="0.35">
      <c r="B12" s="494">
        <v>13</v>
      </c>
      <c r="C12" s="480" t="s">
        <v>26</v>
      </c>
      <c r="D12" s="481" t="s">
        <v>76</v>
      </c>
      <c r="E12" s="481" t="s">
        <v>76</v>
      </c>
      <c r="F12" s="481" t="s">
        <v>87</v>
      </c>
      <c r="G12" s="481" t="s">
        <v>70</v>
      </c>
      <c r="H12" s="481" t="s">
        <v>422</v>
      </c>
      <c r="I12" s="477" t="s">
        <v>434</v>
      </c>
      <c r="J12" s="501" t="s">
        <v>435</v>
      </c>
    </row>
    <row r="13" spans="2:10" ht="27" x14ac:dyDescent="0.35">
      <c r="B13" s="494">
        <v>30</v>
      </c>
      <c r="C13" s="479" t="s">
        <v>27</v>
      </c>
      <c r="D13" s="472" t="s">
        <v>68</v>
      </c>
      <c r="E13" s="472" t="s">
        <v>74</v>
      </c>
      <c r="F13" s="472" t="s">
        <v>88</v>
      </c>
      <c r="G13" s="472" t="s">
        <v>70</v>
      </c>
      <c r="H13" s="472" t="s">
        <v>422</v>
      </c>
      <c r="I13" s="474" t="s">
        <v>426</v>
      </c>
      <c r="J13" s="498" t="s">
        <v>412</v>
      </c>
    </row>
    <row r="14" spans="2:10" x14ac:dyDescent="0.35">
      <c r="B14" s="494">
        <v>37</v>
      </c>
      <c r="C14" s="479" t="s">
        <v>28</v>
      </c>
      <c r="D14" s="472" t="s">
        <v>68</v>
      </c>
      <c r="E14" s="472" t="s">
        <v>74</v>
      </c>
      <c r="F14" s="472" t="s">
        <v>75</v>
      </c>
      <c r="G14" s="472" t="s">
        <v>70</v>
      </c>
      <c r="H14" s="472" t="s">
        <v>410</v>
      </c>
      <c r="I14" s="477" t="s">
        <v>410</v>
      </c>
      <c r="J14" s="500" t="s">
        <v>412</v>
      </c>
    </row>
    <row r="15" spans="2:10" ht="27" x14ac:dyDescent="0.35">
      <c r="B15" s="494">
        <v>38</v>
      </c>
      <c r="C15" s="480" t="s">
        <v>29</v>
      </c>
      <c r="D15" s="481" t="s">
        <v>76</v>
      </c>
      <c r="E15" s="481" t="s">
        <v>77</v>
      </c>
      <c r="F15" s="481" t="s">
        <v>89</v>
      </c>
      <c r="G15" s="481" t="s">
        <v>70</v>
      </c>
      <c r="H15" s="481" t="s">
        <v>431</v>
      </c>
      <c r="I15" s="474" t="s">
        <v>438</v>
      </c>
      <c r="J15" s="502" t="s">
        <v>435</v>
      </c>
    </row>
    <row r="16" spans="2:10" x14ac:dyDescent="0.35">
      <c r="B16" s="494">
        <v>33</v>
      </c>
      <c r="C16" s="478" t="s">
        <v>30</v>
      </c>
      <c r="D16" s="472" t="s">
        <v>68</v>
      </c>
      <c r="E16" s="472" t="s">
        <v>74</v>
      </c>
      <c r="F16" s="472" t="s">
        <v>88</v>
      </c>
      <c r="G16" s="472" t="s">
        <v>70</v>
      </c>
      <c r="H16" s="472" t="s">
        <v>410</v>
      </c>
      <c r="I16" s="477" t="s">
        <v>426</v>
      </c>
      <c r="J16" s="500" t="s">
        <v>412</v>
      </c>
    </row>
    <row r="17" spans="2:10" ht="27" x14ac:dyDescent="0.35">
      <c r="B17" s="494">
        <v>8</v>
      </c>
      <c r="C17" s="479" t="s">
        <v>31</v>
      </c>
      <c r="D17" s="472" t="s">
        <v>68</v>
      </c>
      <c r="E17" s="472" t="s">
        <v>90</v>
      </c>
      <c r="F17" s="472" t="s">
        <v>91</v>
      </c>
      <c r="G17" s="472" t="s">
        <v>70</v>
      </c>
      <c r="H17" s="472" t="s">
        <v>422</v>
      </c>
      <c r="I17" s="474" t="s">
        <v>439</v>
      </c>
      <c r="J17" s="499" t="s">
        <v>412</v>
      </c>
    </row>
    <row r="18" spans="2:10" ht="27" x14ac:dyDescent="0.35">
      <c r="B18" s="494">
        <v>89</v>
      </c>
      <c r="C18" s="479" t="s">
        <v>32</v>
      </c>
      <c r="D18" s="472" t="s">
        <v>68</v>
      </c>
      <c r="E18" s="472" t="s">
        <v>68</v>
      </c>
      <c r="F18" s="472" t="s">
        <v>81</v>
      </c>
      <c r="G18" s="472" t="s">
        <v>92</v>
      </c>
      <c r="H18" s="472" t="s">
        <v>410</v>
      </c>
      <c r="I18" s="477" t="s">
        <v>411</v>
      </c>
      <c r="J18" s="500" t="s">
        <v>412</v>
      </c>
    </row>
    <row r="19" spans="2:10" x14ac:dyDescent="0.35">
      <c r="B19" s="494">
        <v>75</v>
      </c>
      <c r="C19" s="479" t="s">
        <v>33</v>
      </c>
      <c r="D19" s="472" t="s">
        <v>76</v>
      </c>
      <c r="E19" s="472" t="s">
        <v>77</v>
      </c>
      <c r="F19" s="472" t="s">
        <v>93</v>
      </c>
      <c r="G19" s="472" t="s">
        <v>92</v>
      </c>
      <c r="H19" s="472" t="s">
        <v>410</v>
      </c>
      <c r="I19" s="474" t="s">
        <v>411</v>
      </c>
      <c r="J19" s="498" t="s">
        <v>412</v>
      </c>
    </row>
    <row r="20" spans="2:10" ht="27" x14ac:dyDescent="0.35">
      <c r="B20" s="494">
        <v>85</v>
      </c>
      <c r="C20" s="479" t="s">
        <v>34</v>
      </c>
      <c r="D20" s="472" t="s">
        <v>76</v>
      </c>
      <c r="E20" s="472" t="s">
        <v>76</v>
      </c>
      <c r="F20" s="472" t="s">
        <v>87</v>
      </c>
      <c r="G20" s="472" t="s">
        <v>92</v>
      </c>
      <c r="H20" s="472" t="s">
        <v>410</v>
      </c>
      <c r="I20" s="477" t="s">
        <v>411</v>
      </c>
      <c r="J20" s="500" t="s">
        <v>412</v>
      </c>
    </row>
    <row r="21" spans="2:10" ht="27" x14ac:dyDescent="0.35">
      <c r="B21" s="494">
        <v>93</v>
      </c>
      <c r="C21" s="479" t="s">
        <v>35</v>
      </c>
      <c r="D21" s="472" t="s">
        <v>76</v>
      </c>
      <c r="E21" s="472" t="s">
        <v>77</v>
      </c>
      <c r="F21" s="472" t="s">
        <v>93</v>
      </c>
      <c r="G21" s="472" t="s">
        <v>92</v>
      </c>
      <c r="H21" s="472" t="s">
        <v>410</v>
      </c>
      <c r="I21" s="474" t="s">
        <v>411</v>
      </c>
      <c r="J21" s="498" t="s">
        <v>412</v>
      </c>
    </row>
    <row r="22" spans="2:10" ht="27" x14ac:dyDescent="0.35">
      <c r="B22" s="495">
        <v>58</v>
      </c>
      <c r="C22" s="476" t="s">
        <v>36</v>
      </c>
      <c r="D22" s="475" t="s">
        <v>94</v>
      </c>
      <c r="E22" s="475" t="s">
        <v>95</v>
      </c>
      <c r="F22" s="475" t="s">
        <v>96</v>
      </c>
      <c r="G22" s="475" t="s">
        <v>70</v>
      </c>
      <c r="H22" s="475" t="s">
        <v>410</v>
      </c>
      <c r="I22" s="477" t="s">
        <v>426</v>
      </c>
      <c r="J22" s="500" t="s">
        <v>412</v>
      </c>
    </row>
    <row r="23" spans="2:10" x14ac:dyDescent="0.35">
      <c r="B23" s="494">
        <v>34</v>
      </c>
      <c r="C23" s="478" t="s">
        <v>37</v>
      </c>
      <c r="D23" s="472" t="s">
        <v>84</v>
      </c>
      <c r="E23" s="472" t="s">
        <v>97</v>
      </c>
      <c r="F23" s="472" t="s">
        <v>98</v>
      </c>
      <c r="G23" s="472" t="s">
        <v>70</v>
      </c>
      <c r="H23" s="472" t="s">
        <v>422</v>
      </c>
      <c r="I23" s="474" t="s">
        <v>426</v>
      </c>
      <c r="J23" s="498" t="s">
        <v>412</v>
      </c>
    </row>
    <row r="24" spans="2:10" x14ac:dyDescent="0.35">
      <c r="B24" s="494">
        <v>81</v>
      </c>
      <c r="C24" s="479" t="s">
        <v>38</v>
      </c>
      <c r="D24" s="472" t="s">
        <v>76</v>
      </c>
      <c r="E24" s="472" t="s">
        <v>77</v>
      </c>
      <c r="F24" s="472" t="s">
        <v>99</v>
      </c>
      <c r="G24" s="472" t="s">
        <v>92</v>
      </c>
      <c r="H24" s="472" t="s">
        <v>410</v>
      </c>
      <c r="I24" s="477" t="s">
        <v>411</v>
      </c>
      <c r="J24" s="500" t="s">
        <v>412</v>
      </c>
    </row>
    <row r="25" spans="2:10" x14ac:dyDescent="0.35">
      <c r="B25" s="494">
        <v>92</v>
      </c>
      <c r="C25" s="479" t="s">
        <v>39</v>
      </c>
      <c r="D25" s="472" t="s">
        <v>76</v>
      </c>
      <c r="E25" s="472" t="s">
        <v>77</v>
      </c>
      <c r="F25" s="472" t="s">
        <v>93</v>
      </c>
      <c r="G25" s="472" t="s">
        <v>92</v>
      </c>
      <c r="H25" s="472" t="s">
        <v>410</v>
      </c>
      <c r="I25" s="474" t="s">
        <v>411</v>
      </c>
      <c r="J25" s="498" t="s">
        <v>412</v>
      </c>
    </row>
    <row r="26" spans="2:10" x14ac:dyDescent="0.35">
      <c r="B26" s="494">
        <v>83</v>
      </c>
      <c r="C26" s="482" t="s">
        <v>40</v>
      </c>
      <c r="D26" s="472" t="s">
        <v>68</v>
      </c>
      <c r="E26" s="472" t="s">
        <v>100</v>
      </c>
      <c r="F26" s="472" t="s">
        <v>101</v>
      </c>
      <c r="G26" s="472" t="s">
        <v>92</v>
      </c>
      <c r="H26" s="472" t="s">
        <v>410</v>
      </c>
      <c r="I26" s="477" t="s">
        <v>426</v>
      </c>
      <c r="J26" s="500" t="s">
        <v>412</v>
      </c>
    </row>
    <row r="27" spans="2:10" ht="27" x14ac:dyDescent="0.35">
      <c r="B27" s="494">
        <v>64</v>
      </c>
      <c r="C27" s="479" t="s">
        <v>41</v>
      </c>
      <c r="D27" s="472" t="s">
        <v>76</v>
      </c>
      <c r="E27" s="472" t="s">
        <v>102</v>
      </c>
      <c r="F27" s="472" t="s">
        <v>103</v>
      </c>
      <c r="G27" s="472" t="s">
        <v>70</v>
      </c>
      <c r="H27" s="472" t="s">
        <v>422</v>
      </c>
      <c r="I27" s="474" t="s">
        <v>442</v>
      </c>
      <c r="J27" s="499" t="s">
        <v>435</v>
      </c>
    </row>
    <row r="28" spans="2:10" x14ac:dyDescent="0.35">
      <c r="B28" s="494">
        <v>3</v>
      </c>
      <c r="C28" s="480" t="s">
        <v>42</v>
      </c>
      <c r="D28" s="481" t="s">
        <v>68</v>
      </c>
      <c r="E28" s="481" t="s">
        <v>68</v>
      </c>
      <c r="F28" s="481" t="s">
        <v>81</v>
      </c>
      <c r="G28" s="481" t="s">
        <v>70</v>
      </c>
      <c r="H28" s="481" t="s">
        <v>422</v>
      </c>
      <c r="I28" s="477" t="s">
        <v>423</v>
      </c>
      <c r="J28" s="503" t="s">
        <v>444</v>
      </c>
    </row>
    <row r="29" spans="2:10" x14ac:dyDescent="0.35">
      <c r="B29" s="494">
        <v>21</v>
      </c>
      <c r="C29" s="479" t="s">
        <v>43</v>
      </c>
      <c r="D29" s="472" t="s">
        <v>104</v>
      </c>
      <c r="E29" s="472" t="s">
        <v>105</v>
      </c>
      <c r="F29" s="472" t="s">
        <v>106</v>
      </c>
      <c r="G29" s="472" t="s">
        <v>70</v>
      </c>
      <c r="H29" s="472" t="s">
        <v>410</v>
      </c>
      <c r="I29" s="474" t="s">
        <v>423</v>
      </c>
      <c r="J29" s="504" t="s">
        <v>412</v>
      </c>
    </row>
    <row r="30" spans="2:10" x14ac:dyDescent="0.35">
      <c r="B30" s="494">
        <v>79</v>
      </c>
      <c r="C30" s="479" t="s">
        <v>44</v>
      </c>
      <c r="D30" s="472" t="s">
        <v>76</v>
      </c>
      <c r="E30" s="472" t="s">
        <v>107</v>
      </c>
      <c r="F30" s="472" t="s">
        <v>108</v>
      </c>
      <c r="G30" s="472" t="s">
        <v>92</v>
      </c>
      <c r="H30" s="472" t="s">
        <v>410</v>
      </c>
      <c r="I30" s="477" t="s">
        <v>411</v>
      </c>
      <c r="J30" s="500" t="s">
        <v>412</v>
      </c>
    </row>
    <row r="31" spans="2:10" x14ac:dyDescent="0.35">
      <c r="B31" s="494">
        <v>12</v>
      </c>
      <c r="C31" s="479" t="s">
        <v>45</v>
      </c>
      <c r="D31" s="472" t="s">
        <v>76</v>
      </c>
      <c r="E31" s="472" t="s">
        <v>76</v>
      </c>
      <c r="F31" s="472" t="s">
        <v>109</v>
      </c>
      <c r="G31" s="472" t="s">
        <v>70</v>
      </c>
      <c r="H31" s="472" t="s">
        <v>431</v>
      </c>
      <c r="I31" s="474" t="s">
        <v>445</v>
      </c>
      <c r="J31" s="498" t="s">
        <v>435</v>
      </c>
    </row>
    <row r="32" spans="2:10" x14ac:dyDescent="0.35">
      <c r="B32" s="494">
        <v>87</v>
      </c>
      <c r="C32" s="482" t="s">
        <v>46</v>
      </c>
      <c r="D32" s="472" t="s">
        <v>104</v>
      </c>
      <c r="E32" s="472" t="s">
        <v>104</v>
      </c>
      <c r="F32" s="472" t="s">
        <v>110</v>
      </c>
      <c r="G32" s="472" t="s">
        <v>92</v>
      </c>
      <c r="H32" s="472" t="s">
        <v>430</v>
      </c>
      <c r="I32" s="477" t="s">
        <v>447</v>
      </c>
      <c r="J32" s="500" t="s">
        <v>435</v>
      </c>
    </row>
    <row r="33" spans="2:10" x14ac:dyDescent="0.35">
      <c r="B33" s="494">
        <v>90</v>
      </c>
      <c r="C33" s="482" t="s">
        <v>47</v>
      </c>
      <c r="D33" s="472" t="s">
        <v>68</v>
      </c>
      <c r="E33" s="472" t="s">
        <v>68</v>
      </c>
      <c r="F33" s="472" t="s">
        <v>111</v>
      </c>
      <c r="G33" s="472" t="s">
        <v>92</v>
      </c>
      <c r="H33" s="472" t="s">
        <v>430</v>
      </c>
      <c r="I33" s="474" t="s">
        <v>447</v>
      </c>
      <c r="J33" s="498" t="s">
        <v>435</v>
      </c>
    </row>
    <row r="34" spans="2:10" x14ac:dyDescent="0.35">
      <c r="B34" s="495">
        <v>82</v>
      </c>
      <c r="C34" s="482" t="s">
        <v>48</v>
      </c>
      <c r="D34" s="475" t="s">
        <v>76</v>
      </c>
      <c r="E34" s="475" t="s">
        <v>76</v>
      </c>
      <c r="F34" s="475" t="s">
        <v>112</v>
      </c>
      <c r="G34" s="475" t="s">
        <v>92</v>
      </c>
      <c r="H34" s="475" t="s">
        <v>410</v>
      </c>
      <c r="I34" s="477" t="s">
        <v>447</v>
      </c>
      <c r="J34" s="500" t="s">
        <v>435</v>
      </c>
    </row>
    <row r="35" spans="2:10" x14ac:dyDescent="0.35">
      <c r="B35" s="494">
        <v>7</v>
      </c>
      <c r="C35" s="478" t="s">
        <v>49</v>
      </c>
      <c r="D35" s="472" t="s">
        <v>113</v>
      </c>
      <c r="E35" s="472" t="s">
        <v>114</v>
      </c>
      <c r="F35" s="472" t="s">
        <v>115</v>
      </c>
      <c r="G35" s="472" t="s">
        <v>70</v>
      </c>
      <c r="H35" s="472" t="s">
        <v>422</v>
      </c>
      <c r="I35" s="474" t="s">
        <v>448</v>
      </c>
      <c r="J35" s="499" t="s">
        <v>444</v>
      </c>
    </row>
    <row r="36" spans="2:10" x14ac:dyDescent="0.35">
      <c r="B36" s="494">
        <v>63</v>
      </c>
      <c r="C36" s="483" t="s">
        <v>50</v>
      </c>
      <c r="D36" s="472" t="s">
        <v>94</v>
      </c>
      <c r="E36" s="472" t="s">
        <v>94</v>
      </c>
      <c r="F36" s="472" t="s">
        <v>116</v>
      </c>
      <c r="G36" s="472" t="s">
        <v>70</v>
      </c>
      <c r="H36" s="472" t="s">
        <v>422</v>
      </c>
      <c r="I36" s="477" t="s">
        <v>449</v>
      </c>
      <c r="J36" s="500" t="s">
        <v>435</v>
      </c>
    </row>
    <row r="37" spans="2:10" x14ac:dyDescent="0.35">
      <c r="B37" s="494">
        <v>95</v>
      </c>
      <c r="C37" s="482" t="s">
        <v>51</v>
      </c>
      <c r="D37" s="472" t="s">
        <v>76</v>
      </c>
      <c r="E37" s="472" t="s">
        <v>77</v>
      </c>
      <c r="F37" s="472" t="s">
        <v>93</v>
      </c>
      <c r="G37" s="472" t="s">
        <v>92</v>
      </c>
      <c r="H37" s="472" t="s">
        <v>410</v>
      </c>
      <c r="I37" s="474" t="s">
        <v>450</v>
      </c>
      <c r="J37" s="498" t="s">
        <v>435</v>
      </c>
    </row>
    <row r="38" spans="2:10" x14ac:dyDescent="0.35">
      <c r="B38" s="494">
        <v>71</v>
      </c>
      <c r="C38" s="482" t="s">
        <v>52</v>
      </c>
      <c r="D38" s="472" t="s">
        <v>76</v>
      </c>
      <c r="E38" s="472" t="s">
        <v>117</v>
      </c>
      <c r="F38" s="472" t="s">
        <v>118</v>
      </c>
      <c r="G38" s="472" t="s">
        <v>92</v>
      </c>
      <c r="H38" s="472" t="s">
        <v>410</v>
      </c>
      <c r="I38" s="477" t="s">
        <v>411</v>
      </c>
      <c r="J38" s="500" t="s">
        <v>412</v>
      </c>
    </row>
    <row r="39" spans="2:10" ht="40.5" x14ac:dyDescent="0.35">
      <c r="B39" s="494">
        <v>1</v>
      </c>
      <c r="C39" s="484" t="s">
        <v>53</v>
      </c>
      <c r="D39" s="472" t="s">
        <v>119</v>
      </c>
      <c r="E39" s="472" t="s">
        <v>119</v>
      </c>
      <c r="F39" s="472" t="s">
        <v>120</v>
      </c>
      <c r="G39" s="472" t="s">
        <v>70</v>
      </c>
      <c r="H39" s="472" t="s">
        <v>422</v>
      </c>
      <c r="I39" s="474" t="s">
        <v>451</v>
      </c>
      <c r="J39" s="498" t="s">
        <v>444</v>
      </c>
    </row>
    <row r="40" spans="2:10" x14ac:dyDescent="0.35">
      <c r="B40" s="495">
        <v>88</v>
      </c>
      <c r="C40" s="482" t="s">
        <v>54</v>
      </c>
      <c r="D40" s="475" t="s">
        <v>76</v>
      </c>
      <c r="E40" s="475" t="s">
        <v>117</v>
      </c>
      <c r="F40" s="475" t="s">
        <v>118</v>
      </c>
      <c r="G40" s="475" t="s">
        <v>92</v>
      </c>
      <c r="H40" s="475" t="s">
        <v>410</v>
      </c>
      <c r="I40" s="477" t="s">
        <v>411</v>
      </c>
      <c r="J40" s="500" t="s">
        <v>412</v>
      </c>
    </row>
    <row r="41" spans="2:10" x14ac:dyDescent="0.35">
      <c r="B41" s="494">
        <v>48</v>
      </c>
      <c r="C41" s="478" t="s">
        <v>55</v>
      </c>
      <c r="D41" s="472" t="s">
        <v>121</v>
      </c>
      <c r="E41" s="472" t="s">
        <v>122</v>
      </c>
      <c r="F41" s="472" t="s">
        <v>123</v>
      </c>
      <c r="G41" s="472" t="s">
        <v>70</v>
      </c>
      <c r="H41" s="472" t="s">
        <v>422</v>
      </c>
      <c r="I41" s="474" t="s">
        <v>452</v>
      </c>
      <c r="J41" s="498" t="s">
        <v>435</v>
      </c>
    </row>
    <row r="42" spans="2:10" ht="27" x14ac:dyDescent="0.35">
      <c r="B42" s="495">
        <v>28</v>
      </c>
      <c r="C42" s="476" t="s">
        <v>56</v>
      </c>
      <c r="D42" s="475" t="s">
        <v>68</v>
      </c>
      <c r="E42" s="475" t="s">
        <v>74</v>
      </c>
      <c r="F42" s="475" t="s">
        <v>88</v>
      </c>
      <c r="G42" s="475" t="s">
        <v>70</v>
      </c>
      <c r="H42" s="475" t="s">
        <v>422</v>
      </c>
      <c r="I42" s="477" t="s">
        <v>453</v>
      </c>
      <c r="J42" s="500" t="s">
        <v>444</v>
      </c>
    </row>
    <row r="43" spans="2:10" x14ac:dyDescent="0.35">
      <c r="B43" s="494">
        <v>26</v>
      </c>
      <c r="C43" s="479" t="s">
        <v>57</v>
      </c>
      <c r="D43" s="472" t="s">
        <v>76</v>
      </c>
      <c r="E43" s="472" t="s">
        <v>124</v>
      </c>
      <c r="F43" s="472" t="s">
        <v>125</v>
      </c>
      <c r="G43" s="472" t="s">
        <v>70</v>
      </c>
      <c r="H43" s="472" t="s">
        <v>422</v>
      </c>
      <c r="I43" s="474" t="s">
        <v>454</v>
      </c>
      <c r="J43" s="499" t="s">
        <v>444</v>
      </c>
    </row>
    <row r="44" spans="2:10" x14ac:dyDescent="0.35">
      <c r="B44" s="494">
        <v>43</v>
      </c>
      <c r="C44" s="479" t="s">
        <v>58</v>
      </c>
      <c r="D44" s="472" t="s">
        <v>104</v>
      </c>
      <c r="E44" s="472" t="s">
        <v>126</v>
      </c>
      <c r="F44" s="472" t="s">
        <v>127</v>
      </c>
      <c r="G44" s="472" t="s">
        <v>70</v>
      </c>
      <c r="H44" s="472" t="s">
        <v>422</v>
      </c>
      <c r="I44" s="477" t="s">
        <v>455</v>
      </c>
      <c r="J44" s="500" t="s">
        <v>444</v>
      </c>
    </row>
    <row r="45" spans="2:10" x14ac:dyDescent="0.35">
      <c r="B45" s="494">
        <v>44</v>
      </c>
      <c r="C45" s="479" t="s">
        <v>59</v>
      </c>
      <c r="D45" s="472" t="s">
        <v>121</v>
      </c>
      <c r="E45" s="472" t="s">
        <v>128</v>
      </c>
      <c r="F45" s="472" t="s">
        <v>129</v>
      </c>
      <c r="G45" s="472" t="s">
        <v>70</v>
      </c>
      <c r="H45" s="472" t="s">
        <v>422</v>
      </c>
      <c r="I45" s="474" t="s">
        <v>456</v>
      </c>
      <c r="J45" s="498" t="s">
        <v>435</v>
      </c>
    </row>
    <row r="46" spans="2:10" x14ac:dyDescent="0.35">
      <c r="B46" s="495">
        <v>40</v>
      </c>
      <c r="C46" s="476" t="s">
        <v>60</v>
      </c>
      <c r="D46" s="475" t="s">
        <v>113</v>
      </c>
      <c r="E46" s="475" t="s">
        <v>130</v>
      </c>
      <c r="F46" s="475" t="s">
        <v>131</v>
      </c>
      <c r="G46" s="475" t="s">
        <v>70</v>
      </c>
      <c r="H46" s="475" t="s">
        <v>430</v>
      </c>
      <c r="I46" s="477" t="s">
        <v>457</v>
      </c>
      <c r="J46" s="500" t="s">
        <v>444</v>
      </c>
    </row>
    <row r="47" spans="2:10" ht="27" x14ac:dyDescent="0.35">
      <c r="B47" s="494">
        <v>56</v>
      </c>
      <c r="C47" s="479" t="s">
        <v>61</v>
      </c>
      <c r="D47" s="472" t="s">
        <v>76</v>
      </c>
      <c r="E47" s="472" t="s">
        <v>132</v>
      </c>
      <c r="F47" s="472" t="s">
        <v>133</v>
      </c>
      <c r="G47" s="472" t="s">
        <v>70</v>
      </c>
      <c r="H47" s="472" t="s">
        <v>422</v>
      </c>
      <c r="I47" s="474" t="s">
        <v>458</v>
      </c>
      <c r="J47" s="499" t="s">
        <v>444</v>
      </c>
    </row>
    <row r="48" spans="2:10" ht="27" x14ac:dyDescent="0.35">
      <c r="B48" s="495">
        <v>6</v>
      </c>
      <c r="C48" s="476" t="s">
        <v>62</v>
      </c>
      <c r="D48" s="475" t="s">
        <v>119</v>
      </c>
      <c r="E48" s="475" t="s">
        <v>134</v>
      </c>
      <c r="F48" s="475" t="s">
        <v>135</v>
      </c>
      <c r="G48" s="475" t="s">
        <v>70</v>
      </c>
      <c r="H48" s="475" t="s">
        <v>422</v>
      </c>
      <c r="I48" s="477" t="s">
        <v>459</v>
      </c>
      <c r="J48" s="500" t="s">
        <v>444</v>
      </c>
    </row>
    <row r="49" spans="2:10" ht="27" x14ac:dyDescent="0.35">
      <c r="B49" s="494">
        <v>57</v>
      </c>
      <c r="C49" s="479" t="s">
        <v>63</v>
      </c>
      <c r="D49" s="472" t="s">
        <v>104</v>
      </c>
      <c r="E49" s="472" t="s">
        <v>136</v>
      </c>
      <c r="F49" s="472" t="s">
        <v>137</v>
      </c>
      <c r="G49" s="472" t="s">
        <v>70</v>
      </c>
      <c r="H49" s="472" t="s">
        <v>422</v>
      </c>
      <c r="I49" s="474" t="s">
        <v>455</v>
      </c>
      <c r="J49" s="499" t="s">
        <v>435</v>
      </c>
    </row>
    <row r="50" spans="2:10" ht="27" x14ac:dyDescent="0.35">
      <c r="B50" s="495">
        <v>68</v>
      </c>
      <c r="C50" s="476" t="s">
        <v>64</v>
      </c>
      <c r="D50" s="475" t="s">
        <v>84</v>
      </c>
      <c r="E50" s="475" t="s">
        <v>97</v>
      </c>
      <c r="F50" s="475" t="s">
        <v>98</v>
      </c>
      <c r="G50" s="475" t="s">
        <v>79</v>
      </c>
      <c r="H50" s="475" t="s">
        <v>410</v>
      </c>
      <c r="I50" s="477" t="s">
        <v>461</v>
      </c>
      <c r="J50" s="499" t="s">
        <v>412</v>
      </c>
    </row>
    <row r="51" spans="2:10" x14ac:dyDescent="0.35">
      <c r="B51" s="494">
        <v>4</v>
      </c>
      <c r="C51" s="479" t="s">
        <v>148</v>
      </c>
      <c r="D51" s="472" t="s">
        <v>76</v>
      </c>
      <c r="E51" s="472" t="s">
        <v>77</v>
      </c>
      <c r="F51" s="472" t="s">
        <v>78</v>
      </c>
      <c r="G51" s="472" t="s">
        <v>70</v>
      </c>
      <c r="H51" s="472" t="s">
        <v>430</v>
      </c>
      <c r="I51" s="474" t="s">
        <v>426</v>
      </c>
      <c r="J51" s="498" t="s">
        <v>412</v>
      </c>
    </row>
    <row r="52" spans="2:10" ht="27" x14ac:dyDescent="0.35">
      <c r="B52" s="494">
        <v>9</v>
      </c>
      <c r="C52" s="479" t="s">
        <v>140</v>
      </c>
      <c r="D52" s="472" t="s">
        <v>68</v>
      </c>
      <c r="E52" s="472" t="s">
        <v>90</v>
      </c>
      <c r="F52" s="472" t="s">
        <v>141</v>
      </c>
      <c r="G52" s="472" t="s">
        <v>70</v>
      </c>
      <c r="H52" s="472" t="s">
        <v>431</v>
      </c>
      <c r="I52" s="477" t="s">
        <v>439</v>
      </c>
      <c r="J52" s="499" t="s">
        <v>412</v>
      </c>
    </row>
    <row r="53" spans="2:10" ht="27" x14ac:dyDescent="0.35">
      <c r="B53" s="494">
        <v>55</v>
      </c>
      <c r="C53" s="479" t="s">
        <v>138</v>
      </c>
      <c r="D53" s="472" t="s">
        <v>76</v>
      </c>
      <c r="E53" s="472" t="s">
        <v>132</v>
      </c>
      <c r="F53" s="472" t="s">
        <v>139</v>
      </c>
      <c r="G53" s="472" t="s">
        <v>70</v>
      </c>
      <c r="H53" s="472" t="s">
        <v>431</v>
      </c>
      <c r="I53" s="474" t="s">
        <v>458</v>
      </c>
      <c r="J53" s="499" t="s">
        <v>412</v>
      </c>
    </row>
    <row r="54" spans="2:10" ht="27" x14ac:dyDescent="0.35">
      <c r="B54" s="494">
        <v>77</v>
      </c>
      <c r="C54" s="479" t="s">
        <v>143</v>
      </c>
      <c r="D54" s="472" t="s">
        <v>76</v>
      </c>
      <c r="E54" s="472" t="s">
        <v>76</v>
      </c>
      <c r="F54" s="472" t="s">
        <v>144</v>
      </c>
      <c r="G54" s="472" t="s">
        <v>92</v>
      </c>
      <c r="H54" s="472" t="s">
        <v>410</v>
      </c>
      <c r="I54" s="477" t="s">
        <v>462</v>
      </c>
      <c r="J54" s="500" t="s">
        <v>435</v>
      </c>
    </row>
    <row r="55" spans="2:10" x14ac:dyDescent="0.35">
      <c r="B55" s="494">
        <v>78</v>
      </c>
      <c r="C55" s="479" t="s">
        <v>142</v>
      </c>
      <c r="D55" s="472" t="s">
        <v>76</v>
      </c>
      <c r="E55" s="472" t="s">
        <v>76</v>
      </c>
      <c r="F55" s="472" t="s">
        <v>87</v>
      </c>
      <c r="G55" s="472" t="s">
        <v>92</v>
      </c>
      <c r="H55" s="472" t="s">
        <v>410</v>
      </c>
      <c r="I55" s="474" t="s">
        <v>455</v>
      </c>
      <c r="J55" s="499" t="s">
        <v>435</v>
      </c>
    </row>
    <row r="56" spans="2:10" ht="27" x14ac:dyDescent="0.35">
      <c r="B56" s="495">
        <v>94</v>
      </c>
      <c r="C56" s="476" t="s">
        <v>145</v>
      </c>
      <c r="D56" s="475" t="s">
        <v>113</v>
      </c>
      <c r="E56" s="475" t="s">
        <v>146</v>
      </c>
      <c r="F56" s="475" t="s">
        <v>147</v>
      </c>
      <c r="G56" s="475" t="s">
        <v>92</v>
      </c>
      <c r="H56" s="475" t="s">
        <v>410</v>
      </c>
      <c r="I56" s="477" t="s">
        <v>463</v>
      </c>
      <c r="J56" s="500" t="s">
        <v>412</v>
      </c>
    </row>
    <row r="57" spans="2:10" x14ac:dyDescent="0.35">
      <c r="B57" s="494">
        <v>22</v>
      </c>
      <c r="C57" s="479" t="s">
        <v>149</v>
      </c>
      <c r="D57" s="472" t="s">
        <v>84</v>
      </c>
      <c r="E57" s="472" t="s">
        <v>84</v>
      </c>
      <c r="F57" s="472" t="s">
        <v>150</v>
      </c>
      <c r="G57" s="472" t="s">
        <v>70</v>
      </c>
      <c r="H57" s="472" t="s">
        <v>431</v>
      </c>
      <c r="I57" s="474" t="s">
        <v>464</v>
      </c>
      <c r="J57" s="498" t="s">
        <v>444</v>
      </c>
    </row>
    <row r="58" spans="2:10" x14ac:dyDescent="0.35">
      <c r="B58" s="495">
        <v>20</v>
      </c>
      <c r="C58" s="476" t="s">
        <v>151</v>
      </c>
      <c r="D58" s="475" t="s">
        <v>94</v>
      </c>
      <c r="E58" s="475" t="s">
        <v>152</v>
      </c>
      <c r="F58" s="475" t="s">
        <v>153</v>
      </c>
      <c r="G58" s="475" t="s">
        <v>70</v>
      </c>
      <c r="H58" s="475" t="s">
        <v>430</v>
      </c>
      <c r="I58" s="477" t="s">
        <v>445</v>
      </c>
      <c r="J58" s="499" t="s">
        <v>412</v>
      </c>
    </row>
    <row r="59" spans="2:10" ht="27" x14ac:dyDescent="0.35">
      <c r="B59" s="494">
        <v>45</v>
      </c>
      <c r="C59" s="479" t="s">
        <v>154</v>
      </c>
      <c r="D59" s="472" t="s">
        <v>68</v>
      </c>
      <c r="E59" s="472" t="s">
        <v>155</v>
      </c>
      <c r="F59" s="472" t="s">
        <v>156</v>
      </c>
      <c r="G59" s="472" t="s">
        <v>70</v>
      </c>
      <c r="H59" s="472" t="s">
        <v>431</v>
      </c>
      <c r="I59" s="474" t="s">
        <v>422</v>
      </c>
      <c r="J59" s="499" t="s">
        <v>412</v>
      </c>
    </row>
    <row r="60" spans="2:10" ht="27" x14ac:dyDescent="0.35">
      <c r="B60" s="494">
        <v>11</v>
      </c>
      <c r="C60" s="479" t="s">
        <v>157</v>
      </c>
      <c r="D60" s="472" t="s">
        <v>68</v>
      </c>
      <c r="E60" s="472" t="s">
        <v>74</v>
      </c>
      <c r="F60" s="472" t="s">
        <v>88</v>
      </c>
      <c r="G60" s="472" t="s">
        <v>70</v>
      </c>
      <c r="H60" s="472" t="s">
        <v>430</v>
      </c>
      <c r="I60" s="477" t="s">
        <v>465</v>
      </c>
      <c r="J60" s="499" t="s">
        <v>412</v>
      </c>
    </row>
    <row r="61" spans="2:10" ht="27" x14ac:dyDescent="0.35">
      <c r="B61" s="494">
        <v>32</v>
      </c>
      <c r="C61" s="479" t="s">
        <v>158</v>
      </c>
      <c r="D61" s="472" t="s">
        <v>68</v>
      </c>
      <c r="E61" s="472" t="s">
        <v>74</v>
      </c>
      <c r="F61" s="472" t="s">
        <v>88</v>
      </c>
      <c r="G61" s="472" t="s">
        <v>70</v>
      </c>
      <c r="H61" s="472" t="s">
        <v>430</v>
      </c>
      <c r="I61" s="474" t="s">
        <v>453</v>
      </c>
      <c r="J61" s="499" t="s">
        <v>412</v>
      </c>
    </row>
    <row r="62" spans="2:10" x14ac:dyDescent="0.35">
      <c r="B62" s="495">
        <v>76</v>
      </c>
      <c r="C62" s="476" t="s">
        <v>159</v>
      </c>
      <c r="D62" s="475" t="s">
        <v>76</v>
      </c>
      <c r="E62" s="475" t="s">
        <v>117</v>
      </c>
      <c r="F62" s="475" t="s">
        <v>118</v>
      </c>
      <c r="G62" s="475" t="s">
        <v>92</v>
      </c>
      <c r="H62" s="475" t="s">
        <v>430</v>
      </c>
      <c r="I62" s="477" t="s">
        <v>462</v>
      </c>
      <c r="J62" s="500" t="s">
        <v>435</v>
      </c>
    </row>
    <row r="63" spans="2:10" x14ac:dyDescent="0.35">
      <c r="B63" s="494">
        <v>96</v>
      </c>
      <c r="C63" s="479" t="s">
        <v>160</v>
      </c>
      <c r="D63" s="472" t="s">
        <v>76</v>
      </c>
      <c r="E63" s="472" t="s">
        <v>117</v>
      </c>
      <c r="F63" s="472" t="s">
        <v>118</v>
      </c>
      <c r="G63" s="472" t="s">
        <v>92</v>
      </c>
      <c r="H63" s="472" t="s">
        <v>430</v>
      </c>
      <c r="I63" s="474" t="s">
        <v>447</v>
      </c>
      <c r="J63" s="498" t="s">
        <v>435</v>
      </c>
    </row>
    <row r="64" spans="2:10" x14ac:dyDescent="0.35">
      <c r="B64" s="494">
        <v>73</v>
      </c>
      <c r="C64" s="479" t="s">
        <v>161</v>
      </c>
      <c r="D64" s="472" t="s">
        <v>104</v>
      </c>
      <c r="E64" s="472" t="s">
        <v>104</v>
      </c>
      <c r="F64" s="472" t="s">
        <v>110</v>
      </c>
      <c r="G64" s="472" t="s">
        <v>92</v>
      </c>
      <c r="H64" s="472" t="s">
        <v>410</v>
      </c>
      <c r="I64" s="477" t="s">
        <v>455</v>
      </c>
      <c r="J64" s="500" t="s">
        <v>444</v>
      </c>
    </row>
    <row r="65" spans="2:10" ht="27" x14ac:dyDescent="0.35">
      <c r="B65" s="494">
        <v>10</v>
      </c>
      <c r="C65" s="479" t="s">
        <v>162</v>
      </c>
      <c r="D65" s="472" t="s">
        <v>119</v>
      </c>
      <c r="E65" s="472" t="s">
        <v>119</v>
      </c>
      <c r="F65" s="472" t="s">
        <v>163</v>
      </c>
      <c r="G65" s="472" t="s">
        <v>70</v>
      </c>
      <c r="H65" s="472" t="s">
        <v>431</v>
      </c>
      <c r="I65" s="474" t="s">
        <v>466</v>
      </c>
      <c r="J65" s="498" t="s">
        <v>444</v>
      </c>
    </row>
    <row r="66" spans="2:10" ht="27" x14ac:dyDescent="0.35">
      <c r="B66" s="494">
        <v>39</v>
      </c>
      <c r="C66" s="479" t="s">
        <v>164</v>
      </c>
      <c r="D66" s="472" t="s">
        <v>76</v>
      </c>
      <c r="E66" s="472" t="s">
        <v>77</v>
      </c>
      <c r="F66" s="472" t="s">
        <v>93</v>
      </c>
      <c r="G66" s="472" t="s">
        <v>70</v>
      </c>
      <c r="H66" s="472" t="s">
        <v>430</v>
      </c>
      <c r="I66" s="477" t="s">
        <v>455</v>
      </c>
      <c r="J66" s="500" t="s">
        <v>444</v>
      </c>
    </row>
    <row r="67" spans="2:10" x14ac:dyDescent="0.35">
      <c r="B67" s="494">
        <v>97</v>
      </c>
      <c r="C67" s="479" t="s">
        <v>165</v>
      </c>
      <c r="D67" s="472" t="s">
        <v>76</v>
      </c>
      <c r="E67" s="472" t="s">
        <v>76</v>
      </c>
      <c r="F67" s="472" t="s">
        <v>166</v>
      </c>
      <c r="G67" s="472" t="s">
        <v>92</v>
      </c>
      <c r="H67" s="472" t="s">
        <v>410</v>
      </c>
      <c r="I67" s="474" t="s">
        <v>467</v>
      </c>
      <c r="J67" s="498" t="s">
        <v>444</v>
      </c>
    </row>
    <row r="68" spans="2:10" ht="27" x14ac:dyDescent="0.35">
      <c r="B68" s="494">
        <v>35</v>
      </c>
      <c r="C68" s="479" t="s">
        <v>167</v>
      </c>
      <c r="D68" s="472" t="s">
        <v>104</v>
      </c>
      <c r="E68" s="472" t="s">
        <v>104</v>
      </c>
      <c r="F68" s="472" t="s">
        <v>168</v>
      </c>
      <c r="G68" s="472" t="s">
        <v>70</v>
      </c>
      <c r="H68" s="472" t="s">
        <v>431</v>
      </c>
      <c r="I68" s="477" t="s">
        <v>457</v>
      </c>
      <c r="J68" s="500" t="s">
        <v>444</v>
      </c>
    </row>
    <row r="69" spans="2:10" ht="27" x14ac:dyDescent="0.35">
      <c r="B69" s="494">
        <v>70</v>
      </c>
      <c r="C69" s="479" t="s">
        <v>169</v>
      </c>
      <c r="D69" s="472" t="s">
        <v>76</v>
      </c>
      <c r="E69" s="472" t="s">
        <v>170</v>
      </c>
      <c r="F69" s="472" t="s">
        <v>171</v>
      </c>
      <c r="G69" s="472" t="s">
        <v>92</v>
      </c>
      <c r="H69" s="472" t="s">
        <v>410</v>
      </c>
      <c r="I69" s="474" t="s">
        <v>462</v>
      </c>
      <c r="J69" s="498" t="s">
        <v>435</v>
      </c>
    </row>
    <row r="70" spans="2:10" x14ac:dyDescent="0.35">
      <c r="B70" s="495">
        <v>24</v>
      </c>
      <c r="C70" s="476" t="s">
        <v>172</v>
      </c>
      <c r="D70" s="475" t="s">
        <v>121</v>
      </c>
      <c r="E70" s="475" t="s">
        <v>173</v>
      </c>
      <c r="F70" s="475" t="s">
        <v>174</v>
      </c>
      <c r="G70" s="475" t="s">
        <v>70</v>
      </c>
      <c r="H70" s="475" t="s">
        <v>430</v>
      </c>
      <c r="I70" s="477" t="s">
        <v>455</v>
      </c>
      <c r="J70" s="499" t="s">
        <v>435</v>
      </c>
    </row>
    <row r="71" spans="2:10" x14ac:dyDescent="0.35">
      <c r="B71" s="494">
        <v>59</v>
      </c>
      <c r="C71" s="479" t="s">
        <v>175</v>
      </c>
      <c r="D71" s="472" t="s">
        <v>76</v>
      </c>
      <c r="E71" s="472" t="s">
        <v>107</v>
      </c>
      <c r="F71" s="472" t="s">
        <v>176</v>
      </c>
      <c r="G71" s="472" t="s">
        <v>70</v>
      </c>
      <c r="H71" s="472" t="s">
        <v>430</v>
      </c>
      <c r="I71" s="474" t="s">
        <v>468</v>
      </c>
      <c r="J71" s="498" t="s">
        <v>444</v>
      </c>
    </row>
    <row r="72" spans="2:10" x14ac:dyDescent="0.35">
      <c r="B72" s="496" t="s">
        <v>177</v>
      </c>
      <c r="C72" s="486" t="s">
        <v>178</v>
      </c>
      <c r="D72" s="485" t="s">
        <v>84</v>
      </c>
      <c r="E72" s="485" t="s">
        <v>179</v>
      </c>
      <c r="F72" s="485" t="s">
        <v>180</v>
      </c>
      <c r="G72" s="485"/>
      <c r="H72" s="485"/>
      <c r="I72" s="487" t="s">
        <v>454</v>
      </c>
      <c r="J72" s="500" t="s">
        <v>435</v>
      </c>
    </row>
    <row r="73" spans="2:10" ht="27" x14ac:dyDescent="0.35">
      <c r="B73" s="494">
        <v>41</v>
      </c>
      <c r="C73" s="479" t="s">
        <v>182</v>
      </c>
      <c r="D73" s="472" t="s">
        <v>113</v>
      </c>
      <c r="E73" s="472" t="s">
        <v>130</v>
      </c>
      <c r="F73" s="472" t="s">
        <v>183</v>
      </c>
      <c r="G73" s="472" t="s">
        <v>70</v>
      </c>
      <c r="H73" s="472" t="s">
        <v>430</v>
      </c>
      <c r="I73" s="474" t="s">
        <v>469</v>
      </c>
      <c r="J73" s="498" t="s">
        <v>444</v>
      </c>
    </row>
    <row r="74" spans="2:10" ht="27" x14ac:dyDescent="0.35">
      <c r="B74" s="495">
        <v>84</v>
      </c>
      <c r="C74" s="476" t="s">
        <v>184</v>
      </c>
      <c r="D74" s="475" t="s">
        <v>94</v>
      </c>
      <c r="E74" s="475" t="s">
        <v>152</v>
      </c>
      <c r="F74" s="475" t="s">
        <v>185</v>
      </c>
      <c r="G74" s="475" t="s">
        <v>92</v>
      </c>
      <c r="H74" s="475" t="s">
        <v>430</v>
      </c>
      <c r="I74" s="477" t="s">
        <v>455</v>
      </c>
      <c r="J74" s="500" t="s">
        <v>444</v>
      </c>
    </row>
    <row r="75" spans="2:10" x14ac:dyDescent="0.35">
      <c r="B75" s="494">
        <v>23</v>
      </c>
      <c r="C75" s="479" t="s">
        <v>186</v>
      </c>
      <c r="D75" s="472" t="s">
        <v>84</v>
      </c>
      <c r="E75" s="472" t="s">
        <v>84</v>
      </c>
      <c r="F75" s="472" t="s">
        <v>187</v>
      </c>
      <c r="G75" s="472" t="s">
        <v>70</v>
      </c>
      <c r="H75" s="472" t="s">
        <v>430</v>
      </c>
      <c r="I75" s="474" t="s">
        <v>464</v>
      </c>
      <c r="J75" s="498" t="s">
        <v>444</v>
      </c>
    </row>
    <row r="76" spans="2:10" x14ac:dyDescent="0.35">
      <c r="B76" s="494">
        <v>47</v>
      </c>
      <c r="C76" s="479" t="s">
        <v>235</v>
      </c>
      <c r="D76" s="472" t="s">
        <v>113</v>
      </c>
      <c r="E76" s="472" t="s">
        <v>236</v>
      </c>
      <c r="F76" s="472" t="s">
        <v>237</v>
      </c>
      <c r="G76" s="472" t="s">
        <v>70</v>
      </c>
      <c r="H76" s="472" t="s">
        <v>430</v>
      </c>
      <c r="I76" s="477" t="s">
        <v>454</v>
      </c>
      <c r="J76" s="499" t="s">
        <v>444</v>
      </c>
    </row>
    <row r="77" spans="2:10" ht="27" x14ac:dyDescent="0.35">
      <c r="B77" s="494">
        <v>91</v>
      </c>
      <c r="C77" s="479" t="s">
        <v>188</v>
      </c>
      <c r="D77" s="472" t="s">
        <v>76</v>
      </c>
      <c r="E77" s="472" t="s">
        <v>189</v>
      </c>
      <c r="F77" s="472" t="s">
        <v>190</v>
      </c>
      <c r="G77" s="472" t="s">
        <v>92</v>
      </c>
      <c r="H77" s="472" t="s">
        <v>410</v>
      </c>
      <c r="I77" s="474" t="s">
        <v>463</v>
      </c>
      <c r="J77" s="499" t="s">
        <v>435</v>
      </c>
    </row>
    <row r="78" spans="2:10" ht="27" x14ac:dyDescent="0.35">
      <c r="B78" s="494">
        <v>69</v>
      </c>
      <c r="C78" s="479" t="s">
        <v>191</v>
      </c>
      <c r="D78" s="472" t="s">
        <v>76</v>
      </c>
      <c r="E78" s="472" t="s">
        <v>117</v>
      </c>
      <c r="F78" s="472" t="s">
        <v>118</v>
      </c>
      <c r="G78" s="472" t="s">
        <v>92</v>
      </c>
      <c r="H78" s="472" t="s">
        <v>430</v>
      </c>
      <c r="I78" s="477" t="s">
        <v>455</v>
      </c>
      <c r="J78" s="500" t="s">
        <v>444</v>
      </c>
    </row>
    <row r="79" spans="2:10" x14ac:dyDescent="0.35">
      <c r="B79" s="494">
        <v>72</v>
      </c>
      <c r="C79" s="479" t="s">
        <v>192</v>
      </c>
      <c r="D79" s="472" t="s">
        <v>76</v>
      </c>
      <c r="E79" s="472" t="s">
        <v>117</v>
      </c>
      <c r="F79" s="472" t="s">
        <v>118</v>
      </c>
      <c r="G79" s="472" t="s">
        <v>92</v>
      </c>
      <c r="H79" s="472" t="s">
        <v>430</v>
      </c>
      <c r="I79" s="474" t="s">
        <v>455</v>
      </c>
      <c r="J79" s="498" t="s">
        <v>444</v>
      </c>
    </row>
    <row r="80" spans="2:10" x14ac:dyDescent="0.35">
      <c r="B80" s="495">
        <v>74</v>
      </c>
      <c r="C80" s="476" t="s">
        <v>193</v>
      </c>
      <c r="D80" s="475" t="s">
        <v>68</v>
      </c>
      <c r="E80" s="475" t="s">
        <v>100</v>
      </c>
      <c r="F80" s="475" t="s">
        <v>194</v>
      </c>
      <c r="G80" s="475" t="s">
        <v>92</v>
      </c>
      <c r="H80" s="475" t="s">
        <v>430</v>
      </c>
      <c r="I80" s="477" t="s">
        <v>455</v>
      </c>
      <c r="J80" s="500" t="s">
        <v>444</v>
      </c>
    </row>
    <row r="81" spans="2:10" ht="27" x14ac:dyDescent="0.35">
      <c r="B81" s="494">
        <v>36</v>
      </c>
      <c r="C81" s="479" t="s">
        <v>195</v>
      </c>
      <c r="D81" s="472" t="s">
        <v>104</v>
      </c>
      <c r="E81" s="472" t="s">
        <v>104</v>
      </c>
      <c r="F81" s="472" t="s">
        <v>196</v>
      </c>
      <c r="G81" s="472" t="s">
        <v>70</v>
      </c>
      <c r="H81" s="472" t="s">
        <v>430</v>
      </c>
      <c r="I81" s="474" t="s">
        <v>457</v>
      </c>
      <c r="J81" s="498" t="s">
        <v>444</v>
      </c>
    </row>
    <row r="82" spans="2:10" ht="27" x14ac:dyDescent="0.35">
      <c r="B82" s="494">
        <v>49</v>
      </c>
      <c r="C82" s="479" t="s">
        <v>199</v>
      </c>
      <c r="D82" s="472" t="s">
        <v>68</v>
      </c>
      <c r="E82" s="472" t="s">
        <v>68</v>
      </c>
      <c r="F82" s="472" t="s">
        <v>200</v>
      </c>
      <c r="G82" s="472" t="s">
        <v>70</v>
      </c>
      <c r="H82" s="472" t="s">
        <v>430</v>
      </c>
      <c r="I82" s="477" t="s">
        <v>470</v>
      </c>
      <c r="J82" s="500" t="s">
        <v>444</v>
      </c>
    </row>
    <row r="83" spans="2:10" x14ac:dyDescent="0.35">
      <c r="B83" s="494">
        <v>53</v>
      </c>
      <c r="C83" s="479" t="s">
        <v>197</v>
      </c>
      <c r="D83" s="472" t="s">
        <v>68</v>
      </c>
      <c r="E83" s="472" t="s">
        <v>68</v>
      </c>
      <c r="F83" s="472" t="s">
        <v>198</v>
      </c>
      <c r="G83" s="472" t="s">
        <v>70</v>
      </c>
      <c r="H83" s="472" t="s">
        <v>430</v>
      </c>
      <c r="I83" s="474" t="s">
        <v>471</v>
      </c>
      <c r="J83" s="499" t="s">
        <v>444</v>
      </c>
    </row>
    <row r="84" spans="2:10" x14ac:dyDescent="0.35">
      <c r="B84" s="495">
        <v>80</v>
      </c>
      <c r="C84" s="476" t="s">
        <v>201</v>
      </c>
      <c r="D84" s="475" t="s">
        <v>94</v>
      </c>
      <c r="E84" s="475" t="s">
        <v>202</v>
      </c>
      <c r="F84" s="475" t="s">
        <v>203</v>
      </c>
      <c r="G84" s="475" t="s">
        <v>92</v>
      </c>
      <c r="H84" s="475" t="s">
        <v>430</v>
      </c>
      <c r="I84" s="477" t="s">
        <v>455</v>
      </c>
      <c r="J84" s="500" t="s">
        <v>444</v>
      </c>
    </row>
    <row r="85" spans="2:10" x14ac:dyDescent="0.35">
      <c r="B85" s="494">
        <v>25</v>
      </c>
      <c r="C85" s="479" t="s">
        <v>204</v>
      </c>
      <c r="D85" s="472" t="s">
        <v>76</v>
      </c>
      <c r="E85" s="472" t="s">
        <v>205</v>
      </c>
      <c r="F85" s="472" t="s">
        <v>206</v>
      </c>
      <c r="G85" s="472" t="s">
        <v>70</v>
      </c>
      <c r="H85" s="472" t="s">
        <v>431</v>
      </c>
      <c r="I85" s="474" t="s">
        <v>445</v>
      </c>
      <c r="J85" s="498" t="s">
        <v>444</v>
      </c>
    </row>
    <row r="86" spans="2:10" x14ac:dyDescent="0.35">
      <c r="B86" s="495">
        <v>14</v>
      </c>
      <c r="C86" s="476" t="s">
        <v>207</v>
      </c>
      <c r="D86" s="475" t="s">
        <v>121</v>
      </c>
      <c r="E86" s="475" t="s">
        <v>208</v>
      </c>
      <c r="F86" s="475" t="s">
        <v>209</v>
      </c>
      <c r="G86" s="475" t="s">
        <v>70</v>
      </c>
      <c r="H86" s="475" t="s">
        <v>430</v>
      </c>
      <c r="I86" s="477" t="s">
        <v>434</v>
      </c>
      <c r="J86" s="500" t="s">
        <v>435</v>
      </c>
    </row>
    <row r="87" spans="2:10" x14ac:dyDescent="0.35">
      <c r="B87" s="494">
        <v>15</v>
      </c>
      <c r="C87" s="479" t="s">
        <v>210</v>
      </c>
      <c r="D87" s="472" t="s">
        <v>76</v>
      </c>
      <c r="E87" s="472" t="s">
        <v>211</v>
      </c>
      <c r="F87" s="472" t="s">
        <v>212</v>
      </c>
      <c r="G87" s="472" t="s">
        <v>70</v>
      </c>
      <c r="H87" s="472" t="s">
        <v>430</v>
      </c>
      <c r="I87" s="474" t="s">
        <v>445</v>
      </c>
      <c r="J87" s="498" t="s">
        <v>444</v>
      </c>
    </row>
    <row r="88" spans="2:10" x14ac:dyDescent="0.35">
      <c r="B88" s="495">
        <v>86</v>
      </c>
      <c r="C88" s="476" t="s">
        <v>213</v>
      </c>
      <c r="D88" s="475" t="s">
        <v>84</v>
      </c>
      <c r="E88" s="475" t="s">
        <v>97</v>
      </c>
      <c r="F88" s="475" t="s">
        <v>214</v>
      </c>
      <c r="G88" s="475" t="s">
        <v>92</v>
      </c>
      <c r="H88" s="475" t="s">
        <v>430</v>
      </c>
      <c r="I88" s="477" t="s">
        <v>455</v>
      </c>
      <c r="J88" s="500" t="s">
        <v>444</v>
      </c>
    </row>
    <row r="89" spans="2:10" ht="27" x14ac:dyDescent="0.35">
      <c r="B89" s="494">
        <v>29</v>
      </c>
      <c r="C89" s="479" t="s">
        <v>215</v>
      </c>
      <c r="D89" s="472" t="s">
        <v>68</v>
      </c>
      <c r="E89" s="472" t="s">
        <v>74</v>
      </c>
      <c r="F89" s="472" t="s">
        <v>88</v>
      </c>
      <c r="G89" s="472" t="s">
        <v>70</v>
      </c>
      <c r="H89" s="472" t="s">
        <v>430</v>
      </c>
      <c r="I89" s="474" t="s">
        <v>453</v>
      </c>
      <c r="J89" s="498" t="s">
        <v>444</v>
      </c>
    </row>
    <row r="90" spans="2:10" ht="27" x14ac:dyDescent="0.35">
      <c r="B90" s="494">
        <v>31</v>
      </c>
      <c r="C90" s="479" t="s">
        <v>216</v>
      </c>
      <c r="D90" s="472" t="s">
        <v>68</v>
      </c>
      <c r="E90" s="472" t="s">
        <v>74</v>
      </c>
      <c r="F90" s="472" t="s">
        <v>217</v>
      </c>
      <c r="G90" s="472" t="s">
        <v>70</v>
      </c>
      <c r="H90" s="472" t="s">
        <v>430</v>
      </c>
      <c r="I90" s="477" t="s">
        <v>453</v>
      </c>
      <c r="J90" s="500" t="s">
        <v>444</v>
      </c>
    </row>
    <row r="91" spans="2:10" ht="27" x14ac:dyDescent="0.35">
      <c r="B91" s="494">
        <v>19</v>
      </c>
      <c r="C91" s="479" t="s">
        <v>218</v>
      </c>
      <c r="D91" s="472" t="s">
        <v>76</v>
      </c>
      <c r="E91" s="472" t="s">
        <v>82</v>
      </c>
      <c r="F91" s="472" t="s">
        <v>219</v>
      </c>
      <c r="G91" s="472" t="s">
        <v>70</v>
      </c>
      <c r="H91" s="472" t="s">
        <v>422</v>
      </c>
      <c r="I91" s="474" t="s">
        <v>472</v>
      </c>
      <c r="J91" s="498" t="s">
        <v>444</v>
      </c>
    </row>
    <row r="92" spans="2:10" ht="27" x14ac:dyDescent="0.35">
      <c r="B92" s="495">
        <v>2</v>
      </c>
      <c r="C92" s="476" t="s">
        <v>220</v>
      </c>
      <c r="D92" s="475" t="s">
        <v>68</v>
      </c>
      <c r="E92" s="475" t="s">
        <v>221</v>
      </c>
      <c r="F92" s="475" t="s">
        <v>222</v>
      </c>
      <c r="G92" s="475" t="s">
        <v>70</v>
      </c>
      <c r="H92" s="475" t="s">
        <v>430</v>
      </c>
      <c r="I92" s="477" t="s">
        <v>473</v>
      </c>
      <c r="J92" s="500" t="s">
        <v>444</v>
      </c>
    </row>
    <row r="93" spans="2:10" ht="27" x14ac:dyDescent="0.35">
      <c r="B93" s="494">
        <v>61</v>
      </c>
      <c r="C93" s="479" t="s">
        <v>223</v>
      </c>
      <c r="D93" s="472" t="s">
        <v>94</v>
      </c>
      <c r="E93" s="472" t="s">
        <v>202</v>
      </c>
      <c r="F93" s="472" t="s">
        <v>224</v>
      </c>
      <c r="G93" s="472" t="s">
        <v>70</v>
      </c>
      <c r="H93" s="472" t="s">
        <v>430</v>
      </c>
      <c r="I93" s="474" t="s">
        <v>474</v>
      </c>
      <c r="J93" s="498" t="s">
        <v>444</v>
      </c>
    </row>
    <row r="94" spans="2:10" ht="27" x14ac:dyDescent="0.35">
      <c r="B94" s="494" t="s">
        <v>225</v>
      </c>
      <c r="C94" s="479" t="s">
        <v>226</v>
      </c>
      <c r="D94" s="472" t="s">
        <v>180</v>
      </c>
      <c r="E94" s="472" t="s">
        <v>180</v>
      </c>
      <c r="F94" s="472" t="s">
        <v>180</v>
      </c>
      <c r="G94" s="472"/>
      <c r="H94" s="472"/>
      <c r="I94" s="487"/>
      <c r="J94" s="500" t="s">
        <v>180</v>
      </c>
    </row>
    <row r="95" spans="2:10" x14ac:dyDescent="0.35">
      <c r="B95" s="494">
        <v>62</v>
      </c>
      <c r="C95" s="479" t="s">
        <v>227</v>
      </c>
      <c r="D95" s="472" t="s">
        <v>84</v>
      </c>
      <c r="E95" s="472" t="s">
        <v>97</v>
      </c>
      <c r="F95" s="472" t="s">
        <v>228</v>
      </c>
      <c r="G95" s="472" t="s">
        <v>70</v>
      </c>
      <c r="H95" s="472" t="s">
        <v>430</v>
      </c>
      <c r="I95" s="474" t="s">
        <v>455</v>
      </c>
      <c r="J95" s="498" t="s">
        <v>444</v>
      </c>
    </row>
    <row r="96" spans="2:10" x14ac:dyDescent="0.35">
      <c r="B96" s="496" t="s">
        <v>229</v>
      </c>
      <c r="C96" s="486" t="s">
        <v>230</v>
      </c>
      <c r="D96" s="488" t="s">
        <v>84</v>
      </c>
      <c r="E96" s="485" t="s">
        <v>231</v>
      </c>
      <c r="F96" s="485" t="s">
        <v>180</v>
      </c>
      <c r="G96" s="485"/>
      <c r="H96" s="485"/>
      <c r="I96" s="487" t="s">
        <v>454</v>
      </c>
      <c r="J96" s="500" t="s">
        <v>444</v>
      </c>
    </row>
    <row r="97" spans="2:10" x14ac:dyDescent="0.35">
      <c r="B97" s="494">
        <v>46</v>
      </c>
      <c r="C97" s="479" t="s">
        <v>232</v>
      </c>
      <c r="D97" s="472" t="s">
        <v>76</v>
      </c>
      <c r="E97" s="472" t="s">
        <v>170</v>
      </c>
      <c r="F97" s="472" t="s">
        <v>233</v>
      </c>
      <c r="G97" s="472" t="s">
        <v>70</v>
      </c>
      <c r="H97" s="472" t="s">
        <v>430</v>
      </c>
      <c r="I97" s="474" t="s">
        <v>455</v>
      </c>
      <c r="J97" s="498" t="s">
        <v>444</v>
      </c>
    </row>
    <row r="98" spans="2:10" x14ac:dyDescent="0.35">
      <c r="B98" s="494">
        <v>17</v>
      </c>
      <c r="C98" s="479" t="s">
        <v>234</v>
      </c>
      <c r="D98" s="472" t="s">
        <v>76</v>
      </c>
      <c r="E98" s="472" t="s">
        <v>117</v>
      </c>
      <c r="F98" s="472" t="s">
        <v>118</v>
      </c>
      <c r="G98" s="472" t="s">
        <v>70</v>
      </c>
      <c r="H98" s="472" t="s">
        <v>430</v>
      </c>
      <c r="I98" s="477" t="s">
        <v>475</v>
      </c>
      <c r="J98" s="500" t="s">
        <v>444</v>
      </c>
    </row>
    <row r="99" spans="2:10" x14ac:dyDescent="0.35">
      <c r="B99" s="494">
        <v>51</v>
      </c>
      <c r="C99" s="479" t="s">
        <v>238</v>
      </c>
      <c r="D99" s="472" t="s">
        <v>84</v>
      </c>
      <c r="E99" s="472" t="s">
        <v>97</v>
      </c>
      <c r="F99" s="472" t="s">
        <v>214</v>
      </c>
      <c r="G99" s="472" t="s">
        <v>70</v>
      </c>
      <c r="H99" s="472" t="s">
        <v>430</v>
      </c>
      <c r="I99" s="474" t="s">
        <v>455</v>
      </c>
      <c r="J99" s="498" t="s">
        <v>444</v>
      </c>
    </row>
    <row r="100" spans="2:10" ht="40.5" x14ac:dyDescent="0.35">
      <c r="B100" s="495">
        <v>54</v>
      </c>
      <c r="C100" s="476" t="s">
        <v>239</v>
      </c>
      <c r="D100" s="475" t="s">
        <v>113</v>
      </c>
      <c r="E100" s="475" t="s">
        <v>240</v>
      </c>
      <c r="F100" s="475" t="s">
        <v>241</v>
      </c>
      <c r="G100" s="475" t="s">
        <v>70</v>
      </c>
      <c r="H100" s="475" t="s">
        <v>430</v>
      </c>
      <c r="I100" s="477" t="s">
        <v>476</v>
      </c>
      <c r="J100" s="500" t="s">
        <v>444</v>
      </c>
    </row>
    <row r="101" spans="2:10" ht="27" x14ac:dyDescent="0.35">
      <c r="B101" s="494">
        <v>5</v>
      </c>
      <c r="C101" s="479" t="s">
        <v>242</v>
      </c>
      <c r="D101" s="472" t="s">
        <v>68</v>
      </c>
      <c r="E101" s="472" t="s">
        <v>243</v>
      </c>
      <c r="F101" s="472" t="s">
        <v>244</v>
      </c>
      <c r="G101" s="472" t="s">
        <v>70</v>
      </c>
      <c r="H101" s="472" t="s">
        <v>430</v>
      </c>
      <c r="I101" s="474" t="s">
        <v>477</v>
      </c>
      <c r="J101" s="498" t="s">
        <v>444</v>
      </c>
    </row>
    <row r="102" spans="2:10" x14ac:dyDescent="0.35">
      <c r="B102" s="496" t="s">
        <v>245</v>
      </c>
      <c r="C102" s="486" t="s">
        <v>246</v>
      </c>
      <c r="D102" s="488" t="s">
        <v>68</v>
      </c>
      <c r="E102" s="485" t="s">
        <v>247</v>
      </c>
      <c r="F102" s="485" t="s">
        <v>180</v>
      </c>
      <c r="G102" s="485"/>
      <c r="H102" s="485"/>
      <c r="I102" s="487"/>
      <c r="J102" s="500" t="s">
        <v>180</v>
      </c>
    </row>
    <row r="103" spans="2:10" x14ac:dyDescent="0.35">
      <c r="B103" s="497">
        <v>50</v>
      </c>
      <c r="C103" s="491" t="s">
        <v>248</v>
      </c>
      <c r="D103" s="490" t="s">
        <v>113</v>
      </c>
      <c r="E103" s="490" t="s">
        <v>113</v>
      </c>
      <c r="F103" s="490" t="s">
        <v>249</v>
      </c>
      <c r="G103" s="490" t="s">
        <v>70</v>
      </c>
      <c r="H103" s="490" t="s">
        <v>430</v>
      </c>
      <c r="I103" s="492" t="s">
        <v>458</v>
      </c>
      <c r="J103" s="505" t="s">
        <v>444</v>
      </c>
    </row>
  </sheetData>
  <dataValidations count="3">
    <dataValidation type="list" allowBlank="1" showInputMessage="1" showErrorMessage="1" sqref="H99" xr:uid="{38944511-2123-407B-ADF2-CB35532C3375}">
      <formula1>"In-Principle Approval, Pre-Planning Stage, Planning Stage, Under Development"</formula1>
    </dataValidation>
    <dataValidation type="list" allowBlank="1" showInputMessage="1" showErrorMessage="1" sqref="H3:H98" xr:uid="{E45D644D-6178-411B-8B7F-C4D64FA63CEB}">
      <formula1>"In-Principle Approval,Pre-Planning Stage,Planning Stage,Under Development"</formula1>
    </dataValidation>
    <dataValidation type="list" allowBlank="1" showInputMessage="1" showErrorMessage="1" sqref="D3:D101" xr:uid="{193FFE27-2883-4828-998E-5C6E6A0199F7}">
      <formula1>"Barishal,Chattogram,Dhaka,Khulna,Mymensingh,Rajshahi,Rangpur,Sylhet"</formula1>
    </dataValidation>
  </dataValidations>
  <pageMargins left="0.7" right="0.7" top="0.75" bottom="0.75" header="0.3" footer="0.3"/>
  <pageSetup orientation="portrait" r:id="rId1"/>
  <legacy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EZ Shortlist</vt:lpstr>
      <vt:lpstr>EZ Prioritization V3</vt:lpstr>
      <vt:lpstr>Report Table 1</vt:lpstr>
      <vt:lpstr>Report Table 2</vt:lpstr>
      <vt:lpstr>Pivot</vt:lpstr>
      <vt:lpstr>EZ Radar V3</vt:lpstr>
      <vt:lpstr>Shortlist-Parameter Scores</vt:lpstr>
      <vt:lpstr>Priority-Feasibility (DD)</vt:lpstr>
      <vt:lpstr>Land Grade (MM)</vt:lpstr>
      <vt:lpstr>Detailed Rubric V3</vt:lpstr>
      <vt:lpstr>Rubric &amp; Source V3</vt:lpstr>
      <vt:lpstr>EZ Radar V1</vt:lpstr>
      <vt:lpstr>EZ Data</vt:lpstr>
      <vt:lpstr>Land Cost Rationale</vt:lpstr>
      <vt:lpstr>EZ Names V2</vt:lpstr>
      <vt:lpstr>Sources (Not Updated)</vt:lpstr>
      <vt:lpstr>To be deleted</vt:lpstr>
      <vt:lpstr>EZ Prioritization V1</vt:lpstr>
      <vt:lpstr>Website EZ List</vt:lpstr>
      <vt:lpstr>EZ Priority List</vt:lpstr>
      <vt:lpstr>OSS Data</vt:lpstr>
      <vt:lpstr>PEZ Data</vt:lpstr>
      <vt:lpstr>PEZ License Status</vt:lpstr>
      <vt:lpstr>Beza Website data</vt:lpstr>
      <vt:lpstr>Sheet1</vt:lpstr>
      <vt:lpstr>Demand Forecast</vt:lpstr>
      <vt:lpstr>Analysis</vt:lpstr>
      <vt:lpstr>List of Concerns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Ekram, Arshad</dc:creator>
  <cp:keywords/>
  <dc:description/>
  <cp:lastModifiedBy>Baksi, Pankaj</cp:lastModifiedBy>
  <cp:revision/>
  <dcterms:created xsi:type="dcterms:W3CDTF">2022-09-15T11:01:16Z</dcterms:created>
  <dcterms:modified xsi:type="dcterms:W3CDTF">2024-12-19T12:15:16Z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2022-09-15T11:01:30Z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a1c1cb66-fe58-4cee-9363-d26f4c4d1c45</vt:lpwstr>
  </property>
  <property fmtid="{D5CDD505-2E9C-101B-9397-08002B2CF9AE}" pid="8" name="MSIP_Label_ea60d57e-af5b-4752-ac57-3e4f28ca11dc_ContentBits">
    <vt:lpwstr>0</vt:lpwstr>
  </property>
</Properties>
</file>